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ROPEYB\Desktop\crackers\sandbox\"/>
    </mc:Choice>
  </mc:AlternateContent>
  <xr:revisionPtr revIDLastSave="0" documentId="8_{C11F55A4-5EF5-4628-ABB5-E0161756A521}" xr6:coauthVersionLast="45" xr6:coauthVersionMax="45" xr10:uidLastSave="{00000000-0000-0000-0000-000000000000}"/>
  <bookViews>
    <workbookView xWindow="-110" yWindow="-110" windowWidth="22780" windowHeight="14660" tabRatio="661" firstSheet="51" activeTab="54" xr2:uid="{00000000-000D-0000-FFFF-FFFF00000000}"/>
  </bookViews>
  <sheets>
    <sheet name="Demand Rates Summary" sheetId="97" r:id="rId1"/>
    <sheet name="RateDesignVarianceSummary" sheetId="93" r:id="rId2"/>
    <sheet name="Content" sheetId="30" r:id="rId3"/>
    <sheet name="CustChg_RateDesign=&gt;" sheetId="58" r:id="rId4"/>
    <sheet name="7A.)CustCharge_Summary" sheetId="49" r:id="rId5"/>
    <sheet name="7B.)CustCharge_RateDesign" sheetId="73" r:id="rId6"/>
    <sheet name="7C.)CustCharge_DemandClasses" sheetId="98" r:id="rId7"/>
    <sheet name="7D.)BPP_Rates" sheetId="92" r:id="rId8"/>
    <sheet name="ED_RevShifting=&gt;" sheetId="59" r:id="rId9"/>
    <sheet name="8A.)HY_ED RevShifting" sheetId="18" r:id="rId10"/>
    <sheet name="8B.)ED Shift_RedesignRateSum" sheetId="11" r:id="rId11"/>
    <sheet name="8C.)ED Shift_RedgnRate_SC5_I" sheetId="15" r:id="rId12"/>
    <sheet name="8D.)ED Shift_RedgnRate_SC8_I" sheetId="12" r:id="rId13"/>
    <sheet name="8E.)ED Shift_RedgnRate_SC9_I" sheetId="16" r:id="rId14"/>
    <sheet name="8F.)ED Shift_RedgnRate_SC12_I" sheetId="17" r:id="rId15"/>
    <sheet name="HL_Tension_Shifting=&gt;" sheetId="60" r:id="rId16"/>
    <sheet name="9A.)HL_RedesignRateSummary" sheetId="27" r:id="rId17"/>
    <sheet name="9B.)HL_RedesignRateComp" sheetId="10" r:id="rId18"/>
    <sheet name="9C.)HL_RedgnRate_SC5_I" sheetId="9" r:id="rId19"/>
    <sheet name="9D.)HL_RedgnRate_SC12_I" sheetId="19" r:id="rId20"/>
    <sheet name="9E.)HL_RedgnRate_NYPA_I" sheetId="45" r:id="rId21"/>
    <sheet name="9F.)HL_RedgnRate_SC5_II" sheetId="56" r:id="rId22"/>
    <sheet name="9G.)HL_RedgnRate_SC8_II" sheetId="7" r:id="rId23"/>
    <sheet name="9H.)HL_RedgnRate_SC9_II" sheetId="57" r:id="rId24"/>
    <sheet name="9I.)HL_RedgnRate_SC12_II" sheetId="8" r:id="rId25"/>
    <sheet name="9J.)HL_RedgnRate_SC8_I " sheetId="94" r:id="rId26"/>
    <sheet name="9K.)HL_RedgnRate_SC9_I" sheetId="95" r:id="rId27"/>
    <sheet name="9L.)HL_RedgnRate_NYPA_II" sheetId="96" r:id="rId28"/>
    <sheet name="Energy_RateDesign=&gt;" sheetId="61" r:id="rId29"/>
    <sheet name="10A.)EnergyRateDesignSummary" sheetId="29" r:id="rId30"/>
    <sheet name="10B.)Energy_RateDesign_SC1_I" sheetId="5" r:id="rId31"/>
    <sheet name="10C.)Energy_RateDesign_SC1_II" sheetId="21" r:id="rId32"/>
    <sheet name="10D.)Energy_RateDesign_SC1_III" sheetId="22" r:id="rId33"/>
    <sheet name="10E.)Energy_RateDesign_SC2_I" sheetId="20" r:id="rId34"/>
    <sheet name="10F.)Energy_RateDesign_SC2_II" sheetId="23" r:id="rId35"/>
    <sheet name="10G.)Energy_RateDesign_SC6" sheetId="24" r:id="rId36"/>
    <sheet name="10H.)Energy_RateDesign_SC12_EN" sheetId="26" r:id="rId37"/>
    <sheet name="Demand_RateDesign=&gt;" sheetId="62" r:id="rId38"/>
    <sheet name="11A.)DemandRateDesignSummary" sheetId="28" r:id="rId39"/>
    <sheet name="11B.)Demand_RateDesign_SC5_I" sheetId="1" r:id="rId40"/>
    <sheet name="11C.)Demand_RateDesign_SC8_I" sheetId="2" r:id="rId41"/>
    <sheet name="11D.)Demand_RateDesign_SC9_I" sheetId="3" r:id="rId42"/>
    <sheet name="11E.)Demand_RateDesign_SC12_I" sheetId="4" r:id="rId43"/>
    <sheet name="11F.)Demand_RateDesign_NYPA_I" sheetId="47" r:id="rId44"/>
    <sheet name="TODL_RateDesign=&gt;" sheetId="63" r:id="rId45"/>
    <sheet name="12A.)TODL_RateDesignSummary" sheetId="6" r:id="rId46"/>
    <sheet name="12B.)TODL_RateDesign_SC5_II" sheetId="32" r:id="rId47"/>
    <sheet name="12C.)TODL_RateDesign_SC8_II" sheetId="34" r:id="rId48"/>
    <sheet name="12D.)TODL_RateDesign_SC9_II" sheetId="35" r:id="rId49"/>
    <sheet name="12E.)TODL_RateDesign_SC12_II" sheetId="37" r:id="rId50"/>
    <sheet name="12F.)TODL_RateDesign_SC13_II" sheetId="36" r:id="rId51"/>
    <sheet name="12G.)TODL_RateDesign_NYPA_II" sheetId="48" r:id="rId52"/>
    <sheet name="TODM_RateDesign=&gt;" sheetId="64" r:id="rId53"/>
    <sheet name="13A.)TODM_RateDesignSummary" sheetId="50" r:id="rId54"/>
    <sheet name="13B.)TODM_RateDesign_SC8_III" sheetId="38" r:id="rId55"/>
    <sheet name="13C.)TODM_RateDesign_SC9_III" sheetId="40" r:id="rId56"/>
    <sheet name="13D.)TODM_RateDesign_SC12_III" sheetId="41" r:id="rId57"/>
    <sheet name="Riders_RateDesign=&gt;" sheetId="65" r:id="rId58"/>
    <sheet name="14A.)Riders__RateDesignSummary" sheetId="51" r:id="rId59"/>
    <sheet name="14B.)RateDesign_RiderD" sheetId="52" r:id="rId60"/>
    <sheet name="14C.)RateDesign_SC1(ProvD)" sheetId="53" r:id="rId61"/>
    <sheet name="14D.)RateDesign_kVar" sheetId="54" r:id="rId62"/>
    <sheet name="14E.)RateDesign_NY Facilities" sheetId="55" r:id="rId63"/>
    <sheet name="MD Rev_Shifting=&gt;" sheetId="86" r:id="rId64"/>
    <sheet name="15A.)MD Shift_RedesignRateSum" sheetId="87" r:id="rId65"/>
    <sheet name="15B.)MD Shift_RedgnRate_SC5 I " sheetId="88" r:id="rId66"/>
    <sheet name="15C.)MD Shift_RedgnRate_SC8 I " sheetId="89" r:id="rId67"/>
    <sheet name="15D.)MD Shift_RedgnRate_SC9 I " sheetId="90" r:id="rId68"/>
    <sheet name="15E.)MD Shift_RedgnRate_SC12 I " sheetId="91" r:id="rId69"/>
  </sheets>
  <externalReferences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L">'11D.)Demand_RateDesign_SC9_I'!$L$95</definedName>
    <definedName name="_xlnm.Print_Area" localSheetId="29">'10A.)EnergyRateDesignSummary'!$A$1:$G$147</definedName>
    <definedName name="_xlnm.Print_Area" localSheetId="30">'10B.)Energy_RateDesign_SC1_I'!$A$1:$V$130</definedName>
    <definedName name="_xlnm.Print_Area" localSheetId="31">'10C.)Energy_RateDesign_SC1_II'!$A$1:$V$198</definedName>
    <definedName name="_xlnm.Print_Area" localSheetId="32">'10D.)Energy_RateDesign_SC1_III'!$A$1:$V$166</definedName>
    <definedName name="_xlnm.Print_Area" localSheetId="33">'10E.)Energy_RateDesign_SC2_I'!$A$1:$V$129</definedName>
    <definedName name="_xlnm.Print_Area" localSheetId="34">'10F.)Energy_RateDesign_SC2_II'!$A$1:$V$188</definedName>
    <definedName name="_xlnm.Print_Area" localSheetId="35">'10G.)Energy_RateDesign_SC6'!$A$1:$V$113</definedName>
    <definedName name="_xlnm.Print_Area" localSheetId="36">'10H.)Energy_RateDesign_SC12_EN'!$A$1:$V$117</definedName>
    <definedName name="_xlnm.Print_Area" localSheetId="38">'11A.)DemandRateDesignSummary'!$A$1:$G$142</definedName>
    <definedName name="_xlnm.Print_Area" localSheetId="39">'11B.)Demand_RateDesign_SC5_I'!$A$1:$V$284</definedName>
    <definedName name="_xlnm.Print_Area" localSheetId="40">'11C.)Demand_RateDesign_SC8_I'!$A$1:$V$284</definedName>
    <definedName name="_xlnm.Print_Area" localSheetId="41">'11D.)Demand_RateDesign_SC9_I'!$A$1:$V$284</definedName>
    <definedName name="_xlnm.Print_Area" localSheetId="42">'11E.)Demand_RateDesign_SC12_I'!$A$1:$V$284</definedName>
    <definedName name="_xlnm.Print_Area" localSheetId="43">'11F.)Demand_RateDesign_NYPA_I'!$A$1:$V$290</definedName>
    <definedName name="_xlnm.Print_Area" localSheetId="45">'12A.)TODL_RateDesignSummary'!$A$1:$G$181</definedName>
    <definedName name="_xlnm.Print_Area" localSheetId="46">'12B.)TODL_RateDesign_SC5_II'!$A$1:$U$207</definedName>
    <definedName name="_xlnm.Print_Area" localSheetId="47">'12C.)TODL_RateDesign_SC8_II'!$A$1:$U$207</definedName>
    <definedName name="_xlnm.Print_Area" localSheetId="48">'12D.)TODL_RateDesign_SC9_II'!$A$1:$U$227</definedName>
    <definedName name="_xlnm.Print_Area" localSheetId="49">'12E.)TODL_RateDesign_SC12_II'!$A$1:$U$207</definedName>
    <definedName name="_xlnm.Print_Area" localSheetId="50">'12F.)TODL_RateDesign_SC13_II'!$A$1:$U$225</definedName>
    <definedName name="_xlnm.Print_Area" localSheetId="51">'12G.)TODL_RateDesign_NYPA_II'!$A$1:$U$225</definedName>
    <definedName name="_xlnm.Print_Area" localSheetId="53">'13A.)TODM_RateDesignSummary'!$A$1:$G$98</definedName>
    <definedName name="_xlnm.Print_Area" localSheetId="54">'13B.)TODM_RateDesign_SC8_III'!$A$1:$U$285,'13B.)TODM_RateDesign_SC8_III'!$V$1:$AI$27</definedName>
    <definedName name="_xlnm.Print_Area" localSheetId="55">'13C.)TODM_RateDesign_SC9_III'!$A$1:$U$242,'13C.)TODM_RateDesign_SC9_III'!$A$243:$P$291,'13C.)TODM_RateDesign_SC9_III'!$V$1:$AJ$27</definedName>
    <definedName name="_xlnm.Print_Area" localSheetId="56">'13D.)TODM_RateDesign_SC12_III'!$A$1:$U$285,'13D.)TODM_RateDesign_SC12_III'!$V$1:$AI$27</definedName>
    <definedName name="_xlnm.Print_Area" localSheetId="58">'14A.)Riders__RateDesignSummary'!$B$1:$F$62</definedName>
    <definedName name="_xlnm.Print_Area" localSheetId="59">'14B.)RateDesign_RiderD'!$A$1:$N$58</definedName>
    <definedName name="_xlnm.Print_Area" localSheetId="60">'14C.)RateDesign_SC1(ProvD)'!$A$1:$M$51</definedName>
    <definedName name="_xlnm.Print_Area" localSheetId="61">'14D.)RateDesign_kVar'!$A$1:$M$52</definedName>
    <definedName name="_xlnm.Print_Area" localSheetId="62">'14E.)RateDesign_NY Facilities'!$A$1:$K$50</definedName>
    <definedName name="_xlnm.Print_Area" localSheetId="64">'15A.)MD Shift_RedesignRateSum'!$B$1:$M$90</definedName>
    <definedName name="_xlnm.Print_Area" localSheetId="65">'15B.)MD Shift_RedgnRate_SC5 I '!$A$1:$W$249</definedName>
    <definedName name="_xlnm.Print_Area" localSheetId="66">'15C.)MD Shift_RedgnRate_SC8 I '!$A$1:$V$249</definedName>
    <definedName name="_xlnm.Print_Area" localSheetId="67">'15D.)MD Shift_RedgnRate_SC9 I '!$A$1:$V$249</definedName>
    <definedName name="_xlnm.Print_Area" localSheetId="68">'15E.)MD Shift_RedgnRate_SC12 I '!$A$1:$V$249</definedName>
    <definedName name="_xlnm.Print_Area" localSheetId="4">'7A.)CustCharge_Summary'!$A$1:$I$105</definedName>
    <definedName name="_xlnm.Print_Area" localSheetId="5">'7B.)CustCharge_RateDesign'!$A$1:$H$77</definedName>
    <definedName name="_xlnm.Print_Area" localSheetId="6">'7C.)CustCharge_DemandClasses'!$A$1:$L$24</definedName>
    <definedName name="_xlnm.Print_Area" localSheetId="7">'7D.)BPP_Rates'!$A$1:$G$21</definedName>
    <definedName name="_xlnm.Print_Area" localSheetId="9">'8A.)HY_ED RevShifting'!$A$1:$L$72</definedName>
    <definedName name="_xlnm.Print_Area" localSheetId="10">'8B.)ED Shift_RedesignRateSum'!$B$1:$M$16,'8B.)ED Shift_RedesignRateSum'!$B$20:$G$100</definedName>
    <definedName name="_xlnm.Print_Area" localSheetId="11">'8C.)ED Shift_RedgnRate_SC5_I'!$A$1:$W$249</definedName>
    <definedName name="_xlnm.Print_Area" localSheetId="12">'8D.)ED Shift_RedgnRate_SC8_I'!$A$1:$V$249</definedName>
    <definedName name="_xlnm.Print_Area" localSheetId="13">'8E.)ED Shift_RedgnRate_SC9_I'!$A$1:$V$249</definedName>
    <definedName name="_xlnm.Print_Area" localSheetId="14">'8F.)ED Shift_RedgnRate_SC12_I'!$A$1:$V$249</definedName>
    <definedName name="_xlnm.Print_Area" localSheetId="16">'9A.)HL_RedesignRateSummary'!$A$1:$G$236</definedName>
    <definedName name="_xlnm.Print_Area" localSheetId="17">'9B.)HL_RedesignRateComp'!$A$1:$P$72</definedName>
    <definedName name="_xlnm.Print_Area" localSheetId="18">'9C.)HL_RedgnRate_SC5_I'!$A$1:$Q$183</definedName>
    <definedName name="_xlnm.Print_Area" localSheetId="19">'9D.)HL_RedgnRate_SC12_I'!$A$1:$Q$184</definedName>
    <definedName name="_xlnm.Print_Area" localSheetId="20">'9E.)HL_RedgnRate_NYPA_I'!$A$1:$Q$184</definedName>
    <definedName name="_xlnm.Print_Area" localSheetId="21">'9F.)HL_RedgnRate_SC5_II'!$A$1:$R$171</definedName>
    <definedName name="_xlnm.Print_Area" localSheetId="22">'9G.)HL_RedgnRate_SC8_II'!$A$1:$R$171</definedName>
    <definedName name="_xlnm.Print_Area" localSheetId="23">'9H.)HL_RedgnRate_SC9_II'!$A$1:$R$171</definedName>
    <definedName name="_xlnm.Print_Area" localSheetId="24">'9I.)HL_RedgnRate_SC12_II'!$A$1:$Q$171</definedName>
    <definedName name="_xlnm.Print_Area" localSheetId="25">'9J.)HL_RedgnRate_SC8_I '!$A$1:$Q$184</definedName>
    <definedName name="_xlnm.Print_Area" localSheetId="26">'9K.)HL_RedgnRate_SC9_I'!$A$1:$Q$184</definedName>
    <definedName name="_xlnm.Print_Area" localSheetId="27">'9L.)HL_RedgnRate_NYPA_II'!$A$1:$Q$171</definedName>
    <definedName name="_xlnm.Print_Area" localSheetId="0">'Demand Rates Summary'!$B$1:$I$166</definedName>
    <definedName name="_xlnm.Print_Area" localSheetId="1">RateDesignVarianceSummary!$A$1:$G$58</definedName>
    <definedName name="_xlnm.Print_Titles" localSheetId="38">'11A.)DemandRateDesignSummary'!$1:$2</definedName>
    <definedName name="_xlnm.Print_Titles" localSheetId="45">'12A.)TODL_RateDesignSummary'!$1:$5</definedName>
    <definedName name="_xlnm.Print_Titles" localSheetId="53">'13A.)TODM_RateDesignSummary'!$1:$5</definedName>
    <definedName name="_xlnm.Print_Titles" localSheetId="4">'7A.)CustCharge_Summary'!$1:$7</definedName>
    <definedName name="_xlnm.Print_Titles" localSheetId="5">'7B.)CustCharge_RateDesign'!$1:$5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8" l="1"/>
  <c r="AB22" i="41" l="1"/>
  <c r="AB21" i="41"/>
  <c r="AB17" i="41"/>
  <c r="AB16" i="41"/>
  <c r="AB12" i="41"/>
  <c r="AB11" i="41"/>
  <c r="AB7" i="41"/>
  <c r="AB6" i="41"/>
  <c r="W3" i="41"/>
  <c r="W3" i="40"/>
  <c r="AB22" i="40"/>
  <c r="AB21" i="40"/>
  <c r="AB17" i="40"/>
  <c r="AB16" i="40"/>
  <c r="AB12" i="40"/>
  <c r="AB11" i="40"/>
  <c r="AB7" i="40"/>
  <c r="AB6" i="40"/>
  <c r="W3" i="38"/>
  <c r="AB22" i="38"/>
  <c r="AB21" i="38"/>
  <c r="AB17" i="38"/>
  <c r="AB16" i="38"/>
  <c r="AB12" i="38"/>
  <c r="AB11" i="38"/>
  <c r="AB7" i="38"/>
  <c r="AB6" i="38"/>
  <c r="E144" i="5"/>
  <c r="G144" i="5"/>
  <c r="G146" i="5" s="1"/>
  <c r="E145" i="5"/>
  <c r="G145" i="5"/>
  <c r="I145" i="5"/>
  <c r="E150" i="5"/>
  <c r="I150" i="5" s="1"/>
  <c r="G150" i="5"/>
  <c r="I144" i="5" l="1"/>
  <c r="E146" i="5"/>
  <c r="I146" i="5" l="1"/>
  <c r="E11" i="73" l="1"/>
  <c r="AB269" i="40" l="1"/>
  <c r="AA269" i="40"/>
  <c r="Z269" i="40"/>
  <c r="Z268" i="40"/>
  <c r="Z270" i="40" s="1"/>
  <c r="AA268" i="40"/>
  <c r="AA270" i="40" s="1"/>
  <c r="AB268" i="40"/>
  <c r="AB270" i="40" s="1"/>
  <c r="AF274" i="40"/>
  <c r="A7" i="30" l="1"/>
  <c r="A9" i="30" s="1"/>
  <c r="A11" i="30" s="1"/>
  <c r="A13" i="30" s="1"/>
  <c r="A15" i="30" s="1"/>
  <c r="A17" i="30" s="1"/>
  <c r="A19" i="30" s="1"/>
  <c r="A21" i="30" s="1"/>
  <c r="A23" i="30" s="1"/>
  <c r="A25" i="30" s="1"/>
  <c r="A27" i="30" s="1"/>
  <c r="A29" i="30" s="1"/>
  <c r="A31" i="30" s="1"/>
  <c r="A33" i="30" s="1"/>
  <c r="A35" i="30" s="1"/>
  <c r="A37" i="30" s="1"/>
  <c r="A39" i="30" s="1"/>
  <c r="A41" i="30" s="1"/>
  <c r="A43" i="30" s="1"/>
  <c r="A45" i="30" s="1"/>
  <c r="A47" i="30" s="1"/>
  <c r="A49" i="30" s="1"/>
  <c r="A51" i="30" s="1"/>
  <c r="A53" i="30" s="1"/>
  <c r="A55" i="30" s="1"/>
  <c r="A57" i="30" s="1"/>
  <c r="A59" i="30" s="1"/>
  <c r="A61" i="30" s="1"/>
  <c r="A63" i="30" s="1"/>
  <c r="A65" i="30" s="1"/>
  <c r="A67" i="30" s="1"/>
  <c r="A69" i="30" s="1"/>
  <c r="A71" i="30" s="1"/>
  <c r="A73" i="30" s="1"/>
  <c r="A75" i="30" s="1"/>
  <c r="A77" i="30" s="1"/>
  <c r="A79" i="30" s="1"/>
  <c r="A81" i="30" s="1"/>
  <c r="A83" i="30" s="1"/>
  <c r="A85" i="30" s="1"/>
  <c r="A87" i="30" s="1"/>
  <c r="A89" i="30" s="1"/>
  <c r="A91" i="30" s="1"/>
  <c r="A93" i="30" s="1"/>
  <c r="A95" i="30" s="1"/>
  <c r="A97" i="30" s="1"/>
  <c r="A99" i="30" s="1"/>
  <c r="A101" i="30" s="1"/>
  <c r="A103" i="30" s="1"/>
  <c r="A105" i="30" s="1"/>
  <c r="A107" i="30" s="1"/>
  <c r="A109" i="30" s="1"/>
  <c r="A111" i="30" s="1"/>
  <c r="A113" i="30" s="1"/>
  <c r="A115" i="30" s="1"/>
  <c r="A117" i="30" s="1"/>
  <c r="A9" i="96"/>
  <c r="A7" i="96"/>
  <c r="K7" i="98" l="1"/>
  <c r="J7" i="98"/>
  <c r="I7" i="98"/>
  <c r="H7" i="98"/>
  <c r="G7" i="98"/>
  <c r="F7" i="98"/>
  <c r="E7" i="98"/>
  <c r="D7" i="98"/>
  <c r="X25" i="41" l="1"/>
  <c r="X20" i="41"/>
  <c r="X15" i="41"/>
  <c r="X10" i="41"/>
  <c r="X25" i="40"/>
  <c r="X20" i="40"/>
  <c r="X15" i="40"/>
  <c r="X10" i="40"/>
  <c r="H243" i="41" l="1"/>
  <c r="H253" i="41"/>
  <c r="H248" i="40"/>
  <c r="H258" i="40"/>
  <c r="X25" i="38"/>
  <c r="X20" i="38"/>
  <c r="X10" i="38"/>
  <c r="X15" i="38"/>
  <c r="Q24" i="36"/>
  <c r="Q19" i="36"/>
  <c r="Q14" i="32"/>
  <c r="Q9" i="32"/>
  <c r="Q24" i="32"/>
  <c r="Q19" i="32"/>
  <c r="Q24" i="35"/>
  <c r="Q19" i="35"/>
  <c r="Q14" i="35"/>
  <c r="Q9" i="35"/>
  <c r="Q19" i="37"/>
  <c r="Q14" i="37"/>
  <c r="Q9" i="37"/>
  <c r="Q24" i="37"/>
  <c r="Y15" i="35"/>
  <c r="Z15" i="35"/>
  <c r="AG273" i="40" l="1"/>
  <c r="H243" i="38"/>
  <c r="H253" i="38"/>
  <c r="Q24" i="34"/>
  <c r="Q19" i="34"/>
  <c r="Q14" i="34"/>
  <c r="Q9" i="34"/>
  <c r="C2" i="97" l="1"/>
  <c r="G5" i="97"/>
  <c r="G98" i="97" s="1"/>
  <c r="G24" i="97"/>
  <c r="H24" i="97"/>
  <c r="G37" i="97"/>
  <c r="H37" i="97"/>
  <c r="G55" i="97"/>
  <c r="H55" i="97"/>
  <c r="G68" i="97"/>
  <c r="H68" i="97"/>
  <c r="G86" i="97"/>
  <c r="H86" i="97"/>
  <c r="G99" i="97"/>
  <c r="H99" i="97"/>
  <c r="G117" i="97"/>
  <c r="H117" i="97"/>
  <c r="G130" i="97"/>
  <c r="H130" i="97"/>
  <c r="G144" i="97"/>
  <c r="H144" i="97"/>
  <c r="G156" i="97"/>
  <c r="H156" i="97"/>
  <c r="G67" i="97" l="1"/>
  <c r="G155" i="97"/>
  <c r="G143" i="97"/>
  <c r="G85" i="97"/>
  <c r="G36" i="97"/>
  <c r="G129" i="97"/>
  <c r="G54" i="97"/>
  <c r="G23" i="97"/>
  <c r="G116" i="97"/>
  <c r="I44" i="96" l="1"/>
  <c r="I43" i="96"/>
  <c r="K47" i="95"/>
  <c r="K46" i="95"/>
  <c r="K47" i="94"/>
  <c r="K46" i="94"/>
  <c r="I44" i="8"/>
  <c r="I43" i="8"/>
  <c r="I44" i="57"/>
  <c r="I43" i="57"/>
  <c r="I44" i="7"/>
  <c r="I43" i="7"/>
  <c r="I44" i="56"/>
  <c r="I43" i="56"/>
  <c r="K47" i="45"/>
  <c r="K46" i="45"/>
  <c r="K47" i="19"/>
  <c r="K46" i="19"/>
  <c r="O6" i="10" l="1"/>
  <c r="D215" i="27" l="1"/>
  <c r="J130" i="96" l="1"/>
  <c r="A130" i="96"/>
  <c r="J129" i="96"/>
  <c r="A129" i="96"/>
  <c r="C117" i="96"/>
  <c r="A116" i="96"/>
  <c r="A115" i="96"/>
  <c r="A51" i="96"/>
  <c r="A40" i="96"/>
  <c r="A35" i="96"/>
  <c r="A34" i="96"/>
  <c r="A33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E15" i="96"/>
  <c r="J14" i="96"/>
  <c r="J13" i="96"/>
  <c r="A13" i="96"/>
  <c r="J12" i="96"/>
  <c r="J11" i="96"/>
  <c r="A11" i="96"/>
  <c r="J10" i="96"/>
  <c r="J9" i="96"/>
  <c r="J8" i="96"/>
  <c r="J7" i="96"/>
  <c r="J6" i="96"/>
  <c r="J5" i="96"/>
  <c r="J4" i="96"/>
  <c r="E4" i="96"/>
  <c r="E3" i="96"/>
  <c r="A36" i="96" s="1"/>
  <c r="L131" i="96" l="1"/>
  <c r="G16" i="96"/>
  <c r="C229" i="27"/>
  <c r="D5" i="27" l="1"/>
  <c r="D4" i="27"/>
  <c r="F5" i="27"/>
  <c r="F4" i="27"/>
  <c r="D3" i="11"/>
  <c r="D5" i="11"/>
  <c r="D219" i="27" l="1"/>
  <c r="D147" i="27"/>
  <c r="D123" i="27"/>
  <c r="J33" i="96"/>
  <c r="J34" i="96"/>
  <c r="E9" i="87"/>
  <c r="D5" i="28"/>
  <c r="L12" i="91"/>
  <c r="L12" i="90"/>
  <c r="L12" i="89"/>
  <c r="L12" i="88"/>
  <c r="E5" i="87" l="1"/>
  <c r="D5" i="87"/>
  <c r="L4" i="91" s="1"/>
  <c r="I29" i="91" s="1"/>
  <c r="D4" i="87"/>
  <c r="L3" i="91" s="1"/>
  <c r="I28" i="91" s="1"/>
  <c r="D3" i="87"/>
  <c r="L8" i="91"/>
  <c r="L5" i="91" s="1"/>
  <c r="L8" i="90"/>
  <c r="L5" i="90" s="1"/>
  <c r="L8" i="89"/>
  <c r="L5" i="89" s="1"/>
  <c r="L8" i="88"/>
  <c r="L5" i="88" l="1"/>
  <c r="I34" i="88"/>
  <c r="L3" i="88"/>
  <c r="I28" i="88" s="1"/>
  <c r="L3" i="90"/>
  <c r="I28" i="90" s="1"/>
  <c r="L4" i="88"/>
  <c r="I29" i="88" s="1"/>
  <c r="L4" i="90"/>
  <c r="I29" i="90" s="1"/>
  <c r="L3" i="89"/>
  <c r="I28" i="89" s="1"/>
  <c r="L4" i="89"/>
  <c r="I29" i="89" s="1"/>
  <c r="F10" i="87"/>
  <c r="F178" i="3" l="1"/>
  <c r="E178" i="3"/>
  <c r="F175" i="3"/>
  <c r="E175" i="3"/>
  <c r="F172" i="3"/>
  <c r="E172" i="3"/>
  <c r="D169" i="3" l="1"/>
  <c r="L4" i="55"/>
  <c r="G6" i="55" s="1"/>
  <c r="L4" i="54"/>
  <c r="G6" i="54" s="1"/>
  <c r="L4" i="53"/>
  <c r="G6" i="53" s="1"/>
  <c r="L4" i="52"/>
  <c r="G6" i="52" s="1"/>
  <c r="M4" i="41"/>
  <c r="H30" i="41" s="1"/>
  <c r="M4" i="40"/>
  <c r="H30" i="40" s="1"/>
  <c r="M4" i="38"/>
  <c r="H30" i="38" s="1"/>
  <c r="E5" i="51"/>
  <c r="E4" i="50"/>
  <c r="D4" i="50"/>
  <c r="D3" i="50"/>
  <c r="D6" i="50"/>
  <c r="M4" i="48"/>
  <c r="H30" i="48" s="1"/>
  <c r="M4" i="36"/>
  <c r="H30" i="36" s="1"/>
  <c r="M4" i="37"/>
  <c r="H30" i="37" s="1"/>
  <c r="M4" i="35"/>
  <c r="H30" i="35" s="1"/>
  <c r="M4" i="34"/>
  <c r="H30" i="34" s="1"/>
  <c r="M4" i="32"/>
  <c r="H30" i="32" s="1"/>
  <c r="E4" i="6"/>
  <c r="D4" i="6"/>
  <c r="D3" i="6"/>
  <c r="M4" i="47"/>
  <c r="H34" i="47" s="1"/>
  <c r="M4" i="4"/>
  <c r="H34" i="4" s="1"/>
  <c r="M4" i="3"/>
  <c r="H34" i="3" s="1"/>
  <c r="M4" i="2"/>
  <c r="H34" i="2" s="1"/>
  <c r="M4" i="1"/>
  <c r="H34" i="1" s="1"/>
  <c r="E4" i="28"/>
  <c r="D4" i="28"/>
  <c r="D3" i="28"/>
  <c r="D172" i="3" l="1"/>
  <c r="D175" i="3"/>
  <c r="D178" i="3"/>
  <c r="D33" i="53"/>
  <c r="D33" i="54"/>
  <c r="D33" i="55"/>
  <c r="D33" i="52"/>
  <c r="M4" i="5"/>
  <c r="M4" i="21"/>
  <c r="M4" i="22"/>
  <c r="M4" i="20"/>
  <c r="M4" i="23"/>
  <c r="M4" i="24"/>
  <c r="M4" i="26"/>
  <c r="D3" i="29"/>
  <c r="E4" i="29"/>
  <c r="D4" i="29"/>
  <c r="J34" i="8" l="1"/>
  <c r="J33" i="8"/>
  <c r="J34" i="57"/>
  <c r="J33" i="57"/>
  <c r="J34" i="7"/>
  <c r="J33" i="7"/>
  <c r="J34" i="56"/>
  <c r="J33" i="56"/>
  <c r="G3" i="27"/>
  <c r="G35" i="95" l="1"/>
  <c r="K35" i="96"/>
  <c r="G35" i="94"/>
  <c r="G35" i="45"/>
  <c r="G35" i="9"/>
  <c r="K35" i="56"/>
  <c r="K35" i="7"/>
  <c r="K35" i="57"/>
  <c r="K35" i="8"/>
  <c r="G35" i="19"/>
  <c r="A33" i="8"/>
  <c r="A33" i="57"/>
  <c r="A33" i="7"/>
  <c r="A32" i="95"/>
  <c r="A32" i="94"/>
  <c r="A32" i="45"/>
  <c r="A32" i="19"/>
  <c r="C166" i="95" l="1"/>
  <c r="C159" i="95"/>
  <c r="C151" i="95"/>
  <c r="C143" i="95"/>
  <c r="C165" i="95" s="1"/>
  <c r="B142" i="95"/>
  <c r="B157" i="95" s="1"/>
  <c r="Q23" i="95"/>
  <c r="Q18" i="95"/>
  <c r="Q13" i="95"/>
  <c r="Q8" i="95"/>
  <c r="N8" i="95"/>
  <c r="D143" i="95" s="1"/>
  <c r="N7" i="95"/>
  <c r="L8" i="95" s="1"/>
  <c r="B143" i="95" s="1"/>
  <c r="B150" i="95" s="1"/>
  <c r="Q23" i="94"/>
  <c r="Q18" i="94"/>
  <c r="Q8" i="94"/>
  <c r="Q13" i="94"/>
  <c r="P18" i="94"/>
  <c r="O18" i="94"/>
  <c r="E150" i="94" s="1"/>
  <c r="P17" i="94"/>
  <c r="F149" i="94" s="1"/>
  <c r="O17" i="94"/>
  <c r="E149" i="94" s="1"/>
  <c r="P23" i="94"/>
  <c r="F165" i="94" s="1"/>
  <c r="O23" i="94"/>
  <c r="E165" i="94" s="1"/>
  <c r="P22" i="94"/>
  <c r="O22" i="94"/>
  <c r="N7" i="94"/>
  <c r="D81" i="94" s="1"/>
  <c r="D191" i="27"/>
  <c r="D167" i="27"/>
  <c r="D208" i="27"/>
  <c r="D195" i="27"/>
  <c r="D194" i="27"/>
  <c r="D184" i="27"/>
  <c r="D171" i="27"/>
  <c r="D170" i="27"/>
  <c r="C142" i="95"/>
  <c r="C149" i="95" s="1"/>
  <c r="C134" i="95"/>
  <c r="D133" i="95"/>
  <c r="C133" i="95"/>
  <c r="B133" i="95"/>
  <c r="C131" i="95"/>
  <c r="D130" i="95"/>
  <c r="C130" i="95"/>
  <c r="B130" i="95"/>
  <c r="A127" i="95"/>
  <c r="A120" i="95"/>
  <c r="A108" i="95"/>
  <c r="H103" i="95"/>
  <c r="A100" i="95"/>
  <c r="A91" i="95"/>
  <c r="C81" i="95"/>
  <c r="B81" i="95"/>
  <c r="C69" i="95"/>
  <c r="D68" i="95"/>
  <c r="C68" i="95"/>
  <c r="B68" i="95"/>
  <c r="C66" i="95"/>
  <c r="C102" i="95" s="1"/>
  <c r="D65" i="95"/>
  <c r="C65" i="95"/>
  <c r="B65" i="95"/>
  <c r="A62" i="95"/>
  <c r="C56" i="95"/>
  <c r="D55" i="95"/>
  <c r="C55" i="95"/>
  <c r="B55" i="95"/>
  <c r="D53" i="95"/>
  <c r="D69" i="95" s="1"/>
  <c r="A44" i="95"/>
  <c r="F34" i="95"/>
  <c r="B122" i="95" s="1"/>
  <c r="F33" i="95"/>
  <c r="B174" i="95" s="1"/>
  <c r="A33" i="95"/>
  <c r="M23" i="95"/>
  <c r="M22" i="95"/>
  <c r="C84" i="95" s="1"/>
  <c r="L22" i="95"/>
  <c r="B84" i="95" s="1"/>
  <c r="M18" i="95"/>
  <c r="M17" i="95"/>
  <c r="C83" i="95" s="1"/>
  <c r="L17" i="95"/>
  <c r="B83" i="95" s="1"/>
  <c r="M13" i="95"/>
  <c r="M12" i="95"/>
  <c r="C82" i="95" s="1"/>
  <c r="L12" i="95"/>
  <c r="B82" i="95" s="1"/>
  <c r="A9" i="95"/>
  <c r="A8" i="95"/>
  <c r="A7" i="95"/>
  <c r="A6" i="95"/>
  <c r="G5" i="95"/>
  <c r="G25" i="95" s="1"/>
  <c r="K4" i="95"/>
  <c r="G4" i="95"/>
  <c r="G3" i="95"/>
  <c r="A42" i="95" s="1"/>
  <c r="F166" i="94"/>
  <c r="I166" i="94" s="1"/>
  <c r="E166" i="94"/>
  <c r="C165" i="94"/>
  <c r="D164" i="94"/>
  <c r="C164" i="94"/>
  <c r="B164" i="94"/>
  <c r="F159" i="94"/>
  <c r="I159" i="94" s="1"/>
  <c r="E159" i="94"/>
  <c r="C158" i="94"/>
  <c r="D157" i="94"/>
  <c r="C157" i="94"/>
  <c r="B157" i="94"/>
  <c r="F151" i="94"/>
  <c r="I151" i="94" s="1"/>
  <c r="E151" i="94"/>
  <c r="C150" i="94"/>
  <c r="D149" i="94"/>
  <c r="C149" i="94"/>
  <c r="B149" i="94"/>
  <c r="F144" i="94"/>
  <c r="E144" i="94"/>
  <c r="C143" i="94"/>
  <c r="D142" i="94"/>
  <c r="C142" i="94"/>
  <c r="B142" i="94"/>
  <c r="C134" i="94"/>
  <c r="D133" i="94"/>
  <c r="C133" i="94"/>
  <c r="B133" i="94"/>
  <c r="C131" i="94"/>
  <c r="D130" i="94"/>
  <c r="C130" i="94"/>
  <c r="B130" i="94"/>
  <c r="A127" i="94"/>
  <c r="A120" i="94"/>
  <c r="A108" i="94"/>
  <c r="H103" i="94"/>
  <c r="A100" i="94"/>
  <c r="A91" i="94"/>
  <c r="C81" i="94"/>
  <c r="B81" i="94"/>
  <c r="C69" i="94"/>
  <c r="D68" i="94"/>
  <c r="C68" i="94"/>
  <c r="B68" i="94"/>
  <c r="C66" i="94"/>
  <c r="C102" i="94" s="1"/>
  <c r="C104" i="94" s="1"/>
  <c r="D65" i="94"/>
  <c r="C65" i="94"/>
  <c r="B65" i="94"/>
  <c r="A62" i="94"/>
  <c r="C56" i="94"/>
  <c r="D55" i="94"/>
  <c r="C55" i="94"/>
  <c r="B55" i="94"/>
  <c r="D53" i="94"/>
  <c r="D131" i="94" s="1"/>
  <c r="A44" i="94"/>
  <c r="F34" i="94"/>
  <c r="B122" i="94" s="1"/>
  <c r="F33" i="94"/>
  <c r="B174" i="94" s="1"/>
  <c r="A33" i="94"/>
  <c r="A124" i="94" s="1"/>
  <c r="M23" i="94"/>
  <c r="M22" i="94"/>
  <c r="C84" i="94" s="1"/>
  <c r="L22" i="94"/>
  <c r="B84" i="94" s="1"/>
  <c r="M18" i="94"/>
  <c r="M17" i="94"/>
  <c r="C83" i="94" s="1"/>
  <c r="L17" i="94"/>
  <c r="B83" i="94" s="1"/>
  <c r="M13" i="94"/>
  <c r="M12" i="94"/>
  <c r="C82" i="94" s="1"/>
  <c r="L12" i="94"/>
  <c r="B82" i="94" s="1"/>
  <c r="A9" i="94"/>
  <c r="A8" i="94"/>
  <c r="A7" i="94"/>
  <c r="A6" i="94"/>
  <c r="G5" i="94"/>
  <c r="G11" i="94" s="1"/>
  <c r="K4" i="94"/>
  <c r="G4" i="94"/>
  <c r="G3" i="94"/>
  <c r="D66" i="95" l="1"/>
  <c r="D102" i="95" s="1"/>
  <c r="D105" i="95" s="1"/>
  <c r="D56" i="95"/>
  <c r="D134" i="95"/>
  <c r="P25" i="94"/>
  <c r="B121" i="94"/>
  <c r="B164" i="95"/>
  <c r="D142" i="95"/>
  <c r="D157" i="95" s="1"/>
  <c r="D150" i="95"/>
  <c r="D158" i="95"/>
  <c r="D165" i="95"/>
  <c r="D104" i="95"/>
  <c r="C150" i="95"/>
  <c r="C158" i="95"/>
  <c r="D103" i="95"/>
  <c r="B121" i="95"/>
  <c r="B149" i="95"/>
  <c r="C164" i="95"/>
  <c r="G11" i="95"/>
  <c r="C157" i="95"/>
  <c r="A42" i="94"/>
  <c r="D165" i="94"/>
  <c r="D69" i="94"/>
  <c r="D150" i="94"/>
  <c r="D143" i="94"/>
  <c r="D56" i="94"/>
  <c r="D66" i="94"/>
  <c r="D102" i="94" s="1"/>
  <c r="C111" i="94" s="1"/>
  <c r="E152" i="94"/>
  <c r="N22" i="94"/>
  <c r="D84" i="94" s="1"/>
  <c r="N8" i="94"/>
  <c r="N18" i="94" s="1"/>
  <c r="C207" i="27"/>
  <c r="C183" i="27"/>
  <c r="C105" i="95"/>
  <c r="C104" i="95"/>
  <c r="C103" i="95"/>
  <c r="B111" i="95"/>
  <c r="B112" i="95"/>
  <c r="B110" i="95"/>
  <c r="B109" i="95"/>
  <c r="N9" i="95"/>
  <c r="D144" i="95" s="1"/>
  <c r="N22" i="95"/>
  <c r="N17" i="95"/>
  <c r="N12" i="95"/>
  <c r="D81" i="95"/>
  <c r="A124" i="95"/>
  <c r="A173" i="95"/>
  <c r="C112" i="95"/>
  <c r="C111" i="95"/>
  <c r="C110" i="95"/>
  <c r="C109" i="95"/>
  <c r="D131" i="95"/>
  <c r="B138" i="95"/>
  <c r="O20" i="94"/>
  <c r="F83" i="94" s="1"/>
  <c r="F150" i="94"/>
  <c r="F152" i="94" s="1"/>
  <c r="G104" i="94"/>
  <c r="G111" i="94" s="1"/>
  <c r="P20" i="94"/>
  <c r="E164" i="94"/>
  <c r="E167" i="94" s="1"/>
  <c r="O25" i="94"/>
  <c r="F84" i="94" s="1"/>
  <c r="G25" i="94"/>
  <c r="B109" i="94"/>
  <c r="B112" i="94"/>
  <c r="B111" i="94"/>
  <c r="B110" i="94"/>
  <c r="C105" i="94"/>
  <c r="F164" i="94"/>
  <c r="F167" i="94" s="1"/>
  <c r="C103" i="94"/>
  <c r="G105" i="94"/>
  <c r="G112" i="94" s="1"/>
  <c r="D134" i="94"/>
  <c r="D158" i="94"/>
  <c r="A173" i="94"/>
  <c r="N12" i="94"/>
  <c r="D82" i="94" s="1"/>
  <c r="N17" i="94"/>
  <c r="D83" i="94" s="1"/>
  <c r="B138" i="94"/>
  <c r="B43" i="10"/>
  <c r="C112" i="94" l="1"/>
  <c r="D164" i="95"/>
  <c r="D103" i="94"/>
  <c r="D104" i="94"/>
  <c r="D149" i="95"/>
  <c r="N23" i="94"/>
  <c r="N13" i="94"/>
  <c r="D159" i="95"/>
  <c r="D166" i="95"/>
  <c r="D151" i="95"/>
  <c r="D105" i="94"/>
  <c r="C110" i="94"/>
  <c r="C109" i="94"/>
  <c r="D82" i="95"/>
  <c r="L13" i="95"/>
  <c r="D83" i="95"/>
  <c r="L18" i="95"/>
  <c r="D84" i="95"/>
  <c r="L23" i="95"/>
  <c r="N13" i="95"/>
  <c r="N14" i="95" s="1"/>
  <c r="N23" i="95"/>
  <c r="N24" i="95" s="1"/>
  <c r="N18" i="95"/>
  <c r="N19" i="95" s="1"/>
  <c r="D5" i="51" l="1"/>
  <c r="D4" i="51"/>
  <c r="D3" i="51"/>
  <c r="K19" i="15"/>
  <c r="K19" i="12"/>
  <c r="K19" i="17"/>
  <c r="K19" i="16"/>
  <c r="E17" i="23" l="1"/>
  <c r="I7" i="10"/>
  <c r="L3" i="17" l="1"/>
  <c r="L3" i="16"/>
  <c r="L3" i="12"/>
  <c r="L3" i="15"/>
  <c r="C50" i="49" l="1"/>
  <c r="C51" i="93" l="1"/>
  <c r="C50" i="93"/>
  <c r="C49" i="93"/>
  <c r="C48" i="93"/>
  <c r="L6" i="91"/>
  <c r="L6" i="88"/>
  <c r="L6" i="89"/>
  <c r="L6" i="90"/>
  <c r="C32" i="93"/>
  <c r="E3" i="8" l="1"/>
  <c r="A36" i="8" s="1"/>
  <c r="E3" i="57"/>
  <c r="A36" i="57" s="1"/>
  <c r="E3" i="7"/>
  <c r="A36" i="7" s="1"/>
  <c r="E3" i="56"/>
  <c r="A36" i="56" s="1"/>
  <c r="G3" i="45"/>
  <c r="A42" i="45" s="1"/>
  <c r="G3" i="19"/>
  <c r="A42" i="19" s="1"/>
  <c r="G4" i="19"/>
  <c r="G4" i="9"/>
  <c r="G3" i="9"/>
  <c r="A42" i="9" s="1"/>
  <c r="L6" i="17"/>
  <c r="L6" i="16"/>
  <c r="L6" i="12"/>
  <c r="L6" i="15"/>
  <c r="L8" i="17" l="1"/>
  <c r="L5" i="17" s="1"/>
  <c r="L8" i="16"/>
  <c r="L5" i="16" s="1"/>
  <c r="L8" i="15"/>
  <c r="L5" i="15" s="1"/>
  <c r="L8" i="12"/>
  <c r="L5" i="12" s="1"/>
  <c r="K6" i="55" l="1"/>
  <c r="C31" i="55" s="1"/>
  <c r="K3" i="55"/>
  <c r="C32" i="55" s="1"/>
  <c r="K6" i="54"/>
  <c r="K3" i="54"/>
  <c r="C32" i="54" s="1"/>
  <c r="K6" i="53"/>
  <c r="K3" i="53"/>
  <c r="C32" i="53" s="1"/>
  <c r="K6" i="52"/>
  <c r="C31" i="52" s="1"/>
  <c r="K3" i="52"/>
  <c r="C32" i="52" s="1"/>
  <c r="L7" i="41"/>
  <c r="L6" i="41"/>
  <c r="L3" i="41"/>
  <c r="G29" i="41" s="1"/>
  <c r="L7" i="40"/>
  <c r="L6" i="40"/>
  <c r="L3" i="40"/>
  <c r="G29" i="40" s="1"/>
  <c r="L7" i="38"/>
  <c r="L6" i="38"/>
  <c r="L3" i="38"/>
  <c r="G29" i="38" s="1"/>
  <c r="L7" i="48"/>
  <c r="L6" i="48"/>
  <c r="L3" i="48"/>
  <c r="G29" i="48" s="1"/>
  <c r="L7" i="36"/>
  <c r="L6" i="36"/>
  <c r="L3" i="36"/>
  <c r="G29" i="36" s="1"/>
  <c r="L7" i="37"/>
  <c r="L6" i="37"/>
  <c r="L3" i="37"/>
  <c r="G29" i="37" s="1"/>
  <c r="L7" i="35"/>
  <c r="L6" i="35"/>
  <c r="L3" i="35"/>
  <c r="G29" i="35" s="1"/>
  <c r="L7" i="34"/>
  <c r="L6" i="34"/>
  <c r="L3" i="34"/>
  <c r="G29" i="34" s="1"/>
  <c r="L7" i="32"/>
  <c r="L6" i="32"/>
  <c r="L3" i="32"/>
  <c r="G29" i="32" s="1"/>
  <c r="C31" i="54" l="1"/>
  <c r="C31" i="53"/>
  <c r="L6" i="47" l="1"/>
  <c r="L3" i="47"/>
  <c r="G33" i="47" s="1"/>
  <c r="L6" i="4"/>
  <c r="L3" i="4"/>
  <c r="G33" i="4" s="1"/>
  <c r="L6" i="3"/>
  <c r="L3" i="3"/>
  <c r="G33" i="3" s="1"/>
  <c r="L6" i="2"/>
  <c r="L3" i="2"/>
  <c r="G33" i="2" s="1"/>
  <c r="L6" i="1"/>
  <c r="L3" i="1"/>
  <c r="G33" i="1" s="1"/>
  <c r="L7" i="26" l="1"/>
  <c r="L6" i="26"/>
  <c r="L5" i="26"/>
  <c r="L3" i="26"/>
  <c r="C30" i="26" s="1"/>
  <c r="L7" i="24" l="1"/>
  <c r="L6" i="24"/>
  <c r="L5" i="24"/>
  <c r="L3" i="24"/>
  <c r="C31" i="24" s="1"/>
  <c r="L7" i="23"/>
  <c r="L6" i="23"/>
  <c r="L5" i="23"/>
  <c r="L3" i="23"/>
  <c r="C44" i="23" s="1"/>
  <c r="L6" i="20"/>
  <c r="L5" i="20"/>
  <c r="L3" i="20"/>
  <c r="C34" i="20" s="1"/>
  <c r="V30" i="22" l="1"/>
  <c r="L6" i="22"/>
  <c r="L5" i="22"/>
  <c r="L3" i="22"/>
  <c r="C44" i="22" s="1"/>
  <c r="L5" i="21" l="1"/>
  <c r="L6" i="21"/>
  <c r="L3" i="21"/>
  <c r="C44" i="21" s="1"/>
  <c r="L6" i="5" l="1"/>
  <c r="L3" i="5"/>
  <c r="C34" i="5" s="1"/>
  <c r="F49" i="49" l="1"/>
  <c r="I47" i="49"/>
  <c r="H47" i="49"/>
  <c r="G47" i="49"/>
  <c r="F47" i="49"/>
  <c r="E47" i="49"/>
  <c r="D47" i="49"/>
  <c r="C47" i="49"/>
  <c r="B47" i="49"/>
  <c r="H50" i="49" l="1"/>
  <c r="D50" i="49" l="1"/>
  <c r="D2" i="49" l="1"/>
  <c r="B3" i="49"/>
  <c r="B3" i="98" s="1"/>
  <c r="B2" i="49"/>
  <c r="B2" i="98" s="1"/>
  <c r="D135" i="29" l="1"/>
  <c r="H47" i="73" l="1"/>
  <c r="G47" i="73"/>
  <c r="F47" i="73"/>
  <c r="D5" i="10" l="1"/>
  <c r="I5" i="10"/>
  <c r="D30" i="10" l="1"/>
  <c r="E30" i="10"/>
  <c r="B2" i="10"/>
  <c r="G30" i="10" l="1"/>
  <c r="H7" i="73"/>
  <c r="G7" i="73"/>
  <c r="F7" i="73"/>
  <c r="E7" i="73"/>
  <c r="F11" i="92"/>
  <c r="F10" i="92"/>
  <c r="D11" i="92"/>
  <c r="D10" i="92"/>
  <c r="E12" i="92" l="1"/>
  <c r="D14" i="92" s="1"/>
  <c r="D12" i="92"/>
  <c r="F12" i="92"/>
  <c r="E8" i="73" l="1"/>
  <c r="H8" i="73" s="1"/>
  <c r="G8" i="73" l="1"/>
  <c r="F8" i="73"/>
  <c r="B2" i="92"/>
  <c r="AD14" i="22" l="1"/>
  <c r="AB12" i="22"/>
  <c r="AB11" i="22"/>
  <c r="AD9" i="22"/>
  <c r="C190" i="22"/>
  <c r="N174" i="22"/>
  <c r="B174" i="22"/>
  <c r="F22" i="11" l="1"/>
  <c r="G7" i="88" l="1"/>
  <c r="E72" i="87"/>
  <c r="G7" i="91" s="1"/>
  <c r="E52" i="87"/>
  <c r="G7" i="90" s="1"/>
  <c r="E32" i="87"/>
  <c r="G7" i="89" s="1"/>
  <c r="C238" i="91"/>
  <c r="C236" i="91"/>
  <c r="C234" i="91"/>
  <c r="I232" i="91"/>
  <c r="I228" i="91"/>
  <c r="C222" i="91"/>
  <c r="I217" i="91"/>
  <c r="M217" i="91" s="1"/>
  <c r="G217" i="91"/>
  <c r="I216" i="91"/>
  <c r="G216" i="91"/>
  <c r="I215" i="91"/>
  <c r="G215" i="91"/>
  <c r="I210" i="91"/>
  <c r="M210" i="91" s="1"/>
  <c r="G210" i="91"/>
  <c r="I199" i="91"/>
  <c r="M199" i="91" s="1"/>
  <c r="G199" i="91"/>
  <c r="I198" i="91"/>
  <c r="G198" i="91"/>
  <c r="I197" i="91"/>
  <c r="G197" i="91"/>
  <c r="I192" i="91"/>
  <c r="M192" i="91" s="1"/>
  <c r="G192" i="91"/>
  <c r="B185" i="91"/>
  <c r="I167" i="91"/>
  <c r="I166" i="91"/>
  <c r="B163" i="91"/>
  <c r="I159" i="91"/>
  <c r="I158" i="91"/>
  <c r="K157" i="91"/>
  <c r="B142" i="91"/>
  <c r="B133" i="91"/>
  <c r="B111" i="91"/>
  <c r="B96" i="91"/>
  <c r="I92" i="91"/>
  <c r="I104" i="91" s="1"/>
  <c r="I90" i="91"/>
  <c r="I102" i="91" s="1"/>
  <c r="K88" i="91"/>
  <c r="B83" i="91"/>
  <c r="K78" i="91"/>
  <c r="K74" i="91"/>
  <c r="E65" i="91"/>
  <c r="E122" i="91" s="1"/>
  <c r="E126" i="91" s="1"/>
  <c r="E63" i="91"/>
  <c r="E190" i="91" s="1"/>
  <c r="E197" i="91" s="1"/>
  <c r="D63" i="91"/>
  <c r="D120" i="91" s="1"/>
  <c r="D124" i="91" s="1"/>
  <c r="B61" i="91"/>
  <c r="B50" i="91"/>
  <c r="B37" i="91"/>
  <c r="B30" i="91"/>
  <c r="V24" i="91"/>
  <c r="U24" i="91"/>
  <c r="T24" i="91"/>
  <c r="G40" i="91" s="1"/>
  <c r="R22" i="91"/>
  <c r="R21" i="91"/>
  <c r="Q21" i="91"/>
  <c r="V19" i="91"/>
  <c r="U19" i="91"/>
  <c r="T19" i="91"/>
  <c r="G39" i="91" s="1"/>
  <c r="K19" i="91"/>
  <c r="R17" i="91"/>
  <c r="R16" i="91"/>
  <c r="Q16" i="91"/>
  <c r="V12" i="91"/>
  <c r="R12" i="91"/>
  <c r="R11" i="91"/>
  <c r="Q11" i="91"/>
  <c r="V7" i="91"/>
  <c r="L7" i="91"/>
  <c r="S6" i="91"/>
  <c r="S16" i="91" s="1"/>
  <c r="I34" i="91"/>
  <c r="D239" i="91"/>
  <c r="P3" i="91"/>
  <c r="C238" i="90"/>
  <c r="C236" i="90"/>
  <c r="C234" i="90"/>
  <c r="C222" i="90"/>
  <c r="B185" i="90"/>
  <c r="H178" i="90"/>
  <c r="H180" i="90" s="1"/>
  <c r="B163" i="90"/>
  <c r="K157" i="90"/>
  <c r="E151" i="90"/>
  <c r="F150" i="90"/>
  <c r="E150" i="90"/>
  <c r="D150" i="90"/>
  <c r="E149" i="90"/>
  <c r="F148" i="90"/>
  <c r="E148" i="90"/>
  <c r="D148" i="90"/>
  <c r="E147" i="90"/>
  <c r="F146" i="90"/>
  <c r="E146" i="90"/>
  <c r="D146" i="90"/>
  <c r="F145" i="90"/>
  <c r="F149" i="90" s="1"/>
  <c r="B142" i="90"/>
  <c r="B133" i="90"/>
  <c r="B111" i="90"/>
  <c r="B96" i="90"/>
  <c r="K88" i="90"/>
  <c r="B83" i="90"/>
  <c r="K78" i="90"/>
  <c r="K74" i="90"/>
  <c r="F65" i="90"/>
  <c r="E65" i="90"/>
  <c r="E64" i="90"/>
  <c r="D64" i="90"/>
  <c r="E63" i="90"/>
  <c r="D63" i="90"/>
  <c r="D67" i="90" s="1"/>
  <c r="B61" i="90"/>
  <c r="B50" i="90"/>
  <c r="B37" i="90"/>
  <c r="B30" i="90"/>
  <c r="S23" i="90"/>
  <c r="R23" i="90"/>
  <c r="Q23" i="90"/>
  <c r="R22" i="90"/>
  <c r="Q22" i="90"/>
  <c r="R21" i="90"/>
  <c r="Q21" i="90"/>
  <c r="K19" i="90"/>
  <c r="S18" i="90"/>
  <c r="R18" i="90"/>
  <c r="Q18" i="90"/>
  <c r="R17" i="90"/>
  <c r="Q17" i="90"/>
  <c r="R16" i="90"/>
  <c r="Q16" i="90"/>
  <c r="S13" i="90"/>
  <c r="R13" i="90"/>
  <c r="Q13" i="90"/>
  <c r="R12" i="90"/>
  <c r="Q12" i="90"/>
  <c r="R11" i="90"/>
  <c r="Q11" i="90"/>
  <c r="S7" i="90"/>
  <c r="S17" i="90" s="1"/>
  <c r="L7" i="90"/>
  <c r="S6" i="90"/>
  <c r="F63" i="90" s="1"/>
  <c r="I34" i="90"/>
  <c r="P3" i="90"/>
  <c r="C238" i="89"/>
  <c r="C236" i="89"/>
  <c r="C234" i="89"/>
  <c r="I232" i="89"/>
  <c r="I228" i="89"/>
  <c r="C222" i="89"/>
  <c r="I217" i="89"/>
  <c r="M217" i="89" s="1"/>
  <c r="G217" i="89"/>
  <c r="I216" i="89"/>
  <c r="G216" i="89"/>
  <c r="I215" i="89"/>
  <c r="G215" i="89"/>
  <c r="I210" i="89"/>
  <c r="M210" i="89" s="1"/>
  <c r="G210" i="89"/>
  <c r="I199" i="89"/>
  <c r="M199" i="89" s="1"/>
  <c r="G199" i="89"/>
  <c r="I198" i="89"/>
  <c r="G198" i="89"/>
  <c r="I197" i="89"/>
  <c r="G197" i="89"/>
  <c r="I192" i="89"/>
  <c r="M192" i="89" s="1"/>
  <c r="G192" i="89"/>
  <c r="B185" i="89"/>
  <c r="I167" i="89"/>
  <c r="I166" i="89"/>
  <c r="B163" i="89"/>
  <c r="I159" i="89"/>
  <c r="I158" i="89"/>
  <c r="K157" i="89"/>
  <c r="B142" i="89"/>
  <c r="B133" i="89"/>
  <c r="B111" i="89"/>
  <c r="B96" i="89"/>
  <c r="I92" i="89"/>
  <c r="I104" i="89" s="1"/>
  <c r="I90" i="89"/>
  <c r="I102" i="89" s="1"/>
  <c r="K88" i="89"/>
  <c r="B83" i="89"/>
  <c r="K78" i="89"/>
  <c r="K74" i="89"/>
  <c r="E65" i="89"/>
  <c r="E63" i="89"/>
  <c r="D63" i="89"/>
  <c r="D190" i="89" s="1"/>
  <c r="B61" i="89"/>
  <c r="B50" i="89"/>
  <c r="B37" i="89"/>
  <c r="B30" i="89"/>
  <c r="V24" i="89"/>
  <c r="U24" i="89"/>
  <c r="T24" i="89"/>
  <c r="G40" i="89" s="1"/>
  <c r="R22" i="89"/>
  <c r="R21" i="89"/>
  <c r="Q21" i="89"/>
  <c r="V19" i="89"/>
  <c r="U19" i="89"/>
  <c r="T19" i="89"/>
  <c r="G39" i="89" s="1"/>
  <c r="K19" i="89"/>
  <c r="R17" i="89"/>
  <c r="R16" i="89"/>
  <c r="Q16" i="89"/>
  <c r="V12" i="89"/>
  <c r="R12" i="89"/>
  <c r="R11" i="89"/>
  <c r="Q11" i="89"/>
  <c r="V7" i="89"/>
  <c r="L7" i="89"/>
  <c r="S6" i="89"/>
  <c r="S7" i="89" s="1"/>
  <c r="B135" i="89"/>
  <c r="P3" i="89"/>
  <c r="C238" i="88"/>
  <c r="C236" i="88"/>
  <c r="C234" i="88"/>
  <c r="I232" i="88"/>
  <c r="I228" i="88"/>
  <c r="C222" i="88"/>
  <c r="I217" i="88"/>
  <c r="M217" i="88" s="1"/>
  <c r="G217" i="88"/>
  <c r="I216" i="88"/>
  <c r="G216" i="88"/>
  <c r="I215" i="88"/>
  <c r="G215" i="88"/>
  <c r="I210" i="88"/>
  <c r="M210" i="88" s="1"/>
  <c r="G210" i="88"/>
  <c r="I199" i="88"/>
  <c r="M199" i="88" s="1"/>
  <c r="G199" i="88"/>
  <c r="I198" i="88"/>
  <c r="G198" i="88"/>
  <c r="I197" i="88"/>
  <c r="G197" i="88"/>
  <c r="I192" i="88"/>
  <c r="M192" i="88" s="1"/>
  <c r="G192" i="88"/>
  <c r="B185" i="88"/>
  <c r="B163" i="88"/>
  <c r="I159" i="88"/>
  <c r="I167" i="88" s="1"/>
  <c r="I158" i="88"/>
  <c r="I166" i="88" s="1"/>
  <c r="K157" i="88"/>
  <c r="B142" i="88"/>
  <c r="B133" i="88"/>
  <c r="B111" i="88"/>
  <c r="B96" i="88"/>
  <c r="I92" i="88"/>
  <c r="I104" i="88" s="1"/>
  <c r="I90" i="88"/>
  <c r="I102" i="88" s="1"/>
  <c r="K88" i="88"/>
  <c r="B83" i="88"/>
  <c r="K78" i="88"/>
  <c r="K74" i="88"/>
  <c r="E65" i="88"/>
  <c r="E69" i="88" s="1"/>
  <c r="E63" i="88"/>
  <c r="E120" i="88" s="1"/>
  <c r="E124" i="88" s="1"/>
  <c r="D63" i="88"/>
  <c r="D120" i="88" s="1"/>
  <c r="D124" i="88" s="1"/>
  <c r="B61" i="88"/>
  <c r="B50" i="88"/>
  <c r="B37" i="88"/>
  <c r="B30" i="88"/>
  <c r="V24" i="88"/>
  <c r="U24" i="88"/>
  <c r="T24" i="88"/>
  <c r="G40" i="88" s="1"/>
  <c r="R22" i="88"/>
  <c r="R21" i="88"/>
  <c r="Q21" i="88"/>
  <c r="V19" i="88"/>
  <c r="U19" i="88"/>
  <c r="T19" i="88"/>
  <c r="G39" i="88" s="1"/>
  <c r="K19" i="88"/>
  <c r="R17" i="88"/>
  <c r="R16" i="88"/>
  <c r="Q16" i="88"/>
  <c r="V12" i="88"/>
  <c r="R12" i="88"/>
  <c r="R11" i="88"/>
  <c r="Q11" i="88"/>
  <c r="V7" i="88"/>
  <c r="L7" i="88"/>
  <c r="S6" i="88"/>
  <c r="S16" i="88" s="1"/>
  <c r="D239" i="88"/>
  <c r="P3" i="88"/>
  <c r="E51" i="87"/>
  <c r="G6" i="90" s="1"/>
  <c r="E31" i="87"/>
  <c r="G6" i="89" s="1"/>
  <c r="F71" i="87"/>
  <c r="G6" i="88"/>
  <c r="E120" i="91" l="1"/>
  <c r="E124" i="91" s="1"/>
  <c r="B135" i="88"/>
  <c r="I200" i="91"/>
  <c r="I218" i="88"/>
  <c r="G200" i="89"/>
  <c r="G200" i="91"/>
  <c r="E67" i="88"/>
  <c r="E122" i="88"/>
  <c r="E126" i="88" s="1"/>
  <c r="F147" i="90"/>
  <c r="B135" i="90"/>
  <c r="E191" i="91"/>
  <c r="E198" i="91" s="1"/>
  <c r="E114" i="88"/>
  <c r="E115" i="88" s="1"/>
  <c r="G200" i="88"/>
  <c r="G218" i="88"/>
  <c r="I218" i="89"/>
  <c r="E67" i="91"/>
  <c r="S22" i="90"/>
  <c r="S12" i="90"/>
  <c r="D120" i="89"/>
  <c r="D124" i="89" s="1"/>
  <c r="I200" i="88"/>
  <c r="S11" i="90"/>
  <c r="S7" i="91"/>
  <c r="F65" i="91" s="1"/>
  <c r="G86" i="91" s="1"/>
  <c r="D67" i="91"/>
  <c r="G218" i="91"/>
  <c r="S7" i="88"/>
  <c r="S22" i="88" s="1"/>
  <c r="D114" i="88"/>
  <c r="D115" i="88" s="1"/>
  <c r="I34" i="89"/>
  <c r="S11" i="89"/>
  <c r="S21" i="90"/>
  <c r="B135" i="91"/>
  <c r="S21" i="91"/>
  <c r="F63" i="91"/>
  <c r="F120" i="91" s="1"/>
  <c r="F124" i="91" s="1"/>
  <c r="D67" i="88"/>
  <c r="E69" i="91"/>
  <c r="D112" i="91"/>
  <c r="D186" i="91"/>
  <c r="S21" i="88"/>
  <c r="F63" i="88"/>
  <c r="D239" i="89"/>
  <c r="D186" i="89"/>
  <c r="D112" i="89"/>
  <c r="E191" i="89"/>
  <c r="E69" i="89"/>
  <c r="E122" i="89"/>
  <c r="E126" i="89" s="1"/>
  <c r="F31" i="87"/>
  <c r="F51" i="87"/>
  <c r="E71" i="87"/>
  <c r="S11" i="88"/>
  <c r="D190" i="88"/>
  <c r="D215" i="89"/>
  <c r="D208" i="89"/>
  <c r="D197" i="89"/>
  <c r="D191" i="90"/>
  <c r="D121" i="90"/>
  <c r="D125" i="90" s="1"/>
  <c r="F192" i="90"/>
  <c r="F122" i="90"/>
  <c r="F126" i="90" s="1"/>
  <c r="D186" i="88"/>
  <c r="D112" i="88"/>
  <c r="E191" i="88"/>
  <c r="E190" i="88"/>
  <c r="S12" i="89"/>
  <c r="F65" i="89"/>
  <c r="S17" i="89"/>
  <c r="S22" i="89"/>
  <c r="E190" i="89"/>
  <c r="E67" i="89"/>
  <c r="E120" i="89"/>
  <c r="E124" i="89" s="1"/>
  <c r="E114" i="89"/>
  <c r="E115" i="89" s="1"/>
  <c r="F69" i="90"/>
  <c r="S16" i="89"/>
  <c r="E114" i="90"/>
  <c r="E115" i="90" s="1"/>
  <c r="E190" i="90"/>
  <c r="E120" i="90"/>
  <c r="E124" i="90" s="1"/>
  <c r="E67" i="90"/>
  <c r="S21" i="89"/>
  <c r="F63" i="89"/>
  <c r="D67" i="89"/>
  <c r="I200" i="89"/>
  <c r="G218" i="89"/>
  <c r="D186" i="90"/>
  <c r="D112" i="90"/>
  <c r="D239" i="90"/>
  <c r="F114" i="90"/>
  <c r="F115" i="90" s="1"/>
  <c r="F190" i="90"/>
  <c r="F120" i="90"/>
  <c r="F124" i="90" s="1"/>
  <c r="F67" i="90"/>
  <c r="D114" i="89"/>
  <c r="D115" i="89" s="1"/>
  <c r="S16" i="90"/>
  <c r="E121" i="90"/>
  <c r="E125" i="90" s="1"/>
  <c r="E191" i="90"/>
  <c r="E68" i="90"/>
  <c r="F64" i="90"/>
  <c r="G85" i="90" s="1"/>
  <c r="D190" i="90"/>
  <c r="D120" i="90"/>
  <c r="D124" i="90" s="1"/>
  <c r="E192" i="90"/>
  <c r="E122" i="90"/>
  <c r="E126" i="90" s="1"/>
  <c r="G86" i="90"/>
  <c r="E69" i="90"/>
  <c r="D114" i="90"/>
  <c r="D115" i="90" s="1"/>
  <c r="F151" i="90"/>
  <c r="H179" i="90"/>
  <c r="H181" i="90" s="1"/>
  <c r="I218" i="91"/>
  <c r="E215" i="91"/>
  <c r="E208" i="91"/>
  <c r="S11" i="91"/>
  <c r="D114" i="91"/>
  <c r="D115" i="91" s="1"/>
  <c r="D190" i="91"/>
  <c r="E114" i="91"/>
  <c r="E115" i="91" s="1"/>
  <c r="E209" i="91" l="1"/>
  <c r="E216" i="91"/>
  <c r="S22" i="91"/>
  <c r="F191" i="91"/>
  <c r="F216" i="91" s="1"/>
  <c r="F67" i="91"/>
  <c r="F114" i="91"/>
  <c r="F115" i="91" s="1"/>
  <c r="S17" i="91"/>
  <c r="F69" i="91"/>
  <c r="F190" i="91"/>
  <c r="F197" i="91" s="1"/>
  <c r="F122" i="91"/>
  <c r="F126" i="91" s="1"/>
  <c r="S12" i="91"/>
  <c r="S12" i="88"/>
  <c r="S17" i="88"/>
  <c r="F65" i="88"/>
  <c r="F69" i="88" s="1"/>
  <c r="G91" i="90"/>
  <c r="G87" i="90"/>
  <c r="G89" i="90"/>
  <c r="E215" i="90"/>
  <c r="E197" i="90"/>
  <c r="E208" i="90"/>
  <c r="E197" i="89"/>
  <c r="E208" i="89"/>
  <c r="E215" i="89"/>
  <c r="F191" i="89"/>
  <c r="F69" i="89"/>
  <c r="F122" i="89"/>
  <c r="F126" i="89" s="1"/>
  <c r="G86" i="89"/>
  <c r="F190" i="88"/>
  <c r="F114" i="88"/>
  <c r="F115" i="88" s="1"/>
  <c r="F120" i="88"/>
  <c r="F124" i="88" s="1"/>
  <c r="F67" i="88"/>
  <c r="E209" i="88"/>
  <c r="E216" i="88"/>
  <c r="E198" i="88"/>
  <c r="F217" i="90"/>
  <c r="F210" i="90"/>
  <c r="F199" i="90"/>
  <c r="G6" i="91"/>
  <c r="F120" i="89"/>
  <c r="F124" i="89" s="1"/>
  <c r="F190" i="89"/>
  <c r="F67" i="89"/>
  <c r="F114" i="89"/>
  <c r="F115" i="89" s="1"/>
  <c r="D209" i="90"/>
  <c r="D216" i="90"/>
  <c r="D198" i="90"/>
  <c r="E217" i="90"/>
  <c r="E210" i="90"/>
  <c r="E199" i="90"/>
  <c r="D197" i="91"/>
  <c r="D215" i="91"/>
  <c r="D208" i="91"/>
  <c r="E216" i="90"/>
  <c r="E209" i="90"/>
  <c r="E198" i="90"/>
  <c r="G90" i="90"/>
  <c r="G92" i="90"/>
  <c r="G88" i="90"/>
  <c r="D215" i="90"/>
  <c r="D208" i="90"/>
  <c r="D197" i="90"/>
  <c r="F121" i="90"/>
  <c r="F125" i="90" s="1"/>
  <c r="F68" i="90"/>
  <c r="F191" i="90"/>
  <c r="G88" i="91"/>
  <c r="G90" i="91"/>
  <c r="G92" i="91"/>
  <c r="F208" i="90"/>
  <c r="F215" i="90"/>
  <c r="F197" i="90"/>
  <c r="E197" i="88"/>
  <c r="E215" i="88"/>
  <c r="E208" i="88"/>
  <c r="D208" i="88"/>
  <c r="D197" i="88"/>
  <c r="D215" i="88"/>
  <c r="E198" i="89"/>
  <c r="E209" i="89"/>
  <c r="E216" i="89"/>
  <c r="F198" i="91" l="1"/>
  <c r="F209" i="91"/>
  <c r="F122" i="88"/>
  <c r="F126" i="88" s="1"/>
  <c r="F208" i="91"/>
  <c r="G86" i="88"/>
  <c r="G88" i="88" s="1"/>
  <c r="F215" i="91"/>
  <c r="F191" i="88"/>
  <c r="F209" i="88" s="1"/>
  <c r="F215" i="88"/>
  <c r="F197" i="88"/>
  <c r="F208" i="88"/>
  <c r="F209" i="90"/>
  <c r="F198" i="90"/>
  <c r="F216" i="90"/>
  <c r="G92" i="89"/>
  <c r="G90" i="89"/>
  <c r="G88" i="89"/>
  <c r="F208" i="89"/>
  <c r="F215" i="89"/>
  <c r="F197" i="89"/>
  <c r="F216" i="89"/>
  <c r="F209" i="89"/>
  <c r="F198" i="89"/>
  <c r="G92" i="88" l="1"/>
  <c r="F216" i="88"/>
  <c r="F198" i="88"/>
  <c r="G90" i="88"/>
  <c r="E22" i="73"/>
  <c r="F22" i="73" s="1"/>
  <c r="F61" i="73" s="1"/>
  <c r="F68" i="73" s="1"/>
  <c r="B2" i="73"/>
  <c r="H64" i="73"/>
  <c r="G64" i="73"/>
  <c r="F64" i="73"/>
  <c r="E64" i="73"/>
  <c r="H15" i="73"/>
  <c r="G15" i="73"/>
  <c r="F15" i="73"/>
  <c r="E15" i="73"/>
  <c r="D8" i="98" s="1"/>
  <c r="H9" i="73"/>
  <c r="G9" i="73"/>
  <c r="F9" i="73"/>
  <c r="E9" i="73"/>
  <c r="K8" i="98" l="1"/>
  <c r="K9" i="98" s="1"/>
  <c r="G8" i="98"/>
  <c r="G9" i="98" s="1"/>
  <c r="J8" i="98"/>
  <c r="J9" i="98" s="1"/>
  <c r="F8" i="98"/>
  <c r="F9" i="98" s="1"/>
  <c r="I8" i="98"/>
  <c r="I9" i="98" s="1"/>
  <c r="E8" i="98"/>
  <c r="E9" i="98" s="1"/>
  <c r="H8" i="98"/>
  <c r="H9" i="98" s="1"/>
  <c r="D9" i="98"/>
  <c r="E61" i="73"/>
  <c r="E68" i="73" s="1"/>
  <c r="G22" i="73"/>
  <c r="G61" i="73" s="1"/>
  <c r="G68" i="73" s="1"/>
  <c r="H22" i="73"/>
  <c r="H61" i="73" s="1"/>
  <c r="H68" i="73" s="1"/>
  <c r="D6" i="29" l="1"/>
  <c r="C19" i="93" s="1"/>
  <c r="D31" i="29"/>
  <c r="C20" i="93" s="1"/>
  <c r="D33" i="29"/>
  <c r="D34" i="29"/>
  <c r="D52" i="29"/>
  <c r="C21" i="93" s="1"/>
  <c r="D54" i="29"/>
  <c r="D55" i="29"/>
  <c r="D56" i="29"/>
  <c r="D73" i="29"/>
  <c r="C22" i="93" s="1"/>
  <c r="D75" i="29"/>
  <c r="D76" i="29"/>
  <c r="D94" i="29"/>
  <c r="C23" i="93" s="1"/>
  <c r="D96" i="29"/>
  <c r="D97" i="29"/>
  <c r="D115" i="29"/>
  <c r="C24" i="93" s="1"/>
  <c r="D117" i="29"/>
  <c r="D118" i="29"/>
  <c r="D132" i="29"/>
  <c r="C25" i="93" s="1"/>
  <c r="D10" i="51"/>
  <c r="D44" i="51" s="1"/>
  <c r="D45" i="51" s="1"/>
  <c r="D53" i="51" l="1"/>
  <c r="D29" i="51"/>
  <c r="C282" i="38" l="1"/>
  <c r="C278" i="38"/>
  <c r="L276" i="38"/>
  <c r="L269" i="38"/>
  <c r="B264" i="38"/>
  <c r="C261" i="38"/>
  <c r="B241" i="38"/>
  <c r="C287" i="40"/>
  <c r="C283" i="40"/>
  <c r="L281" i="40"/>
  <c r="L274" i="40"/>
  <c r="N269" i="40"/>
  <c r="B269" i="40"/>
  <c r="C266" i="40"/>
  <c r="B246" i="40"/>
  <c r="C278" i="41"/>
  <c r="L276" i="41"/>
  <c r="L269" i="41"/>
  <c r="N264" i="41"/>
  <c r="B264" i="41"/>
  <c r="C261" i="41"/>
  <c r="B241" i="41"/>
  <c r="L278" i="38" l="1"/>
  <c r="L283" i="40"/>
  <c r="L278" i="41"/>
  <c r="N6" i="11" l="1"/>
  <c r="K4" i="18" s="1"/>
  <c r="N5" i="11"/>
  <c r="J4" i="18" s="1"/>
  <c r="N4" i="11"/>
  <c r="I4" i="18" s="1"/>
  <c r="N3" i="11"/>
  <c r="H4" i="18" s="1"/>
  <c r="N2" i="11"/>
  <c r="G4" i="18" s="1"/>
  <c r="J6" i="18"/>
  <c r="K6" i="18"/>
  <c r="D143" i="27" l="1"/>
  <c r="C16" i="93" s="1"/>
  <c r="J130" i="57"/>
  <c r="A130" i="57"/>
  <c r="J129" i="57"/>
  <c r="A129" i="57"/>
  <c r="C117" i="57"/>
  <c r="L131" i="57" s="1"/>
  <c r="G16" i="57" s="1"/>
  <c r="A116" i="57"/>
  <c r="A115" i="57"/>
  <c r="A51" i="57"/>
  <c r="A40" i="57"/>
  <c r="A35" i="57"/>
  <c r="A34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E15" i="57"/>
  <c r="J14" i="57"/>
  <c r="J13" i="57"/>
  <c r="A13" i="57"/>
  <c r="J12" i="57"/>
  <c r="J11" i="57"/>
  <c r="A11" i="57"/>
  <c r="J10" i="57"/>
  <c r="J9" i="57"/>
  <c r="A9" i="57"/>
  <c r="J8" i="57"/>
  <c r="J7" i="57"/>
  <c r="A7" i="57"/>
  <c r="J6" i="57"/>
  <c r="J5" i="57"/>
  <c r="J4" i="57"/>
  <c r="E4" i="57"/>
  <c r="E15" i="56"/>
  <c r="E4" i="56"/>
  <c r="C157" i="27" l="1"/>
  <c r="E15" i="8" l="1"/>
  <c r="E4" i="8"/>
  <c r="Q23" i="19" l="1"/>
  <c r="Q18" i="19"/>
  <c r="P23" i="19"/>
  <c r="P22" i="19"/>
  <c r="O23" i="19"/>
  <c r="O22" i="19"/>
  <c r="P18" i="19"/>
  <c r="P17" i="19"/>
  <c r="O18" i="19"/>
  <c r="O17" i="19"/>
  <c r="Q23" i="9"/>
  <c r="Q18" i="9"/>
  <c r="O23" i="9"/>
  <c r="O22" i="9"/>
  <c r="O18" i="9"/>
  <c r="O17" i="9"/>
  <c r="F34" i="45"/>
  <c r="F33" i="45"/>
  <c r="F34" i="19"/>
  <c r="F33" i="19"/>
  <c r="F34" i="9"/>
  <c r="F33" i="9"/>
  <c r="G5" i="45"/>
  <c r="G11" i="45" s="1"/>
  <c r="G4" i="45"/>
  <c r="G5" i="19"/>
  <c r="G11" i="19" s="1"/>
  <c r="G5" i="9"/>
  <c r="G11" i="9" s="1"/>
  <c r="G25" i="9" l="1"/>
  <c r="G25" i="19"/>
  <c r="K56" i="18" l="1"/>
  <c r="J56" i="18"/>
  <c r="I56" i="18"/>
  <c r="H56" i="18"/>
  <c r="G56" i="18"/>
  <c r="A13" i="7" l="1"/>
  <c r="A11" i="7"/>
  <c r="A9" i="7"/>
  <c r="A7" i="7"/>
  <c r="A13" i="56"/>
  <c r="A11" i="56"/>
  <c r="A9" i="56"/>
  <c r="A7" i="56"/>
  <c r="E4" i="7"/>
  <c r="D119" i="27" l="1"/>
  <c r="C15" i="93" s="1"/>
  <c r="J130" i="56"/>
  <c r="A130" i="56"/>
  <c r="J129" i="56"/>
  <c r="A129" i="56"/>
  <c r="C117" i="56"/>
  <c r="L131" i="56" s="1"/>
  <c r="G16" i="56" s="1"/>
  <c r="A116" i="56"/>
  <c r="A115" i="56"/>
  <c r="A51" i="56"/>
  <c r="A40" i="56"/>
  <c r="A35" i="56"/>
  <c r="A34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C133" i="27"/>
  <c r="J14" i="56"/>
  <c r="J13" i="56"/>
  <c r="J12" i="56"/>
  <c r="J11" i="56"/>
  <c r="J10" i="56"/>
  <c r="J9" i="56"/>
  <c r="J8" i="56"/>
  <c r="J7" i="56"/>
  <c r="J6" i="56"/>
  <c r="J5" i="56"/>
  <c r="J4" i="56"/>
  <c r="D104" i="27" l="1"/>
  <c r="D81" i="27"/>
  <c r="D58" i="27"/>
  <c r="H136" i="29"/>
  <c r="H135" i="29"/>
  <c r="H119" i="29"/>
  <c r="H118" i="29"/>
  <c r="H98" i="29"/>
  <c r="H97" i="29"/>
  <c r="H77" i="29"/>
  <c r="H76" i="29"/>
  <c r="H56" i="29"/>
  <c r="H55" i="29"/>
  <c r="E22" i="11" l="1"/>
  <c r="E83" i="11" s="1"/>
  <c r="E43" i="11" l="1"/>
  <c r="E63" i="11"/>
  <c r="I6" i="18"/>
  <c r="H6" i="18"/>
  <c r="G6" i="18"/>
  <c r="K54" i="18" l="1"/>
  <c r="J54" i="18"/>
  <c r="I54" i="18"/>
  <c r="H54" i="18"/>
  <c r="G54" i="18"/>
  <c r="K7" i="18"/>
  <c r="K55" i="18" s="1"/>
  <c r="J7" i="18"/>
  <c r="J55" i="18" s="1"/>
  <c r="I7" i="18"/>
  <c r="I55" i="18" s="1"/>
  <c r="F63" i="11" l="1"/>
  <c r="F83" i="11"/>
  <c r="F43" i="11"/>
  <c r="G39" i="55" l="1"/>
  <c r="E7" i="55"/>
  <c r="G40" i="55" s="1"/>
  <c r="E6" i="55"/>
  <c r="C40" i="54"/>
  <c r="C47" i="54" s="1"/>
  <c r="K8" i="54"/>
  <c r="E7" i="54"/>
  <c r="E6" i="54"/>
  <c r="E46" i="53"/>
  <c r="E38" i="53"/>
  <c r="K8" i="53"/>
  <c r="E7" i="53"/>
  <c r="E6" i="53"/>
  <c r="B53" i="52"/>
  <c r="E52" i="52"/>
  <c r="C42" i="52"/>
  <c r="K10" i="52"/>
  <c r="E7" i="52"/>
  <c r="E53" i="52" s="1"/>
  <c r="E6" i="52"/>
  <c r="E10" i="51"/>
  <c r="E44" i="51" s="1"/>
  <c r="E29" i="51" l="1"/>
  <c r="E53" i="51"/>
  <c r="E141" i="28"/>
  <c r="H97" i="50"/>
  <c r="H74" i="50"/>
  <c r="H73" i="50"/>
  <c r="H41" i="50"/>
  <c r="H40" i="50"/>
  <c r="H164" i="6"/>
  <c r="H163" i="6"/>
  <c r="H133" i="6"/>
  <c r="H132" i="6"/>
  <c r="H103" i="6"/>
  <c r="H102" i="6"/>
  <c r="H70" i="6"/>
  <c r="H69" i="6"/>
  <c r="H40" i="6"/>
  <c r="H39" i="6"/>
  <c r="H120" i="28"/>
  <c r="H119" i="28"/>
  <c r="H92" i="28"/>
  <c r="H91" i="28"/>
  <c r="H64" i="28"/>
  <c r="H63" i="28"/>
  <c r="H36" i="28"/>
  <c r="H35" i="28"/>
  <c r="H35" i="29"/>
  <c r="E8" i="54" l="1"/>
  <c r="G40" i="54" s="1"/>
  <c r="G47" i="54" s="1"/>
  <c r="H34" i="29"/>
  <c r="D102" i="6" l="1"/>
  <c r="G6" i="32"/>
  <c r="G6" i="38"/>
  <c r="E74" i="50"/>
  <c r="E73" i="50"/>
  <c r="D73" i="50"/>
  <c r="E41" i="50"/>
  <c r="E40" i="50"/>
  <c r="D40" i="50"/>
  <c r="E164" i="6"/>
  <c r="E163" i="6"/>
  <c r="D163" i="6"/>
  <c r="E133" i="6"/>
  <c r="E132" i="6"/>
  <c r="D132" i="6"/>
  <c r="E103" i="6"/>
  <c r="E102" i="6"/>
  <c r="E70" i="6"/>
  <c r="E69" i="6"/>
  <c r="D69" i="6"/>
  <c r="E40" i="6"/>
  <c r="E39" i="6"/>
  <c r="D39" i="6"/>
  <c r="D120" i="28"/>
  <c r="D92" i="28"/>
  <c r="D64" i="28"/>
  <c r="D36" i="28"/>
  <c r="G7" i="1"/>
  <c r="G6" i="1"/>
  <c r="E119" i="28"/>
  <c r="D119" i="28"/>
  <c r="G6" i="47" s="1"/>
  <c r="E91" i="28"/>
  <c r="D91" i="28"/>
  <c r="G6" i="4" s="1"/>
  <c r="E63" i="28"/>
  <c r="D63" i="28"/>
  <c r="G6" i="3" s="1"/>
  <c r="E35" i="28"/>
  <c r="D35" i="28"/>
  <c r="G6" i="2" s="1"/>
  <c r="G6" i="48" l="1"/>
  <c r="G6" i="35"/>
  <c r="G6" i="34"/>
  <c r="G6" i="36"/>
  <c r="G6" i="37"/>
  <c r="G6" i="41"/>
  <c r="G6" i="40"/>
  <c r="E14" i="5"/>
  <c r="E6" i="26" l="1"/>
  <c r="E6" i="22"/>
  <c r="E6" i="20"/>
  <c r="E6" i="5"/>
  <c r="E6" i="24"/>
  <c r="E6" i="23" l="1"/>
  <c r="E6" i="21" l="1"/>
  <c r="F44" i="37"/>
  <c r="E15" i="7" l="1"/>
  <c r="D103" i="27"/>
  <c r="D80" i="27"/>
  <c r="D57" i="27"/>
  <c r="D34" i="27"/>
  <c r="D113" i="27"/>
  <c r="D94" i="27"/>
  <c r="D71" i="27"/>
  <c r="D46" i="27"/>
  <c r="D33" i="27"/>
  <c r="G6" i="15" l="1"/>
  <c r="G6" i="16"/>
  <c r="G6" i="12" l="1"/>
  <c r="G6" i="17"/>
  <c r="C88" i="50" l="1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D70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D37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45" i="93" l="1"/>
  <c r="C44" i="93"/>
  <c r="C43" i="93"/>
  <c r="D160" i="6"/>
  <c r="S23" i="48"/>
  <c r="S21" i="48"/>
  <c r="L18" i="96" s="1"/>
  <c r="N18" i="96" s="1"/>
  <c r="S18" i="48"/>
  <c r="S11" i="48"/>
  <c r="L17" i="96" s="1"/>
  <c r="N17" i="96" s="1"/>
  <c r="C212" i="48"/>
  <c r="C203" i="48"/>
  <c r="C199" i="48"/>
  <c r="L197" i="48"/>
  <c r="L190" i="48"/>
  <c r="N185" i="48"/>
  <c r="B185" i="48"/>
  <c r="C182" i="48"/>
  <c r="K175" i="48"/>
  <c r="B162" i="48"/>
  <c r="B150" i="48"/>
  <c r="B139" i="48"/>
  <c r="K135" i="48"/>
  <c r="D133" i="48"/>
  <c r="D141" i="48" s="1"/>
  <c r="D132" i="48"/>
  <c r="D134" i="48" s="1"/>
  <c r="D142" i="48" s="1"/>
  <c r="B130" i="48"/>
  <c r="F126" i="48"/>
  <c r="C189" i="48" s="1"/>
  <c r="F125" i="48"/>
  <c r="C188" i="48" s="1"/>
  <c r="B116" i="48"/>
  <c r="B107" i="48"/>
  <c r="C97" i="48"/>
  <c r="C96" i="48"/>
  <c r="B92" i="48"/>
  <c r="D85" i="48"/>
  <c r="D84" i="48"/>
  <c r="D83" i="48"/>
  <c r="D82" i="48"/>
  <c r="D81" i="48"/>
  <c r="D80" i="48"/>
  <c r="B79" i="48"/>
  <c r="K74" i="48"/>
  <c r="B69" i="48"/>
  <c r="D62" i="48"/>
  <c r="F58" i="48"/>
  <c r="D65" i="48" s="1"/>
  <c r="D58" i="48"/>
  <c r="C65" i="48" s="1"/>
  <c r="D177" i="48" s="1"/>
  <c r="F57" i="48"/>
  <c r="D64" i="48" s="1"/>
  <c r="F176" i="48" s="1"/>
  <c r="D57" i="48"/>
  <c r="C64" i="48" s="1"/>
  <c r="D99" i="48" s="1"/>
  <c r="F56" i="48"/>
  <c r="D63" i="48" s="1"/>
  <c r="F175" i="48" s="1"/>
  <c r="D56" i="48"/>
  <c r="C63" i="48" s="1"/>
  <c r="D175" i="48" s="1"/>
  <c r="B54" i="48"/>
  <c r="C62" i="48" s="1"/>
  <c r="G38" i="48"/>
  <c r="G37" i="48"/>
  <c r="B31" i="48"/>
  <c r="R23" i="48"/>
  <c r="Q23" i="48"/>
  <c r="T22" i="48"/>
  <c r="R22" i="48"/>
  <c r="Q22" i="48"/>
  <c r="J22" i="48"/>
  <c r="U24" i="48"/>
  <c r="T21" i="48"/>
  <c r="R21" i="48"/>
  <c r="Q21" i="48"/>
  <c r="R18" i="48"/>
  <c r="Q18" i="48"/>
  <c r="T17" i="48"/>
  <c r="R17" i="48"/>
  <c r="Q17" i="48"/>
  <c r="U19" i="48"/>
  <c r="T16" i="48"/>
  <c r="R16" i="48"/>
  <c r="Q16" i="48"/>
  <c r="R13" i="48"/>
  <c r="Q13" i="48"/>
  <c r="I135" i="48"/>
  <c r="I143" i="48" s="1"/>
  <c r="T12" i="48"/>
  <c r="R12" i="48"/>
  <c r="Q12" i="48"/>
  <c r="I134" i="48"/>
  <c r="I142" i="48" s="1"/>
  <c r="T11" i="48"/>
  <c r="R11" i="48"/>
  <c r="Q11" i="48"/>
  <c r="U9" i="48"/>
  <c r="H8" i="48"/>
  <c r="E165" i="6" s="1"/>
  <c r="H146" i="97" s="1"/>
  <c r="I133" i="48"/>
  <c r="I141" i="48" s="1"/>
  <c r="I132" i="48"/>
  <c r="I140" i="48" s="1"/>
  <c r="P3" i="48"/>
  <c r="C74" i="96" l="1"/>
  <c r="C147" i="96" s="1"/>
  <c r="L147" i="96" s="1"/>
  <c r="L154" i="96" s="1"/>
  <c r="C40" i="93"/>
  <c r="C195" i="48"/>
  <c r="L199" i="48"/>
  <c r="C71" i="48"/>
  <c r="C80" i="48" s="1"/>
  <c r="C73" i="48"/>
  <c r="C82" i="48" s="1"/>
  <c r="I72" i="48"/>
  <c r="I175" i="48" s="1"/>
  <c r="M175" i="48" s="1"/>
  <c r="I196" i="48"/>
  <c r="I195" i="48"/>
  <c r="F177" i="48"/>
  <c r="F167" i="48"/>
  <c r="F100" i="48"/>
  <c r="I188" i="48"/>
  <c r="I144" i="48"/>
  <c r="I146" i="48" s="1"/>
  <c r="I189" i="48"/>
  <c r="U14" i="48"/>
  <c r="J119" i="48"/>
  <c r="F98" i="48"/>
  <c r="F99" i="48"/>
  <c r="D135" i="48"/>
  <c r="D143" i="48" s="1"/>
  <c r="D140" i="48"/>
  <c r="F155" i="48"/>
  <c r="F165" i="48"/>
  <c r="D166" i="48"/>
  <c r="D176" i="48"/>
  <c r="C196" i="48"/>
  <c r="J118" i="48"/>
  <c r="D100" i="48"/>
  <c r="F156" i="48"/>
  <c r="F166" i="48"/>
  <c r="D167" i="48"/>
  <c r="H118" i="48"/>
  <c r="C75" i="48"/>
  <c r="C84" i="48" s="1"/>
  <c r="H119" i="48"/>
  <c r="D98" i="48"/>
  <c r="D165" i="48"/>
  <c r="U26" i="48" l="1"/>
  <c r="L118" i="48"/>
  <c r="I81" i="48"/>
  <c r="K81" i="48" s="1"/>
  <c r="L119" i="48"/>
  <c r="N118" i="48"/>
  <c r="C298" i="47" l="1"/>
  <c r="C290" i="47"/>
  <c r="C279" i="47"/>
  <c r="I188" i="47" l="1"/>
  <c r="I267" i="47" s="1"/>
  <c r="I187" i="47"/>
  <c r="I263" i="47" s="1"/>
  <c r="K26" i="47"/>
  <c r="K25" i="47"/>
  <c r="C282" i="47"/>
  <c r="C271" i="47"/>
  <c r="C269" i="47"/>
  <c r="C257" i="47"/>
  <c r="M253" i="47"/>
  <c r="I247" i="47"/>
  <c r="M247" i="47" s="1"/>
  <c r="G247" i="47"/>
  <c r="G246" i="47"/>
  <c r="I245" i="47"/>
  <c r="G245" i="47"/>
  <c r="I240" i="47"/>
  <c r="M240" i="47" s="1"/>
  <c r="G240" i="47"/>
  <c r="I229" i="47"/>
  <c r="M229" i="47" s="1"/>
  <c r="G229" i="47"/>
  <c r="G228" i="47"/>
  <c r="I227" i="47"/>
  <c r="G227" i="47"/>
  <c r="I222" i="47"/>
  <c r="M222" i="47" s="1"/>
  <c r="G222" i="47"/>
  <c r="B215" i="47"/>
  <c r="B192" i="47"/>
  <c r="K186" i="47"/>
  <c r="B167" i="47"/>
  <c r="B160" i="47"/>
  <c r="B158" i="47"/>
  <c r="B161" i="47" s="1"/>
  <c r="B135" i="47"/>
  <c r="B116" i="47"/>
  <c r="K108" i="47"/>
  <c r="B103" i="47"/>
  <c r="K98" i="47"/>
  <c r="K94" i="47"/>
  <c r="E85" i="47"/>
  <c r="E89" i="47" s="1"/>
  <c r="E83" i="47"/>
  <c r="D83" i="47"/>
  <c r="D220" i="47" s="1"/>
  <c r="B81" i="47"/>
  <c r="B55" i="47"/>
  <c r="B42" i="47"/>
  <c r="I38" i="47"/>
  <c r="B35" i="47"/>
  <c r="V24" i="47"/>
  <c r="T24" i="47"/>
  <c r="G45" i="47" s="1"/>
  <c r="R22" i="47"/>
  <c r="R21" i="47"/>
  <c r="Q21" i="47"/>
  <c r="I160" i="47"/>
  <c r="V19" i="47"/>
  <c r="T19" i="47"/>
  <c r="G44" i="47" s="1"/>
  <c r="R17" i="47"/>
  <c r="R16" i="47"/>
  <c r="Q16" i="47"/>
  <c r="G239" i="47"/>
  <c r="R12" i="47"/>
  <c r="I238" i="47"/>
  <c r="G238" i="47"/>
  <c r="R11" i="47"/>
  <c r="Q11" i="47"/>
  <c r="G221" i="47"/>
  <c r="L7" i="47"/>
  <c r="I220" i="47"/>
  <c r="G220" i="47"/>
  <c r="S16" i="47"/>
  <c r="A5" i="47"/>
  <c r="L8" i="47" s="1"/>
  <c r="P3" i="47"/>
  <c r="D100" i="27"/>
  <c r="C14" i="93" s="1"/>
  <c r="D77" i="27"/>
  <c r="C13" i="93" s="1"/>
  <c r="G223" i="47" l="1"/>
  <c r="G230" i="47"/>
  <c r="G248" i="47"/>
  <c r="E147" i="47"/>
  <c r="E151" i="47" s="1"/>
  <c r="G241" i="47"/>
  <c r="H45" i="47"/>
  <c r="I45" i="47" s="1"/>
  <c r="D238" i="47"/>
  <c r="D227" i="47"/>
  <c r="D245" i="47"/>
  <c r="H44" i="47"/>
  <c r="I44" i="47" s="1"/>
  <c r="H42" i="47"/>
  <c r="S7" i="47"/>
  <c r="T9" i="47"/>
  <c r="G42" i="47" s="1"/>
  <c r="T14" i="47"/>
  <c r="G43" i="47" s="1"/>
  <c r="D87" i="47"/>
  <c r="E220" i="47"/>
  <c r="M255" i="47"/>
  <c r="S11" i="47"/>
  <c r="E87" i="47"/>
  <c r="S21" i="47"/>
  <c r="F83" i="47"/>
  <c r="E221" i="47"/>
  <c r="I42" i="47" l="1"/>
  <c r="E246" i="47"/>
  <c r="E239" i="47"/>
  <c r="E228" i="47"/>
  <c r="E238" i="47"/>
  <c r="E227" i="47"/>
  <c r="E245" i="47"/>
  <c r="G105" i="47"/>
  <c r="F87" i="47"/>
  <c r="F220" i="47"/>
  <c r="H43" i="47"/>
  <c r="I43" i="47" s="1"/>
  <c r="S17" i="47"/>
  <c r="S22" i="47"/>
  <c r="S12" i="47"/>
  <c r="F85" i="47"/>
  <c r="I46" i="47" l="1"/>
  <c r="F227" i="47"/>
  <c r="F245" i="47"/>
  <c r="F238" i="47"/>
  <c r="F221" i="47"/>
  <c r="F147" i="47"/>
  <c r="F151" i="47" s="1"/>
  <c r="F89" i="47"/>
  <c r="G106" i="47"/>
  <c r="G107" i="47"/>
  <c r="G111" i="47"/>
  <c r="G109" i="47"/>
  <c r="L58" i="47" l="1"/>
  <c r="F239" i="47"/>
  <c r="F228" i="47"/>
  <c r="F246" i="47"/>
  <c r="G112" i="47"/>
  <c r="G110" i="47"/>
  <c r="G108" i="47"/>
  <c r="A19" i="45" l="1"/>
  <c r="C139" i="97" s="1"/>
  <c r="A17" i="45"/>
  <c r="C138" i="97" s="1"/>
  <c r="A15" i="45"/>
  <c r="A13" i="45"/>
  <c r="B174" i="45"/>
  <c r="F166" i="45"/>
  <c r="I166" i="45" s="1"/>
  <c r="E166" i="45"/>
  <c r="C165" i="45"/>
  <c r="F164" i="45"/>
  <c r="E164" i="45"/>
  <c r="D164" i="45"/>
  <c r="C164" i="45"/>
  <c r="B164" i="45"/>
  <c r="F159" i="45"/>
  <c r="I159" i="45" s="1"/>
  <c r="E159" i="45"/>
  <c r="C158" i="45"/>
  <c r="D157" i="45"/>
  <c r="C157" i="45"/>
  <c r="B157" i="45"/>
  <c r="F151" i="45"/>
  <c r="I151" i="45" s="1"/>
  <c r="E151" i="45"/>
  <c r="C150" i="45"/>
  <c r="F149" i="45"/>
  <c r="E149" i="45"/>
  <c r="D149" i="45"/>
  <c r="C149" i="45"/>
  <c r="B149" i="45"/>
  <c r="F144" i="45"/>
  <c r="E144" i="45"/>
  <c r="C143" i="45"/>
  <c r="D142" i="45"/>
  <c r="C142" i="45"/>
  <c r="B142" i="45"/>
  <c r="B138" i="45"/>
  <c r="C134" i="45"/>
  <c r="D133" i="45"/>
  <c r="C133" i="45"/>
  <c r="B133" i="45"/>
  <c r="C131" i="45"/>
  <c r="D130" i="45"/>
  <c r="C130" i="45"/>
  <c r="B130" i="45"/>
  <c r="A127" i="45"/>
  <c r="B122" i="45"/>
  <c r="B121" i="45"/>
  <c r="A120" i="45"/>
  <c r="A108" i="45"/>
  <c r="H103" i="45"/>
  <c r="A100" i="45"/>
  <c r="A91" i="45"/>
  <c r="C81" i="45"/>
  <c r="B81" i="45"/>
  <c r="C69" i="45"/>
  <c r="D68" i="45"/>
  <c r="C68" i="45"/>
  <c r="B68" i="45"/>
  <c r="C66" i="45"/>
  <c r="C102" i="45" s="1"/>
  <c r="D65" i="45"/>
  <c r="C65" i="45"/>
  <c r="B65" i="45"/>
  <c r="A62" i="45"/>
  <c r="C56" i="45"/>
  <c r="D55" i="45"/>
  <c r="C55" i="45"/>
  <c r="B55" i="45"/>
  <c r="D53" i="45"/>
  <c r="D165" i="45" s="1"/>
  <c r="A44" i="45"/>
  <c r="A33" i="45"/>
  <c r="A124" i="45" s="1"/>
  <c r="Q25" i="45"/>
  <c r="M23" i="45"/>
  <c r="M22" i="45"/>
  <c r="C84" i="45" s="1"/>
  <c r="L22" i="45"/>
  <c r="B84" i="45" s="1"/>
  <c r="Q20" i="45"/>
  <c r="M18" i="45"/>
  <c r="M17" i="45"/>
  <c r="C83" i="45" s="1"/>
  <c r="L17" i="45"/>
  <c r="B83" i="45" s="1"/>
  <c r="Q13" i="45"/>
  <c r="Q15" i="45" s="1"/>
  <c r="M13" i="45"/>
  <c r="E157" i="45"/>
  <c r="M12" i="45"/>
  <c r="C82" i="45" s="1"/>
  <c r="L12" i="45"/>
  <c r="B82" i="45" s="1"/>
  <c r="A9" i="45"/>
  <c r="A8" i="45"/>
  <c r="Q10" i="45"/>
  <c r="F142" i="45"/>
  <c r="E142" i="45"/>
  <c r="D81" i="45"/>
  <c r="A7" i="45"/>
  <c r="A6" i="45"/>
  <c r="K4" i="45"/>
  <c r="C105" i="27" l="1"/>
  <c r="C134" i="97"/>
  <c r="C106" i="27"/>
  <c r="C135" i="97"/>
  <c r="C112" i="27"/>
  <c r="C107" i="27"/>
  <c r="C108" i="27"/>
  <c r="D134" i="45"/>
  <c r="D158" i="45"/>
  <c r="A173" i="45"/>
  <c r="G81" i="45"/>
  <c r="E130" i="45" s="1"/>
  <c r="F157" i="45"/>
  <c r="H93" i="45"/>
  <c r="G82" i="45"/>
  <c r="F130" i="45" s="1"/>
  <c r="O60" i="45"/>
  <c r="C105" i="45"/>
  <c r="C104" i="45"/>
  <c r="C103" i="45"/>
  <c r="B112" i="45"/>
  <c r="B110" i="45"/>
  <c r="B109" i="45"/>
  <c r="B111" i="45"/>
  <c r="H68" i="45"/>
  <c r="N12" i="45"/>
  <c r="D82" i="45" s="1"/>
  <c r="N8" i="45"/>
  <c r="N17" i="45"/>
  <c r="D83" i="45" s="1"/>
  <c r="N22" i="45"/>
  <c r="D84" i="45" s="1"/>
  <c r="D69" i="45"/>
  <c r="D150" i="45"/>
  <c r="D131" i="45"/>
  <c r="D56" i="45"/>
  <c r="D66" i="45"/>
  <c r="D102" i="45" s="1"/>
  <c r="D143" i="45"/>
  <c r="N13" i="45" l="1"/>
  <c r="N23" i="45"/>
  <c r="N18" i="45"/>
  <c r="O65" i="45"/>
  <c r="I68" i="45"/>
  <c r="H65" i="45"/>
  <c r="J65" i="45" s="1"/>
  <c r="L65" i="45" s="1"/>
  <c r="C112" i="45"/>
  <c r="C111" i="45"/>
  <c r="C110" i="45"/>
  <c r="D105" i="45"/>
  <c r="D104" i="45"/>
  <c r="D103" i="45"/>
  <c r="C109" i="45"/>
  <c r="G142" i="45"/>
  <c r="G157" i="45"/>
  <c r="N65" i="45" l="1"/>
  <c r="J64" i="45" l="1"/>
  <c r="J68" i="45" l="1"/>
  <c r="K68" i="45"/>
  <c r="L68" i="45" l="1"/>
  <c r="N68" i="45"/>
  <c r="G83" i="45" s="1"/>
  <c r="E133" i="45" s="1"/>
  <c r="M68" i="45"/>
  <c r="O68" i="45"/>
  <c r="G84" i="45" s="1"/>
  <c r="F133" i="45" s="1"/>
  <c r="G149" i="45" l="1"/>
  <c r="H133" i="45"/>
  <c r="I133" i="45"/>
  <c r="G164" i="45"/>
  <c r="I109" i="48" l="1"/>
  <c r="D129" i="6" l="1"/>
  <c r="D99" i="6"/>
  <c r="D66" i="6"/>
  <c r="D36" i="6"/>
  <c r="D6" i="6"/>
  <c r="C39" i="93" l="1"/>
  <c r="C38" i="93"/>
  <c r="C37" i="93"/>
  <c r="C36" i="93"/>
  <c r="C35" i="93"/>
  <c r="M22" i="41"/>
  <c r="Z24" i="41" l="1"/>
  <c r="W24" i="41"/>
  <c r="X21" i="41"/>
  <c r="W21" i="41"/>
  <c r="X11" i="41"/>
  <c r="Z19" i="41"/>
  <c r="W19" i="41"/>
  <c r="C221" i="41"/>
  <c r="C215" i="41"/>
  <c r="C211" i="41"/>
  <c r="L209" i="41"/>
  <c r="L202" i="41"/>
  <c r="N197" i="41"/>
  <c r="B197" i="41"/>
  <c r="C194" i="41"/>
  <c r="K187" i="41"/>
  <c r="K254" i="41" s="1"/>
  <c r="B174" i="41"/>
  <c r="B162" i="41"/>
  <c r="I155" i="41"/>
  <c r="I208" i="41" s="1"/>
  <c r="I153" i="41"/>
  <c r="D152" i="41"/>
  <c r="B151" i="41"/>
  <c r="K145" i="41"/>
  <c r="D144" i="41"/>
  <c r="D154" i="41" s="1"/>
  <c r="I140" i="41"/>
  <c r="B140" i="41"/>
  <c r="F136" i="41"/>
  <c r="F135" i="41"/>
  <c r="B126" i="41"/>
  <c r="B117" i="41"/>
  <c r="C107" i="41"/>
  <c r="C106" i="41"/>
  <c r="B102" i="41"/>
  <c r="D95" i="41"/>
  <c r="D94" i="41"/>
  <c r="D93" i="41"/>
  <c r="D92" i="41"/>
  <c r="D91" i="41"/>
  <c r="D90" i="41"/>
  <c r="B89" i="41"/>
  <c r="K84" i="41"/>
  <c r="B79" i="41"/>
  <c r="D72" i="41"/>
  <c r="F68" i="41"/>
  <c r="D75" i="41" s="1"/>
  <c r="D68" i="41"/>
  <c r="F67" i="41"/>
  <c r="D74" i="41" s="1"/>
  <c r="D67" i="41"/>
  <c r="C74" i="41" s="1"/>
  <c r="F66" i="41"/>
  <c r="D73" i="41" s="1"/>
  <c r="D66" i="41"/>
  <c r="C73" i="41" s="1"/>
  <c r="B64" i="41"/>
  <c r="C72" i="41" s="1"/>
  <c r="B31" i="41"/>
  <c r="R23" i="41"/>
  <c r="Q23" i="41"/>
  <c r="T22" i="41"/>
  <c r="R22" i="41"/>
  <c r="Q22" i="41"/>
  <c r="T21" i="41"/>
  <c r="R21" i="41"/>
  <c r="Q21" i="41"/>
  <c r="R18" i="41"/>
  <c r="Q18" i="41"/>
  <c r="T17" i="41"/>
  <c r="R17" i="41"/>
  <c r="Q17" i="41"/>
  <c r="T16" i="41"/>
  <c r="R16" i="41"/>
  <c r="Q16" i="41"/>
  <c r="R13" i="41"/>
  <c r="Q13" i="41"/>
  <c r="T12" i="41"/>
  <c r="R12" i="41"/>
  <c r="Q12" i="41"/>
  <c r="T11" i="41"/>
  <c r="R11" i="41"/>
  <c r="Q11" i="41"/>
  <c r="H8" i="41"/>
  <c r="E75" i="50" s="1"/>
  <c r="X21" i="40"/>
  <c r="X11" i="40"/>
  <c r="L211" i="41" l="1"/>
  <c r="F187" i="41"/>
  <c r="F244" i="41"/>
  <c r="F254" i="41"/>
  <c r="F245" i="41"/>
  <c r="F255" i="41"/>
  <c r="C200" i="41"/>
  <c r="C267" i="41"/>
  <c r="C274" i="41"/>
  <c r="D108" i="41"/>
  <c r="D244" i="41"/>
  <c r="D254" i="41"/>
  <c r="C85" i="41"/>
  <c r="C94" i="41" s="1"/>
  <c r="C201" i="41"/>
  <c r="C275" i="41"/>
  <c r="C268" i="41"/>
  <c r="D109" i="41"/>
  <c r="D245" i="41"/>
  <c r="D255" i="41"/>
  <c r="F246" i="41"/>
  <c r="F256" i="41"/>
  <c r="C81" i="41"/>
  <c r="C90" i="41" s="1"/>
  <c r="H52" i="41"/>
  <c r="H82" i="41" s="1"/>
  <c r="I254" i="41" s="1"/>
  <c r="F189" i="41"/>
  <c r="F179" i="41"/>
  <c r="F110" i="41"/>
  <c r="F188" i="41"/>
  <c r="F178" i="41"/>
  <c r="F109" i="41"/>
  <c r="F108" i="41"/>
  <c r="D177" i="41"/>
  <c r="D187" i="41"/>
  <c r="C207" i="41"/>
  <c r="C83" i="41"/>
  <c r="C92" i="41" s="1"/>
  <c r="F167" i="41"/>
  <c r="F177" i="41"/>
  <c r="D178" i="41"/>
  <c r="D188" i="41"/>
  <c r="I201" i="41"/>
  <c r="C208" i="41"/>
  <c r="C75" i="41"/>
  <c r="F168" i="41"/>
  <c r="M254" i="41" l="1"/>
  <c r="D246" i="41"/>
  <c r="D256" i="41"/>
  <c r="D189" i="41"/>
  <c r="D179" i="41"/>
  <c r="D110" i="41"/>
  <c r="C226" i="40" l="1"/>
  <c r="C215" i="40"/>
  <c r="C211" i="40"/>
  <c r="L209" i="40"/>
  <c r="L202" i="40"/>
  <c r="N197" i="40"/>
  <c r="B197" i="40"/>
  <c r="C194" i="40"/>
  <c r="K187" i="40"/>
  <c r="K259" i="40" s="1"/>
  <c r="B174" i="40"/>
  <c r="B162" i="40"/>
  <c r="I155" i="40"/>
  <c r="I208" i="40" s="1"/>
  <c r="I153" i="40"/>
  <c r="I201" i="40" s="1"/>
  <c r="D152" i="40"/>
  <c r="B151" i="40"/>
  <c r="K145" i="40"/>
  <c r="D144" i="40"/>
  <c r="D154" i="40" s="1"/>
  <c r="I140" i="40"/>
  <c r="B140" i="40"/>
  <c r="F136" i="40"/>
  <c r="F135" i="40"/>
  <c r="B126" i="40"/>
  <c r="B117" i="40"/>
  <c r="C107" i="40"/>
  <c r="C106" i="40"/>
  <c r="B102" i="40"/>
  <c r="D95" i="40"/>
  <c r="D94" i="40"/>
  <c r="D93" i="40"/>
  <c r="D92" i="40"/>
  <c r="D91" i="40"/>
  <c r="D90" i="40"/>
  <c r="B89" i="40"/>
  <c r="K84" i="40"/>
  <c r="B79" i="40"/>
  <c r="D72" i="40"/>
  <c r="F68" i="40"/>
  <c r="D75" i="40" s="1"/>
  <c r="D68" i="40"/>
  <c r="F67" i="40"/>
  <c r="D74" i="40" s="1"/>
  <c r="D67" i="40"/>
  <c r="C74" i="40" s="1"/>
  <c r="F66" i="40"/>
  <c r="D73" i="40" s="1"/>
  <c r="D66" i="40"/>
  <c r="C73" i="40" s="1"/>
  <c r="B64" i="40"/>
  <c r="C72" i="40" s="1"/>
  <c r="B31" i="40"/>
  <c r="R23" i="40"/>
  <c r="Q23" i="40"/>
  <c r="T22" i="40"/>
  <c r="R22" i="40"/>
  <c r="Q22" i="40"/>
  <c r="T21" i="40"/>
  <c r="R21" i="40"/>
  <c r="Q21" i="40"/>
  <c r="R18" i="40"/>
  <c r="Q18" i="40"/>
  <c r="T17" i="40"/>
  <c r="R17" i="40"/>
  <c r="Q17" i="40"/>
  <c r="T16" i="40"/>
  <c r="R16" i="40"/>
  <c r="Q16" i="40"/>
  <c r="R13" i="40"/>
  <c r="Q13" i="40"/>
  <c r="T12" i="40"/>
  <c r="R12" i="40"/>
  <c r="Q12" i="40"/>
  <c r="H52" i="40"/>
  <c r="H82" i="40" s="1"/>
  <c r="I259" i="40" s="1"/>
  <c r="T11" i="40"/>
  <c r="R11" i="40"/>
  <c r="Q11" i="40"/>
  <c r="H8" i="40"/>
  <c r="E42" i="50" s="1"/>
  <c r="M259" i="40" l="1"/>
  <c r="U259" i="40" s="1"/>
  <c r="D250" i="40"/>
  <c r="D260" i="40"/>
  <c r="C200" i="40"/>
  <c r="C279" i="40"/>
  <c r="C272" i="40"/>
  <c r="F260" i="40"/>
  <c r="F250" i="40"/>
  <c r="C201" i="40"/>
  <c r="C280" i="40"/>
  <c r="C273" i="40"/>
  <c r="D249" i="40"/>
  <c r="D259" i="40"/>
  <c r="F187" i="40"/>
  <c r="F259" i="40"/>
  <c r="F249" i="40"/>
  <c r="F251" i="40"/>
  <c r="F261" i="40"/>
  <c r="L211" i="40"/>
  <c r="C85" i="40"/>
  <c r="C94" i="40" s="1"/>
  <c r="F188" i="40"/>
  <c r="F178" i="40"/>
  <c r="F109" i="40"/>
  <c r="D108" i="40"/>
  <c r="D187" i="40"/>
  <c r="D177" i="40"/>
  <c r="F189" i="40"/>
  <c r="F179" i="40"/>
  <c r="F110" i="40"/>
  <c r="D109" i="40"/>
  <c r="D188" i="40"/>
  <c r="D178" i="40"/>
  <c r="F108" i="40"/>
  <c r="C207" i="40"/>
  <c r="C81" i="40"/>
  <c r="C90" i="40" s="1"/>
  <c r="C83" i="40"/>
  <c r="C92" i="40" s="1"/>
  <c r="F167" i="40"/>
  <c r="F177" i="40"/>
  <c r="C208" i="40"/>
  <c r="C75" i="40"/>
  <c r="F168" i="40"/>
  <c r="AG259" i="40" l="1"/>
  <c r="D251" i="40"/>
  <c r="D261" i="40"/>
  <c r="D189" i="40"/>
  <c r="D179" i="40"/>
  <c r="D110" i="40"/>
  <c r="X21" i="38" l="1"/>
  <c r="X11" i="38"/>
  <c r="H52" i="38" l="1"/>
  <c r="H82" i="38" s="1"/>
  <c r="I254" i="38" s="1"/>
  <c r="I140" i="38" l="1"/>
  <c r="K145" i="38"/>
  <c r="D144" i="38"/>
  <c r="D154" i="38" s="1"/>
  <c r="R23" i="32"/>
  <c r="Q23" i="32"/>
  <c r="R22" i="32"/>
  <c r="Q22" i="32"/>
  <c r="R21" i="32"/>
  <c r="Q21" i="32"/>
  <c r="R18" i="32"/>
  <c r="Q18" i="32"/>
  <c r="R17" i="32"/>
  <c r="Q17" i="32"/>
  <c r="R16" i="32"/>
  <c r="Q16" i="32"/>
  <c r="R13" i="32"/>
  <c r="Q13" i="32"/>
  <c r="R12" i="32"/>
  <c r="Q12" i="32"/>
  <c r="R11" i="32"/>
  <c r="Q11" i="32"/>
  <c r="R23" i="34"/>
  <c r="Q23" i="34"/>
  <c r="R22" i="34"/>
  <c r="Q22" i="34"/>
  <c r="R21" i="34"/>
  <c r="Q21" i="34"/>
  <c r="R18" i="34"/>
  <c r="Q18" i="34"/>
  <c r="R17" i="34"/>
  <c r="Q17" i="34"/>
  <c r="R16" i="34"/>
  <c r="Q16" i="34"/>
  <c r="R13" i="34"/>
  <c r="Q13" i="34"/>
  <c r="R12" i="34"/>
  <c r="Q12" i="34"/>
  <c r="R11" i="34"/>
  <c r="Q11" i="34"/>
  <c r="R23" i="35"/>
  <c r="Q23" i="35"/>
  <c r="R22" i="35"/>
  <c r="Q22" i="35"/>
  <c r="R21" i="35"/>
  <c r="Q21" i="35"/>
  <c r="R18" i="35"/>
  <c r="Q18" i="35"/>
  <c r="R17" i="35"/>
  <c r="Q17" i="35"/>
  <c r="R16" i="35"/>
  <c r="Q16" i="35"/>
  <c r="R13" i="35"/>
  <c r="Q13" i="35"/>
  <c r="R12" i="35"/>
  <c r="Q12" i="35"/>
  <c r="R11" i="35"/>
  <c r="Q11" i="35"/>
  <c r="R23" i="37"/>
  <c r="Q23" i="37"/>
  <c r="R22" i="37"/>
  <c r="Q22" i="37"/>
  <c r="R21" i="37"/>
  <c r="Q21" i="37"/>
  <c r="R18" i="37"/>
  <c r="Q18" i="37"/>
  <c r="R17" i="37"/>
  <c r="Q17" i="37"/>
  <c r="R16" i="37"/>
  <c r="Q16" i="37"/>
  <c r="R13" i="37"/>
  <c r="Q13" i="37"/>
  <c r="R12" i="37"/>
  <c r="Q12" i="37"/>
  <c r="R11" i="37"/>
  <c r="Q11" i="37"/>
  <c r="R23" i="36"/>
  <c r="Q23" i="36"/>
  <c r="R22" i="36"/>
  <c r="Q22" i="36"/>
  <c r="R21" i="36"/>
  <c r="Q21" i="36"/>
  <c r="R18" i="36"/>
  <c r="Q18" i="36"/>
  <c r="R17" i="36"/>
  <c r="Q17" i="36"/>
  <c r="R16" i="36"/>
  <c r="Q16" i="36"/>
  <c r="R13" i="36"/>
  <c r="Q13" i="36"/>
  <c r="R12" i="36"/>
  <c r="Q12" i="36"/>
  <c r="R11" i="36"/>
  <c r="Q11" i="36"/>
  <c r="R23" i="38"/>
  <c r="R22" i="38"/>
  <c r="R21" i="38"/>
  <c r="R18" i="38"/>
  <c r="R17" i="38"/>
  <c r="R16" i="38"/>
  <c r="Q22" i="38"/>
  <c r="Q21" i="38"/>
  <c r="Q17" i="38"/>
  <c r="Q16" i="38"/>
  <c r="R13" i="38"/>
  <c r="R12" i="38"/>
  <c r="R11" i="38"/>
  <c r="Q12" i="38"/>
  <c r="Q11" i="38"/>
  <c r="Q23" i="38"/>
  <c r="T22" i="38"/>
  <c r="T21" i="38"/>
  <c r="Q18" i="38"/>
  <c r="T17" i="38"/>
  <c r="T16" i="38"/>
  <c r="Q13" i="38"/>
  <c r="T12" i="38"/>
  <c r="T11" i="38"/>
  <c r="G38" i="38"/>
  <c r="G37" i="38"/>
  <c r="C221" i="38"/>
  <c r="C214" i="38"/>
  <c r="C211" i="38"/>
  <c r="L209" i="38"/>
  <c r="L202" i="38"/>
  <c r="N197" i="38"/>
  <c r="B197" i="38"/>
  <c r="C194" i="38"/>
  <c r="K187" i="38"/>
  <c r="K254" i="38" s="1"/>
  <c r="M254" i="38" s="1"/>
  <c r="B174" i="38"/>
  <c r="B162" i="38"/>
  <c r="B151" i="38"/>
  <c r="B140" i="38"/>
  <c r="F136" i="38"/>
  <c r="F135" i="38"/>
  <c r="B126" i="38"/>
  <c r="B117" i="38"/>
  <c r="C107" i="38"/>
  <c r="C106" i="38"/>
  <c r="B102" i="38"/>
  <c r="D95" i="38"/>
  <c r="D94" i="38"/>
  <c r="D93" i="38"/>
  <c r="D92" i="38"/>
  <c r="D91" i="38"/>
  <c r="D90" i="38"/>
  <c r="B89" i="38"/>
  <c r="K84" i="38"/>
  <c r="B79" i="38"/>
  <c r="D72" i="38"/>
  <c r="F68" i="38"/>
  <c r="D75" i="38" s="1"/>
  <c r="D68" i="38"/>
  <c r="F67" i="38"/>
  <c r="D74" i="38" s="1"/>
  <c r="D67" i="38"/>
  <c r="F66" i="38"/>
  <c r="D73" i="38" s="1"/>
  <c r="D66" i="38"/>
  <c r="B64" i="38"/>
  <c r="C72" i="38" s="1"/>
  <c r="B31" i="38"/>
  <c r="J22" i="38"/>
  <c r="H8" i="38"/>
  <c r="E11" i="50" s="1"/>
  <c r="F255" i="38" l="1"/>
  <c r="F245" i="38"/>
  <c r="F168" i="38"/>
  <c r="C275" i="38"/>
  <c r="C268" i="38"/>
  <c r="C200" i="38"/>
  <c r="C274" i="38"/>
  <c r="C267" i="38"/>
  <c r="F254" i="38"/>
  <c r="F244" i="38"/>
  <c r="F256" i="38"/>
  <c r="F246" i="38"/>
  <c r="L211" i="38"/>
  <c r="C83" i="38"/>
  <c r="C92" i="38" s="1"/>
  <c r="I155" i="38"/>
  <c r="I208" i="38" s="1"/>
  <c r="F167" i="38"/>
  <c r="C81" i="38"/>
  <c r="C90" i="38" s="1"/>
  <c r="C85" i="38"/>
  <c r="C94" i="38" s="1"/>
  <c r="F188" i="38"/>
  <c r="F178" i="38"/>
  <c r="F109" i="38"/>
  <c r="F187" i="38"/>
  <c r="F177" i="38"/>
  <c r="F108" i="38"/>
  <c r="F189" i="38"/>
  <c r="F179" i="38"/>
  <c r="F110" i="38"/>
  <c r="C73" i="38"/>
  <c r="C74" i="38"/>
  <c r="C75" i="38"/>
  <c r="C201" i="38"/>
  <c r="I153" i="38"/>
  <c r="C207" i="38"/>
  <c r="D152" i="38"/>
  <c r="C208" i="38"/>
  <c r="D246" i="38" l="1"/>
  <c r="D256" i="38"/>
  <c r="D245" i="38"/>
  <c r="D255" i="38"/>
  <c r="D254" i="38"/>
  <c r="D244" i="38"/>
  <c r="I201" i="38"/>
  <c r="D188" i="38"/>
  <c r="D178" i="38"/>
  <c r="D109" i="38"/>
  <c r="D187" i="38"/>
  <c r="D177" i="38"/>
  <c r="D108" i="38"/>
  <c r="D189" i="38"/>
  <c r="D179" i="38"/>
  <c r="D110" i="38"/>
  <c r="C196" i="37" l="1"/>
  <c r="C190" i="37"/>
  <c r="C186" i="37"/>
  <c r="L184" i="37"/>
  <c r="L177" i="37"/>
  <c r="N172" i="37"/>
  <c r="B172" i="37"/>
  <c r="C169" i="37"/>
  <c r="K162" i="37"/>
  <c r="B149" i="37"/>
  <c r="B137" i="37"/>
  <c r="B126" i="37"/>
  <c r="K122" i="37"/>
  <c r="D120" i="37"/>
  <c r="D122" i="37" s="1"/>
  <c r="D130" i="37" s="1"/>
  <c r="D119" i="37"/>
  <c r="D127" i="37" s="1"/>
  <c r="B117" i="37"/>
  <c r="F113" i="37"/>
  <c r="C183" i="37" s="1"/>
  <c r="F112" i="37"/>
  <c r="C182" i="37" s="1"/>
  <c r="B103" i="37"/>
  <c r="B94" i="37"/>
  <c r="C84" i="37"/>
  <c r="C83" i="37"/>
  <c r="B79" i="37"/>
  <c r="D72" i="37"/>
  <c r="D71" i="37"/>
  <c r="D70" i="37"/>
  <c r="D69" i="37"/>
  <c r="D68" i="37"/>
  <c r="D67" i="37"/>
  <c r="B66" i="37"/>
  <c r="K61" i="37"/>
  <c r="I59" i="37"/>
  <c r="I162" i="37" s="1"/>
  <c r="B56" i="37"/>
  <c r="D51" i="37"/>
  <c r="F86" i="37" s="1"/>
  <c r="D49" i="37"/>
  <c r="F45" i="37"/>
  <c r="D45" i="37"/>
  <c r="C52" i="37" s="1"/>
  <c r="D164" i="37" s="1"/>
  <c r="D44" i="37"/>
  <c r="C60" i="37" s="1"/>
  <c r="C69" i="37" s="1"/>
  <c r="F43" i="37"/>
  <c r="D50" i="37" s="1"/>
  <c r="F162" i="37" s="1"/>
  <c r="D43" i="37"/>
  <c r="C50" i="37" s="1"/>
  <c r="B41" i="37"/>
  <c r="C49" i="37" s="1"/>
  <c r="B31" i="37"/>
  <c r="T22" i="37"/>
  <c r="J22" i="37"/>
  <c r="T21" i="37"/>
  <c r="T17" i="37"/>
  <c r="T16" i="37"/>
  <c r="T12" i="37"/>
  <c r="T11" i="37"/>
  <c r="H8" i="37"/>
  <c r="E104" i="6" s="1"/>
  <c r="P3" i="37"/>
  <c r="C212" i="36"/>
  <c r="C203" i="36"/>
  <c r="C199" i="36"/>
  <c r="L197" i="36"/>
  <c r="L190" i="36"/>
  <c r="N185" i="36"/>
  <c r="B185" i="36"/>
  <c r="C182" i="36"/>
  <c r="K175" i="36"/>
  <c r="B162" i="36"/>
  <c r="B150" i="36"/>
  <c r="B139" i="36"/>
  <c r="K135" i="36"/>
  <c r="D133" i="36"/>
  <c r="D135" i="36" s="1"/>
  <c r="D143" i="36" s="1"/>
  <c r="D132" i="36"/>
  <c r="D134" i="36" s="1"/>
  <c r="D142" i="36" s="1"/>
  <c r="B130" i="36"/>
  <c r="F126" i="36"/>
  <c r="F156" i="36" s="1"/>
  <c r="F125" i="36"/>
  <c r="C188" i="36" s="1"/>
  <c r="B116" i="36"/>
  <c r="B107" i="36"/>
  <c r="C97" i="36"/>
  <c r="C96" i="36"/>
  <c r="B92" i="36"/>
  <c r="D85" i="36"/>
  <c r="D84" i="36"/>
  <c r="D83" i="36"/>
  <c r="D82" i="36"/>
  <c r="D81" i="36"/>
  <c r="D80" i="36"/>
  <c r="B79" i="36"/>
  <c r="K74" i="36"/>
  <c r="I72" i="36"/>
  <c r="I175" i="36" s="1"/>
  <c r="B69" i="36"/>
  <c r="D62" i="36"/>
  <c r="F58" i="36"/>
  <c r="D65" i="36" s="1"/>
  <c r="D58" i="36"/>
  <c r="F57" i="36"/>
  <c r="D57" i="36"/>
  <c r="C64" i="36" s="1"/>
  <c r="D176" i="36" s="1"/>
  <c r="F56" i="36"/>
  <c r="D63" i="36" s="1"/>
  <c r="D56" i="36"/>
  <c r="C63" i="36" s="1"/>
  <c r="D175" i="36" s="1"/>
  <c r="B54" i="36"/>
  <c r="C62" i="36" s="1"/>
  <c r="B31" i="36"/>
  <c r="T22" i="36"/>
  <c r="J22" i="36"/>
  <c r="T21" i="36"/>
  <c r="T17" i="36"/>
  <c r="T16" i="36"/>
  <c r="T12" i="36"/>
  <c r="T11" i="36"/>
  <c r="H8" i="36"/>
  <c r="E134" i="6" s="1"/>
  <c r="P3" i="36"/>
  <c r="H158" i="97" l="1"/>
  <c r="H119" i="97"/>
  <c r="C71" i="36"/>
  <c r="C80" i="36" s="1"/>
  <c r="C75" i="36"/>
  <c r="C84" i="36" s="1"/>
  <c r="C62" i="37"/>
  <c r="C71" i="37" s="1"/>
  <c r="L186" i="37"/>
  <c r="M175" i="36"/>
  <c r="C175" i="37"/>
  <c r="L199" i="36"/>
  <c r="I81" i="36"/>
  <c r="K81" i="36" s="1"/>
  <c r="D140" i="36"/>
  <c r="D52" i="37"/>
  <c r="F164" i="37" s="1"/>
  <c r="F142" i="37"/>
  <c r="C73" i="36"/>
  <c r="C82" i="36" s="1"/>
  <c r="C51" i="37"/>
  <c r="D153" i="37" s="1"/>
  <c r="D128" i="37"/>
  <c r="D162" i="37"/>
  <c r="D152" i="37"/>
  <c r="D85" i="37"/>
  <c r="M162" i="37"/>
  <c r="C58" i="37"/>
  <c r="C67" i="37" s="1"/>
  <c r="I68" i="37"/>
  <c r="K68" i="37" s="1"/>
  <c r="D87" i="37"/>
  <c r="D121" i="37"/>
  <c r="D129" i="37" s="1"/>
  <c r="F143" i="37"/>
  <c r="F153" i="37"/>
  <c r="D154" i="37"/>
  <c r="F163" i="37"/>
  <c r="C176" i="37"/>
  <c r="F85" i="37"/>
  <c r="F152" i="37"/>
  <c r="F100" i="36"/>
  <c r="F177" i="36"/>
  <c r="F167" i="36"/>
  <c r="F175" i="36"/>
  <c r="F165" i="36"/>
  <c r="F98" i="36"/>
  <c r="C65" i="36"/>
  <c r="C189" i="36"/>
  <c r="D64" i="36"/>
  <c r="D98" i="36"/>
  <c r="D99" i="36"/>
  <c r="D141" i="36"/>
  <c r="D165" i="36"/>
  <c r="C195" i="36"/>
  <c r="F155" i="36"/>
  <c r="D166" i="36"/>
  <c r="C196" i="36"/>
  <c r="F87" i="37" l="1"/>
  <c r="F154" i="37"/>
  <c r="D163" i="37"/>
  <c r="D86" i="37"/>
  <c r="F176" i="36"/>
  <c r="F166" i="36"/>
  <c r="F99" i="36"/>
  <c r="D177" i="36"/>
  <c r="D167" i="36"/>
  <c r="D100" i="36"/>
  <c r="G38" i="36" l="1"/>
  <c r="G37" i="36" l="1"/>
  <c r="H8" i="35" l="1"/>
  <c r="E71" i="6" s="1"/>
  <c r="H8" i="34"/>
  <c r="E41" i="6" s="1"/>
  <c r="H8" i="32"/>
  <c r="E11" i="6" s="1"/>
  <c r="H88" i="97" l="1"/>
  <c r="H57" i="97"/>
  <c r="H26" i="97"/>
  <c r="C214" i="35"/>
  <c r="C203" i="35"/>
  <c r="C199" i="35"/>
  <c r="L197" i="35"/>
  <c r="L190" i="35"/>
  <c r="N185" i="35"/>
  <c r="B185" i="35"/>
  <c r="C182" i="35"/>
  <c r="K175" i="35"/>
  <c r="B162" i="35"/>
  <c r="B150" i="35"/>
  <c r="B139" i="35"/>
  <c r="K135" i="35"/>
  <c r="D133" i="35"/>
  <c r="D135" i="35" s="1"/>
  <c r="D143" i="35" s="1"/>
  <c r="D132" i="35"/>
  <c r="D140" i="35" s="1"/>
  <c r="B130" i="35"/>
  <c r="F126" i="35"/>
  <c r="C196" i="35" s="1"/>
  <c r="F125" i="35"/>
  <c r="C188" i="35" s="1"/>
  <c r="B116" i="35"/>
  <c r="B107" i="35"/>
  <c r="C97" i="35"/>
  <c r="C96" i="35"/>
  <c r="B92" i="35"/>
  <c r="D85" i="35"/>
  <c r="D84" i="35"/>
  <c r="D83" i="35"/>
  <c r="D82" i="35"/>
  <c r="D81" i="35"/>
  <c r="D80" i="35"/>
  <c r="B79" i="35"/>
  <c r="K74" i="35"/>
  <c r="I72" i="35"/>
  <c r="I175" i="35" s="1"/>
  <c r="B69" i="35"/>
  <c r="D62" i="35"/>
  <c r="F58" i="35"/>
  <c r="D65" i="35" s="1"/>
  <c r="D58" i="35"/>
  <c r="C65" i="35" s="1"/>
  <c r="D177" i="35" s="1"/>
  <c r="F57" i="35"/>
  <c r="D64" i="35" s="1"/>
  <c r="F99" i="35" s="1"/>
  <c r="D57" i="35"/>
  <c r="C64" i="35" s="1"/>
  <c r="D176" i="35" s="1"/>
  <c r="F56" i="35"/>
  <c r="D63" i="35" s="1"/>
  <c r="F175" i="35" s="1"/>
  <c r="D56" i="35"/>
  <c r="C63" i="35" s="1"/>
  <c r="B54" i="35"/>
  <c r="C62" i="35" s="1"/>
  <c r="B31" i="35"/>
  <c r="J22" i="35"/>
  <c r="T22" i="35"/>
  <c r="T21" i="35"/>
  <c r="T17" i="35"/>
  <c r="T16" i="35"/>
  <c r="T12" i="35"/>
  <c r="T11" i="35"/>
  <c r="P3" i="35"/>
  <c r="L199" i="35" l="1"/>
  <c r="F155" i="35"/>
  <c r="C195" i="35"/>
  <c r="C73" i="35"/>
  <c r="C82" i="35" s="1"/>
  <c r="F177" i="35"/>
  <c r="F167" i="35"/>
  <c r="F100" i="35"/>
  <c r="D175" i="35"/>
  <c r="D165" i="35"/>
  <c r="D98" i="35"/>
  <c r="M175" i="35"/>
  <c r="C71" i="35"/>
  <c r="C80" i="35" s="1"/>
  <c r="I81" i="35"/>
  <c r="K81" i="35" s="1"/>
  <c r="D100" i="35"/>
  <c r="D134" i="35"/>
  <c r="D142" i="35" s="1"/>
  <c r="F156" i="35"/>
  <c r="F166" i="35"/>
  <c r="D167" i="35"/>
  <c r="F176" i="35"/>
  <c r="C189" i="35"/>
  <c r="C75" i="35"/>
  <c r="C84" i="35" s="1"/>
  <c r="D99" i="35"/>
  <c r="D141" i="35"/>
  <c r="F98" i="35"/>
  <c r="F165" i="35"/>
  <c r="D166" i="35"/>
  <c r="C196" i="34" l="1"/>
  <c r="C190" i="34"/>
  <c r="C186" i="34"/>
  <c r="L184" i="34"/>
  <c r="L177" i="34"/>
  <c r="N172" i="34"/>
  <c r="B172" i="34"/>
  <c r="C169" i="34"/>
  <c r="K162" i="34"/>
  <c r="B149" i="34"/>
  <c r="B137" i="34"/>
  <c r="B126" i="34"/>
  <c r="K122" i="34"/>
  <c r="D120" i="34"/>
  <c r="D122" i="34" s="1"/>
  <c r="D130" i="34" s="1"/>
  <c r="D119" i="34"/>
  <c r="D127" i="34" s="1"/>
  <c r="B117" i="34"/>
  <c r="F113" i="34"/>
  <c r="C183" i="34" s="1"/>
  <c r="F112" i="34"/>
  <c r="C182" i="34" s="1"/>
  <c r="B103" i="34"/>
  <c r="B94" i="34"/>
  <c r="C84" i="34"/>
  <c r="C83" i="34"/>
  <c r="B79" i="34"/>
  <c r="D72" i="34"/>
  <c r="D71" i="34"/>
  <c r="D70" i="34"/>
  <c r="D69" i="34"/>
  <c r="D68" i="34"/>
  <c r="D67" i="34"/>
  <c r="B66" i="34"/>
  <c r="K61" i="34"/>
  <c r="I59" i="34"/>
  <c r="I162" i="34" s="1"/>
  <c r="B56" i="34"/>
  <c r="D49" i="34"/>
  <c r="F45" i="34"/>
  <c r="D52" i="34" s="1"/>
  <c r="D45" i="34"/>
  <c r="F44" i="34"/>
  <c r="D51" i="34" s="1"/>
  <c r="D44" i="34"/>
  <c r="F43" i="34"/>
  <c r="D50" i="34" s="1"/>
  <c r="F162" i="34" s="1"/>
  <c r="D43" i="34"/>
  <c r="C50" i="34" s="1"/>
  <c r="D162" i="34" s="1"/>
  <c r="B41" i="34"/>
  <c r="C49" i="34" s="1"/>
  <c r="B31" i="34"/>
  <c r="J22" i="34"/>
  <c r="T22" i="34"/>
  <c r="T21" i="34"/>
  <c r="T17" i="34"/>
  <c r="T16" i="34"/>
  <c r="T12" i="34"/>
  <c r="T11" i="34"/>
  <c r="P3" i="34"/>
  <c r="C169" i="32"/>
  <c r="C186" i="32"/>
  <c r="B149" i="32"/>
  <c r="B137" i="32"/>
  <c r="C190" i="32"/>
  <c r="B172" i="32"/>
  <c r="N172" i="32"/>
  <c r="F113" i="32"/>
  <c r="C183" i="32" s="1"/>
  <c r="F112" i="32"/>
  <c r="C175" i="32" s="1"/>
  <c r="B126" i="32"/>
  <c r="K122" i="32"/>
  <c r="D120" i="32"/>
  <c r="D122" i="32" s="1"/>
  <c r="D130" i="32" s="1"/>
  <c r="B117" i="32"/>
  <c r="D119" i="32"/>
  <c r="B103" i="32"/>
  <c r="K162" i="32"/>
  <c r="C84" i="32"/>
  <c r="C83" i="32"/>
  <c r="I59" i="32"/>
  <c r="I68" i="32" s="1"/>
  <c r="K68" i="32" s="1"/>
  <c r="D68" i="32"/>
  <c r="D69" i="32"/>
  <c r="D70" i="32"/>
  <c r="D71" i="32"/>
  <c r="D72" i="32"/>
  <c r="D67" i="32"/>
  <c r="K61" i="32"/>
  <c r="D49" i="32"/>
  <c r="L186" i="34" l="1"/>
  <c r="C60" i="34"/>
  <c r="C69" i="34" s="1"/>
  <c r="C51" i="34"/>
  <c r="D163" i="34" s="1"/>
  <c r="C175" i="34"/>
  <c r="F142" i="34"/>
  <c r="C58" i="34"/>
  <c r="C67" i="34" s="1"/>
  <c r="C62" i="34"/>
  <c r="C71" i="34" s="1"/>
  <c r="F86" i="34"/>
  <c r="F163" i="34"/>
  <c r="F153" i="34"/>
  <c r="M162" i="34"/>
  <c r="F164" i="34"/>
  <c r="F154" i="34"/>
  <c r="F87" i="34"/>
  <c r="I68" i="34"/>
  <c r="K68" i="34" s="1"/>
  <c r="D121" i="34"/>
  <c r="D129" i="34" s="1"/>
  <c r="F143" i="34"/>
  <c r="C176" i="34"/>
  <c r="C52" i="34"/>
  <c r="D85" i="34"/>
  <c r="D128" i="34"/>
  <c r="D152" i="34"/>
  <c r="F85" i="34"/>
  <c r="F152" i="34"/>
  <c r="C176" i="32"/>
  <c r="F142" i="32"/>
  <c r="C182" i="32"/>
  <c r="F143" i="32"/>
  <c r="L177" i="32"/>
  <c r="L184" i="32"/>
  <c r="D121" i="32"/>
  <c r="D129" i="32" s="1"/>
  <c r="D127" i="32"/>
  <c r="D128" i="32"/>
  <c r="I162" i="32"/>
  <c r="M162" i="32" s="1"/>
  <c r="D86" i="34" l="1"/>
  <c r="D153" i="34"/>
  <c r="D164" i="34"/>
  <c r="D154" i="34"/>
  <c r="D87" i="34"/>
  <c r="L186" i="32"/>
  <c r="F45" i="32" l="1"/>
  <c r="D52" i="32" s="1"/>
  <c r="F44" i="32"/>
  <c r="D51" i="32" s="1"/>
  <c r="F43" i="32"/>
  <c r="D50" i="32" s="1"/>
  <c r="D44" i="32"/>
  <c r="D45" i="32"/>
  <c r="D43" i="32"/>
  <c r="B66" i="32"/>
  <c r="B56" i="32"/>
  <c r="B41" i="32"/>
  <c r="C49" i="32" s="1"/>
  <c r="T22" i="32"/>
  <c r="T21" i="32"/>
  <c r="T17" i="32"/>
  <c r="T16" i="32"/>
  <c r="T12" i="32"/>
  <c r="T11" i="32"/>
  <c r="C196" i="32"/>
  <c r="B94" i="32"/>
  <c r="B79" i="32"/>
  <c r="B31" i="32"/>
  <c r="J22" i="32"/>
  <c r="P3" i="32"/>
  <c r="F162" i="32" l="1"/>
  <c r="F152" i="32"/>
  <c r="F85" i="32"/>
  <c r="F153" i="32"/>
  <c r="F86" i="32"/>
  <c r="F163" i="32"/>
  <c r="F164" i="32"/>
  <c r="F87" i="32"/>
  <c r="F154" i="32"/>
  <c r="C58" i="32"/>
  <c r="C67" i="32" s="1"/>
  <c r="C51" i="32"/>
  <c r="C60" i="32"/>
  <c r="C69" i="32" s="1"/>
  <c r="C52" i="32"/>
  <c r="C62" i="32"/>
  <c r="C71" i="32" s="1"/>
  <c r="C50" i="32"/>
  <c r="D152" i="32" l="1"/>
  <c r="D162" i="32"/>
  <c r="D85" i="32"/>
  <c r="D163" i="32"/>
  <c r="D86" i="32"/>
  <c r="D153" i="32"/>
  <c r="D87" i="32"/>
  <c r="D164" i="32"/>
  <c r="D154" i="32"/>
  <c r="D83" i="11" l="1"/>
  <c r="C83" i="11"/>
  <c r="C7" i="93" s="1"/>
  <c r="C63" i="11"/>
  <c r="C6" i="93" s="1"/>
  <c r="D43" i="11"/>
  <c r="C43" i="11"/>
  <c r="C5" i="93" s="1"/>
  <c r="D22" i="11"/>
  <c r="C22" i="11"/>
  <c r="C4" i="93" s="1"/>
  <c r="D6" i="28"/>
  <c r="C28" i="93" s="1"/>
  <c r="D32" i="28"/>
  <c r="D60" i="28"/>
  <c r="D88" i="28"/>
  <c r="D6" i="27"/>
  <c r="C10" i="93" s="1"/>
  <c r="D30" i="27"/>
  <c r="C11" i="93" s="1"/>
  <c r="D54" i="27"/>
  <c r="C12" i="93" s="1"/>
  <c r="C29" i="93" l="1"/>
  <c r="C31" i="93"/>
  <c r="C30" i="93"/>
  <c r="C70" i="27" l="1"/>
  <c r="C44" i="27"/>
  <c r="C20" i="27" l="1"/>
  <c r="C93" i="27"/>
  <c r="C107" i="26"/>
  <c r="J26" i="26"/>
  <c r="C109" i="26"/>
  <c r="K68" i="26" l="1"/>
  <c r="B65" i="26"/>
  <c r="B49" i="26"/>
  <c r="B71" i="26"/>
  <c r="I65" i="26"/>
  <c r="I43" i="26"/>
  <c r="Q91" i="26" l="1"/>
  <c r="B91" i="26"/>
  <c r="B80" i="26"/>
  <c r="E53" i="26"/>
  <c r="E52" i="26"/>
  <c r="D52" i="26"/>
  <c r="B32" i="26"/>
  <c r="I66" i="26" s="1"/>
  <c r="U14" i="26"/>
  <c r="R12" i="26"/>
  <c r="R11" i="26"/>
  <c r="Q11" i="26"/>
  <c r="U9" i="26"/>
  <c r="P3" i="26"/>
  <c r="E72" i="26" l="1"/>
  <c r="E68" i="26"/>
  <c r="E67" i="26"/>
  <c r="E73" i="26"/>
  <c r="D103" i="26"/>
  <c r="E103" i="26"/>
  <c r="E104" i="26"/>
  <c r="E59" i="26"/>
  <c r="E95" i="26"/>
  <c r="E84" i="26"/>
  <c r="D84" i="26"/>
  <c r="D95" i="26"/>
  <c r="D59" i="26"/>
  <c r="E85" i="26"/>
  <c r="E61" i="26"/>
  <c r="E96" i="26"/>
  <c r="L85" i="24" l="1"/>
  <c r="L92" i="24"/>
  <c r="V12" i="24"/>
  <c r="V7" i="24"/>
  <c r="T12" i="24"/>
  <c r="T7" i="24"/>
  <c r="C103" i="24"/>
  <c r="C99" i="24"/>
  <c r="N85" i="24"/>
  <c r="B85" i="24"/>
  <c r="B73" i="24"/>
  <c r="B63" i="24"/>
  <c r="B56" i="24"/>
  <c r="B42" i="24"/>
  <c r="B33" i="24"/>
  <c r="U14" i="24"/>
  <c r="U9" i="24"/>
  <c r="P3" i="24"/>
  <c r="R20" i="23"/>
  <c r="U14" i="22"/>
  <c r="S12" i="22"/>
  <c r="S11" i="22"/>
  <c r="U9" i="22"/>
  <c r="K59" i="24" l="1"/>
  <c r="C187" i="23" l="1"/>
  <c r="N171" i="23"/>
  <c r="B171" i="23"/>
  <c r="C153" i="23"/>
  <c r="C149" i="23"/>
  <c r="N133" i="23"/>
  <c r="B133" i="23"/>
  <c r="B118" i="23"/>
  <c r="B106" i="23"/>
  <c r="K102" i="23"/>
  <c r="B97" i="23"/>
  <c r="F85" i="23"/>
  <c r="C184" i="23" s="1"/>
  <c r="F84" i="23"/>
  <c r="F91" i="23" s="1"/>
  <c r="B80" i="23"/>
  <c r="B46" i="23"/>
  <c r="S26" i="23"/>
  <c r="S25" i="23"/>
  <c r="U14" i="23"/>
  <c r="S12" i="23"/>
  <c r="S11" i="23"/>
  <c r="U9" i="23"/>
  <c r="P3" i="23"/>
  <c r="C197" i="21"/>
  <c r="N181" i="21"/>
  <c r="B181" i="21"/>
  <c r="C175" i="23" l="1"/>
  <c r="C137" i="23"/>
  <c r="F126" i="23"/>
  <c r="C145" i="23"/>
  <c r="D99" i="23"/>
  <c r="C183" i="23"/>
  <c r="F127" i="23"/>
  <c r="C176" i="23"/>
  <c r="F93" i="23"/>
  <c r="D100" i="23"/>
  <c r="C138" i="23"/>
  <c r="C146" i="23"/>
  <c r="D107" i="23" l="1"/>
  <c r="D101" i="23"/>
  <c r="D109" i="23" s="1"/>
  <c r="D108" i="23"/>
  <c r="D102" i="23"/>
  <c r="D110" i="23" s="1"/>
  <c r="C153" i="22" l="1"/>
  <c r="C149" i="22"/>
  <c r="N133" i="22"/>
  <c r="B133" i="22"/>
  <c r="B118" i="22"/>
  <c r="B106" i="22"/>
  <c r="K102" i="22"/>
  <c r="B97" i="22"/>
  <c r="F85" i="22"/>
  <c r="F84" i="22"/>
  <c r="B80" i="22"/>
  <c r="B46" i="22"/>
  <c r="S26" i="22"/>
  <c r="S25" i="22"/>
  <c r="L7" i="22"/>
  <c r="C146" i="22" l="1"/>
  <c r="C179" i="22"/>
  <c r="C187" i="22"/>
  <c r="C145" i="22"/>
  <c r="C178" i="22"/>
  <c r="C186" i="22"/>
  <c r="F126" i="22"/>
  <c r="D99" i="22"/>
  <c r="D101" i="22" s="1"/>
  <c r="D109" i="22" s="1"/>
  <c r="F91" i="22"/>
  <c r="F127" i="22"/>
  <c r="C137" i="22"/>
  <c r="F93" i="22"/>
  <c r="D100" i="22"/>
  <c r="C138" i="22"/>
  <c r="D107" i="22" l="1"/>
  <c r="D102" i="22"/>
  <c r="D110" i="22" s="1"/>
  <c r="D108" i="22"/>
  <c r="S26" i="21" l="1"/>
  <c r="S25" i="21"/>
  <c r="C153" i="21" l="1"/>
  <c r="C149" i="21"/>
  <c r="N133" i="21"/>
  <c r="B133" i="21"/>
  <c r="B118" i="21"/>
  <c r="B106" i="21"/>
  <c r="K102" i="21"/>
  <c r="B97" i="21"/>
  <c r="B80" i="21"/>
  <c r="B46" i="21"/>
  <c r="U14" i="21"/>
  <c r="U9" i="21"/>
  <c r="L7" i="21"/>
  <c r="P3" i="21"/>
  <c r="C115" i="20"/>
  <c r="F85" i="21" l="1"/>
  <c r="S12" i="21"/>
  <c r="F84" i="21"/>
  <c r="S11" i="21"/>
  <c r="D100" i="21" l="1"/>
  <c r="D108" i="21" s="1"/>
  <c r="C186" i="21"/>
  <c r="C194" i="21"/>
  <c r="C193" i="21"/>
  <c r="C185" i="21"/>
  <c r="D99" i="21"/>
  <c r="C145" i="21"/>
  <c r="F126" i="21"/>
  <c r="C137" i="21"/>
  <c r="F91" i="21"/>
  <c r="C138" i="21"/>
  <c r="F127" i="21"/>
  <c r="C146" i="21"/>
  <c r="F93" i="21"/>
  <c r="D102" i="21" l="1"/>
  <c r="D110" i="21" s="1"/>
  <c r="D101" i="21"/>
  <c r="D109" i="21" s="1"/>
  <c r="D107" i="21"/>
  <c r="S6" i="20" l="1"/>
  <c r="C117" i="20"/>
  <c r="C113" i="20"/>
  <c r="Q97" i="20"/>
  <c r="B97" i="20"/>
  <c r="B84" i="20"/>
  <c r="B72" i="20"/>
  <c r="K68" i="20"/>
  <c r="B63" i="20"/>
  <c r="E51" i="20"/>
  <c r="E102" i="20" s="1"/>
  <c r="E50" i="20"/>
  <c r="E90" i="20" s="1"/>
  <c r="D50" i="20"/>
  <c r="D109" i="20" s="1"/>
  <c r="B46" i="20"/>
  <c r="B36" i="20"/>
  <c r="U14" i="20"/>
  <c r="R12" i="20"/>
  <c r="R11" i="20"/>
  <c r="Q11" i="20"/>
  <c r="U9" i="20"/>
  <c r="L7" i="20"/>
  <c r="P3" i="20"/>
  <c r="F50" i="20" l="1"/>
  <c r="F101" i="20" s="1"/>
  <c r="D57" i="20"/>
  <c r="D90" i="20"/>
  <c r="S11" i="20"/>
  <c r="L25" i="20"/>
  <c r="E59" i="20"/>
  <c r="D101" i="20"/>
  <c r="E109" i="20"/>
  <c r="S7" i="20"/>
  <c r="E101" i="20"/>
  <c r="E110" i="20"/>
  <c r="E57" i="20"/>
  <c r="E91" i="20"/>
  <c r="G65" i="20" l="1"/>
  <c r="G67" i="20" s="1"/>
  <c r="F57" i="20"/>
  <c r="F90" i="20"/>
  <c r="F109" i="20"/>
  <c r="S12" i="20"/>
  <c r="F51" i="20"/>
  <c r="F110" i="20" l="1"/>
  <c r="F59" i="20"/>
  <c r="F91" i="20"/>
  <c r="F102" i="20"/>
  <c r="G66" i="20"/>
  <c r="G68" i="20" s="1"/>
  <c r="C113" i="5" l="1"/>
  <c r="Q97" i="5"/>
  <c r="B97" i="5"/>
  <c r="B84" i="5"/>
  <c r="D50" i="5" l="1"/>
  <c r="E50" i="5"/>
  <c r="E109" i="5" l="1"/>
  <c r="E101" i="5"/>
  <c r="D90" i="5"/>
  <c r="D101" i="5"/>
  <c r="D109" i="5"/>
  <c r="E57" i="5"/>
  <c r="E90" i="5"/>
  <c r="D57" i="5"/>
  <c r="Q13" i="19" l="1"/>
  <c r="Q8" i="19"/>
  <c r="N7" i="19"/>
  <c r="N12" i="19" s="1"/>
  <c r="D82" i="19" s="1"/>
  <c r="L12" i="19"/>
  <c r="B82" i="19" s="1"/>
  <c r="M12" i="19"/>
  <c r="C82" i="19" s="1"/>
  <c r="M13" i="19"/>
  <c r="B174" i="19"/>
  <c r="F166" i="19"/>
  <c r="I166" i="19" s="1"/>
  <c r="E166" i="19"/>
  <c r="F165" i="19"/>
  <c r="E165" i="19"/>
  <c r="C165" i="19"/>
  <c r="F164" i="19"/>
  <c r="E164" i="19"/>
  <c r="D164" i="19"/>
  <c r="C164" i="19"/>
  <c r="B164" i="19"/>
  <c r="F159" i="19"/>
  <c r="I159" i="19" s="1"/>
  <c r="E159" i="19"/>
  <c r="C158" i="19"/>
  <c r="D157" i="19"/>
  <c r="C157" i="19"/>
  <c r="B157" i="19"/>
  <c r="F151" i="19"/>
  <c r="I151" i="19" s="1"/>
  <c r="E151" i="19"/>
  <c r="F150" i="19"/>
  <c r="E150" i="19"/>
  <c r="C150" i="19"/>
  <c r="F149" i="19"/>
  <c r="E149" i="19"/>
  <c r="D149" i="19"/>
  <c r="C149" i="19"/>
  <c r="B149" i="19"/>
  <c r="F144" i="19"/>
  <c r="E144" i="19"/>
  <c r="C143" i="19"/>
  <c r="D142" i="19"/>
  <c r="C142" i="19"/>
  <c r="B142" i="19"/>
  <c r="B138" i="19"/>
  <c r="C134" i="19"/>
  <c r="D133" i="19"/>
  <c r="C133" i="19"/>
  <c r="B133" i="19"/>
  <c r="C131" i="19"/>
  <c r="D130" i="19"/>
  <c r="C130" i="19"/>
  <c r="B130" i="19"/>
  <c r="A127" i="19"/>
  <c r="B122" i="19"/>
  <c r="B121" i="19"/>
  <c r="A120" i="19"/>
  <c r="A108" i="19"/>
  <c r="G105" i="19"/>
  <c r="G112" i="19" s="1"/>
  <c r="G104" i="19"/>
  <c r="G111" i="19" s="1"/>
  <c r="H103" i="19"/>
  <c r="A100" i="19"/>
  <c r="A91" i="19"/>
  <c r="C81" i="19"/>
  <c r="B81" i="19"/>
  <c r="C69" i="19"/>
  <c r="D68" i="19"/>
  <c r="C68" i="19"/>
  <c r="B68" i="19"/>
  <c r="C66" i="19"/>
  <c r="C102" i="19" s="1"/>
  <c r="D65" i="19"/>
  <c r="C65" i="19"/>
  <c r="B65" i="19"/>
  <c r="A62" i="19"/>
  <c r="C56" i="19"/>
  <c r="D55" i="19"/>
  <c r="C55" i="19"/>
  <c r="B55" i="19"/>
  <c r="D53" i="19"/>
  <c r="D165" i="19" s="1"/>
  <c r="A44" i="19"/>
  <c r="A33" i="19"/>
  <c r="A124" i="19" s="1"/>
  <c r="P25" i="19"/>
  <c r="O25" i="19"/>
  <c r="F84" i="19" s="1"/>
  <c r="M23" i="19"/>
  <c r="M22" i="19"/>
  <c r="C84" i="19" s="1"/>
  <c r="L22" i="19"/>
  <c r="B84" i="19" s="1"/>
  <c r="P20" i="19"/>
  <c r="O20" i="19"/>
  <c r="F83" i="19" s="1"/>
  <c r="M18" i="19"/>
  <c r="M17" i="19"/>
  <c r="C83" i="19" s="1"/>
  <c r="L17" i="19"/>
  <c r="B83" i="19" s="1"/>
  <c r="A9" i="19"/>
  <c r="A8" i="19"/>
  <c r="A7" i="19"/>
  <c r="A6" i="19"/>
  <c r="K4" i="19"/>
  <c r="B174" i="9"/>
  <c r="E152" i="19" l="1"/>
  <c r="F152" i="19"/>
  <c r="E167" i="19"/>
  <c r="F167" i="19"/>
  <c r="N8" i="19"/>
  <c r="N13" i="19" s="1"/>
  <c r="N22" i="19"/>
  <c r="D84" i="19" s="1"/>
  <c r="A173" i="19"/>
  <c r="C105" i="19"/>
  <c r="C104" i="19"/>
  <c r="C103" i="19"/>
  <c r="B112" i="19"/>
  <c r="B111" i="19"/>
  <c r="B110" i="19"/>
  <c r="B109" i="19"/>
  <c r="N17" i="19"/>
  <c r="D83" i="19" s="1"/>
  <c r="D69" i="19"/>
  <c r="D81" i="19"/>
  <c r="D150" i="19"/>
  <c r="D134" i="19"/>
  <c r="D158" i="19"/>
  <c r="D131" i="19"/>
  <c r="D56" i="19"/>
  <c r="D66" i="19"/>
  <c r="D102" i="19" s="1"/>
  <c r="D143" i="19"/>
  <c r="C165" i="9"/>
  <c r="D164" i="9"/>
  <c r="C164" i="9"/>
  <c r="B164" i="9"/>
  <c r="C158" i="9"/>
  <c r="D157" i="9"/>
  <c r="C157" i="9"/>
  <c r="B157" i="9"/>
  <c r="F166" i="9"/>
  <c r="I166" i="9" s="1"/>
  <c r="E166" i="9"/>
  <c r="E165" i="9"/>
  <c r="E164" i="9"/>
  <c r="F159" i="9"/>
  <c r="I159" i="9" s="1"/>
  <c r="E159" i="9"/>
  <c r="F151" i="9"/>
  <c r="I151" i="9" s="1"/>
  <c r="E151" i="9"/>
  <c r="E150" i="9"/>
  <c r="E149" i="9"/>
  <c r="F144" i="9"/>
  <c r="E144" i="9"/>
  <c r="C150" i="9"/>
  <c r="D149" i="9"/>
  <c r="C149" i="9"/>
  <c r="B149" i="9"/>
  <c r="C143" i="9"/>
  <c r="D142" i="9"/>
  <c r="C142" i="9"/>
  <c r="B142" i="9"/>
  <c r="B138" i="9"/>
  <c r="C134" i="9"/>
  <c r="D133" i="9"/>
  <c r="C133" i="9"/>
  <c r="B133" i="9"/>
  <c r="C131" i="9"/>
  <c r="D130" i="9"/>
  <c r="C130" i="9"/>
  <c r="B130" i="9"/>
  <c r="A127" i="9"/>
  <c r="N18" i="19" l="1"/>
  <c r="N23" i="19"/>
  <c r="C112" i="19"/>
  <c r="C111" i="19"/>
  <c r="C110" i="19"/>
  <c r="C109" i="19"/>
  <c r="D105" i="19"/>
  <c r="D104" i="19"/>
  <c r="D103" i="19"/>
  <c r="E152" i="9"/>
  <c r="E167" i="9"/>
  <c r="B122" i="9" l="1"/>
  <c r="B121" i="9"/>
  <c r="A120" i="9"/>
  <c r="A108" i="9" l="1"/>
  <c r="A100" i="9"/>
  <c r="A91" i="9"/>
  <c r="A62" i="9"/>
  <c r="A33" i="9"/>
  <c r="A124" i="9" l="1"/>
  <c r="A173" i="9"/>
  <c r="B81" i="9"/>
  <c r="C81" i="9"/>
  <c r="M23" i="9"/>
  <c r="M22" i="9"/>
  <c r="C84" i="9" s="1"/>
  <c r="L22" i="9"/>
  <c r="B84" i="9" s="1"/>
  <c r="M18" i="9"/>
  <c r="M17" i="9"/>
  <c r="C83" i="9" s="1"/>
  <c r="L17" i="9"/>
  <c r="B83" i="9" s="1"/>
  <c r="M13" i="9"/>
  <c r="M12" i="9"/>
  <c r="C82" i="9" s="1"/>
  <c r="L12" i="9"/>
  <c r="B82" i="9" s="1"/>
  <c r="K4" i="9"/>
  <c r="O25" i="9"/>
  <c r="F84" i="9" s="1"/>
  <c r="O20" i="9"/>
  <c r="F83" i="9" s="1"/>
  <c r="Q13" i="9"/>
  <c r="Q8" i="9"/>
  <c r="N7" i="9"/>
  <c r="N8" i="9" s="1"/>
  <c r="N23" i="9" s="1"/>
  <c r="D81" i="9" l="1"/>
  <c r="N18" i="9"/>
  <c r="N22" i="9"/>
  <c r="D84" i="9" s="1"/>
  <c r="N17" i="9"/>
  <c r="D83" i="9" s="1"/>
  <c r="N12" i="9"/>
  <c r="D82" i="9" s="1"/>
  <c r="N13" i="9"/>
  <c r="G7" i="18" l="1"/>
  <c r="G55" i="18" s="1"/>
  <c r="H7" i="18"/>
  <c r="H55" i="18" s="1"/>
  <c r="A57" i="18"/>
  <c r="A60" i="18"/>
  <c r="A63" i="18"/>
  <c r="A66" i="18"/>
  <c r="V12" i="17" l="1"/>
  <c r="V7" i="17"/>
  <c r="S6" i="17"/>
  <c r="S7" i="17" s="1"/>
  <c r="S12" i="17" s="1"/>
  <c r="C238" i="17"/>
  <c r="C236" i="17"/>
  <c r="C234" i="17"/>
  <c r="I232" i="17"/>
  <c r="I228" i="17"/>
  <c r="C222" i="17"/>
  <c r="I217" i="17"/>
  <c r="M217" i="17" s="1"/>
  <c r="G217" i="17"/>
  <c r="I216" i="17"/>
  <c r="G216" i="17"/>
  <c r="I215" i="17"/>
  <c r="G215" i="17"/>
  <c r="I210" i="17"/>
  <c r="M210" i="17" s="1"/>
  <c r="G210" i="17"/>
  <c r="I199" i="17"/>
  <c r="M199" i="17" s="1"/>
  <c r="G199" i="17"/>
  <c r="I198" i="17"/>
  <c r="G198" i="17"/>
  <c r="I197" i="17"/>
  <c r="G197" i="17"/>
  <c r="I192" i="17"/>
  <c r="M192" i="17" s="1"/>
  <c r="G192" i="17"/>
  <c r="B185" i="17"/>
  <c r="I167" i="17"/>
  <c r="I166" i="17"/>
  <c r="B163" i="17"/>
  <c r="I159" i="17"/>
  <c r="I158" i="17"/>
  <c r="K157" i="17"/>
  <c r="B142" i="17"/>
  <c r="B133" i="17"/>
  <c r="B111" i="17"/>
  <c r="B96" i="17"/>
  <c r="I92" i="17"/>
  <c r="I104" i="17" s="1"/>
  <c r="I90" i="17"/>
  <c r="I102" i="17" s="1"/>
  <c r="K88" i="17"/>
  <c r="B83" i="17"/>
  <c r="K78" i="17"/>
  <c r="K74" i="17"/>
  <c r="E65" i="17"/>
  <c r="E191" i="17" s="1"/>
  <c r="E63" i="17"/>
  <c r="E67" i="17" s="1"/>
  <c r="D63" i="17"/>
  <c r="D67" i="17" s="1"/>
  <c r="B61" i="17"/>
  <c r="B50" i="17"/>
  <c r="B37" i="17"/>
  <c r="B30" i="17"/>
  <c r="V24" i="17"/>
  <c r="U24" i="17"/>
  <c r="T24" i="17"/>
  <c r="G40" i="17" s="1"/>
  <c r="R22" i="17"/>
  <c r="R21" i="17"/>
  <c r="Q21" i="17"/>
  <c r="V19" i="17"/>
  <c r="U19" i="17"/>
  <c r="T19" i="17"/>
  <c r="G39" i="17" s="1"/>
  <c r="R17" i="17"/>
  <c r="R16" i="17"/>
  <c r="Q16" i="17"/>
  <c r="R12" i="17"/>
  <c r="R11" i="17"/>
  <c r="Q11" i="17"/>
  <c r="L7" i="17"/>
  <c r="B135" i="17"/>
  <c r="P3" i="17"/>
  <c r="H178" i="16"/>
  <c r="H180" i="16" s="1"/>
  <c r="E151" i="16"/>
  <c r="F150" i="16"/>
  <c r="E150" i="16"/>
  <c r="D150" i="16"/>
  <c r="E149" i="16"/>
  <c r="F148" i="16"/>
  <c r="E148" i="16"/>
  <c r="D148" i="16"/>
  <c r="F146" i="16"/>
  <c r="E147" i="16"/>
  <c r="E146" i="16"/>
  <c r="D146" i="16"/>
  <c r="F145" i="16"/>
  <c r="F147" i="16" s="1"/>
  <c r="F65" i="16"/>
  <c r="F192" i="16" s="1"/>
  <c r="D64" i="16"/>
  <c r="D191" i="16" s="1"/>
  <c r="E65" i="16"/>
  <c r="E192" i="16" s="1"/>
  <c r="E217" i="16" s="1"/>
  <c r="E64" i="16"/>
  <c r="E191" i="16" s="1"/>
  <c r="S23" i="16"/>
  <c r="R23" i="16"/>
  <c r="Q23" i="16"/>
  <c r="R22" i="16"/>
  <c r="Q22" i="16"/>
  <c r="R21" i="16"/>
  <c r="Q21" i="16"/>
  <c r="S18" i="16"/>
  <c r="R18" i="16"/>
  <c r="Q18" i="16"/>
  <c r="R17" i="16"/>
  <c r="Q17" i="16"/>
  <c r="R16" i="16"/>
  <c r="Q16" i="16"/>
  <c r="S13" i="16"/>
  <c r="R13" i="16"/>
  <c r="Q13" i="16"/>
  <c r="R12" i="16"/>
  <c r="Q12" i="16"/>
  <c r="R11" i="16"/>
  <c r="Q11" i="16"/>
  <c r="S7" i="16"/>
  <c r="S12" i="16" s="1"/>
  <c r="S6" i="16"/>
  <c r="S16" i="16" s="1"/>
  <c r="C238" i="16"/>
  <c r="C236" i="16"/>
  <c r="C234" i="16"/>
  <c r="C222" i="16"/>
  <c r="B185" i="16"/>
  <c r="B163" i="16"/>
  <c r="K157" i="16"/>
  <c r="B142" i="16"/>
  <c r="B133" i="16"/>
  <c r="B111" i="16"/>
  <c r="B96" i="16"/>
  <c r="K88" i="16"/>
  <c r="B83" i="16"/>
  <c r="K78" i="16"/>
  <c r="K74" i="16"/>
  <c r="E63" i="16"/>
  <c r="E67" i="16" s="1"/>
  <c r="D63" i="16"/>
  <c r="D190" i="16" s="1"/>
  <c r="B61" i="16"/>
  <c r="B50" i="16"/>
  <c r="B37" i="16"/>
  <c r="B30" i="16"/>
  <c r="L7" i="16"/>
  <c r="B135" i="16"/>
  <c r="P3" i="16"/>
  <c r="V12" i="15"/>
  <c r="V7" i="15"/>
  <c r="S11" i="15"/>
  <c r="C238" i="15"/>
  <c r="C236" i="15"/>
  <c r="C234" i="15"/>
  <c r="I232" i="15"/>
  <c r="I228" i="15"/>
  <c r="C222" i="15"/>
  <c r="I217" i="15"/>
  <c r="M217" i="15" s="1"/>
  <c r="G217" i="15"/>
  <c r="I216" i="15"/>
  <c r="G216" i="15"/>
  <c r="I215" i="15"/>
  <c r="G215" i="15"/>
  <c r="I210" i="15"/>
  <c r="M210" i="15" s="1"/>
  <c r="G210" i="15"/>
  <c r="I199" i="15"/>
  <c r="M199" i="15" s="1"/>
  <c r="G199" i="15"/>
  <c r="I198" i="15"/>
  <c r="G198" i="15"/>
  <c r="I197" i="15"/>
  <c r="G197" i="15"/>
  <c r="I192" i="15"/>
  <c r="M192" i="15" s="1"/>
  <c r="G192" i="15"/>
  <c r="B185" i="15"/>
  <c r="B163" i="15"/>
  <c r="I159" i="15"/>
  <c r="I158" i="15"/>
  <c r="K157" i="15"/>
  <c r="B142" i="15"/>
  <c r="B133" i="15"/>
  <c r="B111" i="15"/>
  <c r="B96" i="15"/>
  <c r="I92" i="15"/>
  <c r="I104" i="15" s="1"/>
  <c r="I90" i="15"/>
  <c r="I102" i="15" s="1"/>
  <c r="K88" i="15"/>
  <c r="B83" i="15"/>
  <c r="K78" i="15"/>
  <c r="K74" i="15"/>
  <c r="E65" i="15"/>
  <c r="E69" i="15" s="1"/>
  <c r="E63" i="15"/>
  <c r="E190" i="15" s="1"/>
  <c r="D63" i="15"/>
  <c r="D190" i="15" s="1"/>
  <c r="D208" i="15" s="1"/>
  <c r="B61" i="15"/>
  <c r="B50" i="15"/>
  <c r="B37" i="15"/>
  <c r="B30" i="15"/>
  <c r="V24" i="15"/>
  <c r="U24" i="15"/>
  <c r="T24" i="15"/>
  <c r="G40" i="15" s="1"/>
  <c r="R22" i="15"/>
  <c r="R21" i="15"/>
  <c r="Q21" i="15"/>
  <c r="V19" i="15"/>
  <c r="U19" i="15"/>
  <c r="T19" i="15"/>
  <c r="G39" i="15" s="1"/>
  <c r="R17" i="15"/>
  <c r="R16" i="15"/>
  <c r="Q16" i="15"/>
  <c r="R12" i="15"/>
  <c r="R11" i="15"/>
  <c r="Q11" i="15"/>
  <c r="L7" i="15"/>
  <c r="P3" i="15"/>
  <c r="E65" i="12"/>
  <c r="C222" i="12"/>
  <c r="G218" i="17" l="1"/>
  <c r="F149" i="16"/>
  <c r="B135" i="15"/>
  <c r="G218" i="15"/>
  <c r="E120" i="15"/>
  <c r="E124" i="15" s="1"/>
  <c r="E114" i="15"/>
  <c r="E115" i="15" s="1"/>
  <c r="E67" i="15"/>
  <c r="I218" i="15"/>
  <c r="G200" i="17"/>
  <c r="I200" i="15"/>
  <c r="G200" i="15"/>
  <c r="I200" i="17"/>
  <c r="I218" i="17"/>
  <c r="D216" i="16"/>
  <c r="D198" i="16"/>
  <c r="D209" i="16"/>
  <c r="E215" i="15"/>
  <c r="E208" i="15"/>
  <c r="E197" i="15"/>
  <c r="F210" i="16"/>
  <c r="F217" i="16"/>
  <c r="F199" i="16"/>
  <c r="S17" i="16"/>
  <c r="E121" i="16"/>
  <c r="E125" i="16" s="1"/>
  <c r="E120" i="17"/>
  <c r="E124" i="17" s="1"/>
  <c r="D67" i="15"/>
  <c r="E122" i="15"/>
  <c r="E126" i="15" s="1"/>
  <c r="E191" i="15"/>
  <c r="E68" i="16"/>
  <c r="F151" i="16"/>
  <c r="E210" i="16"/>
  <c r="H179" i="16"/>
  <c r="H181" i="16" s="1"/>
  <c r="E190" i="17"/>
  <c r="E197" i="17" s="1"/>
  <c r="D121" i="16"/>
  <c r="D125" i="16" s="1"/>
  <c r="D114" i="17"/>
  <c r="D115" i="17" s="1"/>
  <c r="D114" i="15"/>
  <c r="D115" i="15" s="1"/>
  <c r="D120" i="15"/>
  <c r="D124" i="15" s="1"/>
  <c r="F64" i="16"/>
  <c r="G85" i="16" s="1"/>
  <c r="E199" i="16"/>
  <c r="E114" i="17"/>
  <c r="E115" i="17" s="1"/>
  <c r="S11" i="17"/>
  <c r="E209" i="17"/>
  <c r="E198" i="17"/>
  <c r="E216" i="17"/>
  <c r="F65" i="17"/>
  <c r="G86" i="17" s="1"/>
  <c r="S22" i="17"/>
  <c r="S17" i="17"/>
  <c r="D120" i="17"/>
  <c r="D124" i="17" s="1"/>
  <c r="D190" i="17"/>
  <c r="S21" i="17"/>
  <c r="F63" i="17"/>
  <c r="E69" i="17"/>
  <c r="S16" i="17"/>
  <c r="E122" i="17"/>
  <c r="E126" i="17" s="1"/>
  <c r="E114" i="16"/>
  <c r="E115" i="16" s="1"/>
  <c r="S11" i="16"/>
  <c r="S22" i="16"/>
  <c r="S21" i="16"/>
  <c r="E216" i="16"/>
  <c r="E209" i="16"/>
  <c r="E198" i="16"/>
  <c r="D208" i="16"/>
  <c r="D197" i="16"/>
  <c r="D215" i="16"/>
  <c r="F63" i="16"/>
  <c r="E120" i="16"/>
  <c r="E124" i="16" s="1"/>
  <c r="E190" i="16"/>
  <c r="E69" i="16"/>
  <c r="D114" i="16"/>
  <c r="D115" i="16" s="1"/>
  <c r="D67" i="16"/>
  <c r="E122" i="16"/>
  <c r="E126" i="16" s="1"/>
  <c r="D120" i="16"/>
  <c r="D124" i="16" s="1"/>
  <c r="S7" i="15"/>
  <c r="S17" i="15" s="1"/>
  <c r="S16" i="15"/>
  <c r="S21" i="15"/>
  <c r="F63" i="15"/>
  <c r="F190" i="15" s="1"/>
  <c r="F215" i="15" s="1"/>
  <c r="D215" i="15"/>
  <c r="D197" i="15"/>
  <c r="E215" i="17" l="1"/>
  <c r="F67" i="15"/>
  <c r="F197" i="15"/>
  <c r="F208" i="15"/>
  <c r="F120" i="15"/>
  <c r="F124" i="15" s="1"/>
  <c r="F114" i="15"/>
  <c r="F115" i="15" s="1"/>
  <c r="E208" i="17"/>
  <c r="E209" i="15"/>
  <c r="E198" i="15"/>
  <c r="E216" i="15"/>
  <c r="F68" i="16"/>
  <c r="F191" i="16"/>
  <c r="F121" i="16"/>
  <c r="F125" i="16" s="1"/>
  <c r="G92" i="17"/>
  <c r="G90" i="17"/>
  <c r="G88" i="17"/>
  <c r="F69" i="17"/>
  <c r="F191" i="17"/>
  <c r="F122" i="17"/>
  <c r="F126" i="17" s="1"/>
  <c r="F190" i="17"/>
  <c r="F120" i="17"/>
  <c r="F124" i="17" s="1"/>
  <c r="F67" i="17"/>
  <c r="F114" i="17"/>
  <c r="F115" i="17" s="1"/>
  <c r="D208" i="17"/>
  <c r="D197" i="17"/>
  <c r="D215" i="17"/>
  <c r="G91" i="16"/>
  <c r="G89" i="16"/>
  <c r="G87" i="16"/>
  <c r="F114" i="16"/>
  <c r="F115" i="16" s="1"/>
  <c r="F190" i="16"/>
  <c r="F120" i="16"/>
  <c r="F124" i="16" s="1"/>
  <c r="F67" i="16"/>
  <c r="E208" i="16"/>
  <c r="E197" i="16"/>
  <c r="E215" i="16"/>
  <c r="F65" i="15"/>
  <c r="S12" i="15"/>
  <c r="S22" i="15"/>
  <c r="F215" i="17" l="1"/>
  <c r="F208" i="17"/>
  <c r="F197" i="17"/>
  <c r="F209" i="17"/>
  <c r="F198" i="17"/>
  <c r="F216" i="17"/>
  <c r="F197" i="16"/>
  <c r="F215" i="16"/>
  <c r="F208" i="16"/>
  <c r="F122" i="16"/>
  <c r="F126" i="16" s="1"/>
  <c r="F69" i="16"/>
  <c r="G86" i="16"/>
  <c r="F122" i="15"/>
  <c r="F126" i="15" s="1"/>
  <c r="G86" i="15"/>
  <c r="F69" i="15"/>
  <c r="F191" i="15"/>
  <c r="G88" i="16" l="1"/>
  <c r="G92" i="16"/>
  <c r="G90" i="16"/>
  <c r="F209" i="16"/>
  <c r="F198" i="16"/>
  <c r="F216" i="16"/>
  <c r="G90" i="15"/>
  <c r="G88" i="15"/>
  <c r="G92" i="15"/>
  <c r="F209" i="15"/>
  <c r="F198" i="15"/>
  <c r="F216" i="15"/>
  <c r="R22" i="12" l="1"/>
  <c r="R21" i="12"/>
  <c r="Q21" i="12"/>
  <c r="V19" i="12"/>
  <c r="U19" i="12"/>
  <c r="T19" i="12"/>
  <c r="G39" i="12" s="1"/>
  <c r="R17" i="12"/>
  <c r="R16" i="12"/>
  <c r="Q16" i="12"/>
  <c r="V12" i="12"/>
  <c r="R12" i="12"/>
  <c r="R11" i="12"/>
  <c r="Q11" i="12"/>
  <c r="V7" i="12"/>
  <c r="S6" i="12"/>
  <c r="S11" i="12" s="1"/>
  <c r="P3" i="12"/>
  <c r="C238" i="12"/>
  <c r="C236" i="12"/>
  <c r="C234" i="12"/>
  <c r="I232" i="12"/>
  <c r="I228" i="12"/>
  <c r="I217" i="12"/>
  <c r="M217" i="12" s="1"/>
  <c r="G217" i="12"/>
  <c r="I216" i="12"/>
  <c r="G216" i="12"/>
  <c r="I215" i="12"/>
  <c r="G215" i="12"/>
  <c r="I210" i="12"/>
  <c r="M210" i="12" s="1"/>
  <c r="G210" i="12"/>
  <c r="I199" i="12"/>
  <c r="M199" i="12" s="1"/>
  <c r="G199" i="12"/>
  <c r="I198" i="12"/>
  <c r="G198" i="12"/>
  <c r="I197" i="12"/>
  <c r="G197" i="12"/>
  <c r="I192" i="12"/>
  <c r="M192" i="12" s="1"/>
  <c r="G192" i="12"/>
  <c r="B185" i="12"/>
  <c r="B163" i="12"/>
  <c r="I159" i="12"/>
  <c r="I158" i="12"/>
  <c r="K157" i="12"/>
  <c r="B142" i="12"/>
  <c r="B133" i="12"/>
  <c r="B111" i="12"/>
  <c r="B96" i="12"/>
  <c r="I92" i="12"/>
  <c r="I104" i="12" s="1"/>
  <c r="I90" i="12"/>
  <c r="I102" i="12" s="1"/>
  <c r="K88" i="12"/>
  <c r="B83" i="12"/>
  <c r="K78" i="12"/>
  <c r="K74" i="12"/>
  <c r="E69" i="12"/>
  <c r="E63" i="12"/>
  <c r="E67" i="12" s="1"/>
  <c r="D63" i="12"/>
  <c r="B61" i="12"/>
  <c r="B50" i="12"/>
  <c r="B37" i="12"/>
  <c r="B30" i="12"/>
  <c r="V24" i="12"/>
  <c r="U24" i="12"/>
  <c r="T24" i="12"/>
  <c r="G40" i="12" s="1"/>
  <c r="L7" i="12"/>
  <c r="B135" i="12"/>
  <c r="F63" i="12" l="1"/>
  <c r="F67" i="12" s="1"/>
  <c r="I200" i="12"/>
  <c r="G218" i="12"/>
  <c r="E122" i="12"/>
  <c r="E126" i="12" s="1"/>
  <c r="S21" i="12"/>
  <c r="S16" i="12"/>
  <c r="E114" i="12"/>
  <c r="E115" i="12" s="1"/>
  <c r="E190" i="12"/>
  <c r="E208" i="12" s="1"/>
  <c r="S7" i="12"/>
  <c r="F65" i="12" s="1"/>
  <c r="E120" i="12"/>
  <c r="E124" i="12" s="1"/>
  <c r="E191" i="12"/>
  <c r="E216" i="12" s="1"/>
  <c r="G200" i="12"/>
  <c r="I218" i="12"/>
  <c r="D190" i="12"/>
  <c r="D120" i="12"/>
  <c r="D124" i="12" s="1"/>
  <c r="D114" i="12"/>
  <c r="D115" i="12" s="1"/>
  <c r="D67" i="12"/>
  <c r="F114" i="12" l="1"/>
  <c r="F115" i="12" s="1"/>
  <c r="F120" i="12"/>
  <c r="F124" i="12" s="1"/>
  <c r="F190" i="12"/>
  <c r="F197" i="12" s="1"/>
  <c r="E198" i="12"/>
  <c r="E197" i="12"/>
  <c r="E215" i="12"/>
  <c r="E209" i="12"/>
  <c r="S22" i="12"/>
  <c r="S17" i="12"/>
  <c r="S12" i="12"/>
  <c r="D208" i="12"/>
  <c r="D197" i="12"/>
  <c r="D215" i="12"/>
  <c r="F208" i="12" l="1"/>
  <c r="F215" i="12"/>
  <c r="G86" i="12"/>
  <c r="F69" i="12"/>
  <c r="F191" i="12"/>
  <c r="F122" i="12"/>
  <c r="F126" i="12" s="1"/>
  <c r="F209" i="12" l="1"/>
  <c r="F198" i="12"/>
  <c r="F216" i="12"/>
  <c r="G92" i="12"/>
  <c r="G88" i="12"/>
  <c r="G90" i="12"/>
  <c r="H103" i="9" l="1"/>
  <c r="A35" i="8" l="1"/>
  <c r="A34" i="8"/>
  <c r="C56" i="9"/>
  <c r="D55" i="9"/>
  <c r="C55" i="9"/>
  <c r="B55" i="9"/>
  <c r="C66" i="9"/>
  <c r="C102" i="9" s="1"/>
  <c r="D65" i="9"/>
  <c r="C65" i="9"/>
  <c r="B65" i="9"/>
  <c r="D68" i="9"/>
  <c r="C69" i="9"/>
  <c r="C68" i="9"/>
  <c r="B68" i="9"/>
  <c r="D53" i="9"/>
  <c r="D165" i="9" l="1"/>
  <c r="D158" i="9"/>
  <c r="D150" i="9"/>
  <c r="D143" i="9"/>
  <c r="D66" i="9"/>
  <c r="D102" i="9" s="1"/>
  <c r="C110" i="9" s="1"/>
  <c r="D131" i="9"/>
  <c r="D134" i="9"/>
  <c r="B112" i="9"/>
  <c r="B110" i="9"/>
  <c r="B109" i="9"/>
  <c r="B111" i="9"/>
  <c r="C104" i="9"/>
  <c r="C105" i="9"/>
  <c r="C103" i="9"/>
  <c r="D56" i="9"/>
  <c r="D69" i="9"/>
  <c r="D50" i="10"/>
  <c r="B37" i="10"/>
  <c r="C69" i="10" s="1"/>
  <c r="B35" i="10"/>
  <c r="C68" i="10" s="1"/>
  <c r="B32" i="10"/>
  <c r="C66" i="10" s="1"/>
  <c r="B30" i="10"/>
  <c r="C65" i="10" s="1"/>
  <c r="B27" i="10"/>
  <c r="C63" i="10" s="1"/>
  <c r="B25" i="10"/>
  <c r="C62" i="10" s="1"/>
  <c r="B22" i="10"/>
  <c r="C60" i="10" s="1"/>
  <c r="B20" i="10"/>
  <c r="C59" i="10" s="1"/>
  <c r="B17" i="10"/>
  <c r="C57" i="10" s="1"/>
  <c r="B15" i="10"/>
  <c r="C56" i="10" s="1"/>
  <c r="B12" i="10"/>
  <c r="C54" i="10" s="1"/>
  <c r="B10" i="10"/>
  <c r="C53" i="10" s="1"/>
  <c r="C112" i="9" l="1"/>
  <c r="D104" i="9"/>
  <c r="C111" i="9"/>
  <c r="D105" i="9"/>
  <c r="C109" i="9"/>
  <c r="D103" i="9"/>
  <c r="F30" i="10"/>
  <c r="A44" i="9" l="1"/>
  <c r="A9" i="9"/>
  <c r="A8" i="9"/>
  <c r="A7" i="9"/>
  <c r="A6" i="9"/>
  <c r="J130" i="8" l="1"/>
  <c r="A130" i="8"/>
  <c r="J129" i="8"/>
  <c r="A129" i="8"/>
  <c r="C117" i="8"/>
  <c r="L131" i="8" s="1"/>
  <c r="G16" i="8" s="1"/>
  <c r="A116" i="8"/>
  <c r="A115" i="8"/>
  <c r="A51" i="8"/>
  <c r="A40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A13" i="8"/>
  <c r="J12" i="8"/>
  <c r="J11" i="8"/>
  <c r="A11" i="8"/>
  <c r="J10" i="8"/>
  <c r="J9" i="8"/>
  <c r="A9" i="8"/>
  <c r="J8" i="8"/>
  <c r="J7" i="8"/>
  <c r="A7" i="8"/>
  <c r="J6" i="8"/>
  <c r="J5" i="8"/>
  <c r="J4" i="8"/>
  <c r="J130" i="7"/>
  <c r="J129" i="7"/>
  <c r="A130" i="7" l="1"/>
  <c r="A129" i="7"/>
  <c r="A35" i="7"/>
  <c r="A116" i="7"/>
  <c r="A115" i="7"/>
  <c r="C117" i="7"/>
  <c r="L131" i="7" s="1"/>
  <c r="G16" i="7" s="1"/>
  <c r="J27" i="7" l="1"/>
  <c r="J26" i="7"/>
  <c r="J25" i="7"/>
  <c r="J24" i="7"/>
  <c r="J23" i="7"/>
  <c r="J22" i="7"/>
  <c r="J21" i="7"/>
  <c r="J20" i="7"/>
  <c r="J19" i="7"/>
  <c r="J18" i="7"/>
  <c r="J17" i="7"/>
  <c r="J8" i="7"/>
  <c r="J16" i="7"/>
  <c r="J15" i="7"/>
  <c r="J14" i="7"/>
  <c r="J13" i="7"/>
  <c r="J12" i="7"/>
  <c r="J11" i="7"/>
  <c r="J10" i="7"/>
  <c r="J9" i="7"/>
  <c r="J7" i="7"/>
  <c r="J6" i="7"/>
  <c r="J5" i="7" l="1"/>
  <c r="J4" i="7"/>
  <c r="A51" i="7" l="1"/>
  <c r="A40" i="7"/>
  <c r="A34" i="7"/>
  <c r="P3" i="1" l="1"/>
  <c r="P3" i="2"/>
  <c r="P3" i="3"/>
  <c r="P3" i="4"/>
  <c r="P3" i="5"/>
  <c r="S6" i="5"/>
  <c r="F50" i="5" l="1"/>
  <c r="S7" i="5"/>
  <c r="F51" i="5" s="1"/>
  <c r="F109" i="5" l="1"/>
  <c r="G65" i="5"/>
  <c r="G67" i="5" s="1"/>
  <c r="F90" i="5"/>
  <c r="F101" i="5"/>
  <c r="F57" i="5"/>
  <c r="C117" i="5" l="1"/>
  <c r="B72" i="5"/>
  <c r="K68" i="5"/>
  <c r="B63" i="5"/>
  <c r="E51" i="5"/>
  <c r="B46" i="5"/>
  <c r="B36" i="5"/>
  <c r="R12" i="5"/>
  <c r="R11" i="5"/>
  <c r="Q11" i="5"/>
  <c r="L7" i="5"/>
  <c r="G66" i="5" l="1"/>
  <c r="G68" i="5" s="1"/>
  <c r="E91" i="5"/>
  <c r="E102" i="5"/>
  <c r="E110" i="5"/>
  <c r="F102" i="5"/>
  <c r="F110" i="5"/>
  <c r="F59" i="5"/>
  <c r="F91" i="5"/>
  <c r="E59" i="5"/>
  <c r="S11" i="5"/>
  <c r="S12" i="5"/>
  <c r="A5" i="4" l="1"/>
  <c r="L8" i="4" s="1"/>
  <c r="S6" i="4"/>
  <c r="S7" i="4" s="1"/>
  <c r="L7" i="4"/>
  <c r="V7" i="4"/>
  <c r="Q11" i="4"/>
  <c r="R11" i="4"/>
  <c r="R12" i="4"/>
  <c r="V12" i="4"/>
  <c r="Q16" i="4"/>
  <c r="R16" i="4"/>
  <c r="R17" i="4"/>
  <c r="T19" i="4"/>
  <c r="U19" i="4"/>
  <c r="V19" i="4"/>
  <c r="Q21" i="4"/>
  <c r="R21" i="4"/>
  <c r="R22" i="4"/>
  <c r="T24" i="4"/>
  <c r="U24" i="4"/>
  <c r="V24" i="4"/>
  <c r="K25" i="4"/>
  <c r="B35" i="4"/>
  <c r="B42" i="4"/>
  <c r="B55" i="4"/>
  <c r="B81" i="4"/>
  <c r="D83" i="4"/>
  <c r="D139" i="4" s="1"/>
  <c r="D140" i="4" s="1"/>
  <c r="E83" i="4"/>
  <c r="E145" i="4" s="1"/>
  <c r="E149" i="4" s="1"/>
  <c r="E85" i="4"/>
  <c r="E89" i="4" s="1"/>
  <c r="K94" i="4"/>
  <c r="K98" i="4"/>
  <c r="B103" i="4"/>
  <c r="K108" i="4"/>
  <c r="I110" i="4"/>
  <c r="I122" i="4" s="1"/>
  <c r="I112" i="4"/>
  <c r="I124" i="4" s="1"/>
  <c r="B116" i="4"/>
  <c r="B135" i="4"/>
  <c r="B158" i="4"/>
  <c r="B161" i="4" s="1"/>
  <c r="B160" i="4"/>
  <c r="B167" i="4"/>
  <c r="K186" i="4"/>
  <c r="I187" i="4"/>
  <c r="I188" i="4"/>
  <c r="B192" i="4"/>
  <c r="B215" i="4"/>
  <c r="G222" i="4"/>
  <c r="I222" i="4"/>
  <c r="M222" i="4" s="1"/>
  <c r="G227" i="4"/>
  <c r="I227" i="4"/>
  <c r="G228" i="4"/>
  <c r="I228" i="4"/>
  <c r="G229" i="4"/>
  <c r="I229" i="4"/>
  <c r="M229" i="4" s="1"/>
  <c r="G240" i="4"/>
  <c r="I240" i="4"/>
  <c r="M240" i="4" s="1"/>
  <c r="G245" i="4"/>
  <c r="I245" i="4"/>
  <c r="G246" i="4"/>
  <c r="I246" i="4"/>
  <c r="G247" i="4"/>
  <c r="I247" i="4"/>
  <c r="M247" i="4" s="1"/>
  <c r="M253" i="4"/>
  <c r="M255" i="4"/>
  <c r="C257" i="4"/>
  <c r="I263" i="4"/>
  <c r="I267" i="4"/>
  <c r="C269" i="4"/>
  <c r="C271" i="4"/>
  <c r="C273" i="4"/>
  <c r="A5" i="3"/>
  <c r="L8" i="3" s="1"/>
  <c r="S6" i="3"/>
  <c r="S11" i="3" s="1"/>
  <c r="L7" i="3"/>
  <c r="S7" i="3"/>
  <c r="F84" i="3" s="1"/>
  <c r="Q11" i="3"/>
  <c r="R11" i="3"/>
  <c r="Q12" i="3"/>
  <c r="R12" i="3"/>
  <c r="Q13" i="3"/>
  <c r="R13" i="3"/>
  <c r="S13" i="3"/>
  <c r="Q16" i="3"/>
  <c r="R16" i="3"/>
  <c r="Q17" i="3"/>
  <c r="R17" i="3"/>
  <c r="Q18" i="3"/>
  <c r="R18" i="3"/>
  <c r="S18" i="3"/>
  <c r="Q21" i="3"/>
  <c r="R21" i="3"/>
  <c r="Q22" i="3"/>
  <c r="R22" i="3"/>
  <c r="Q23" i="3"/>
  <c r="R23" i="3"/>
  <c r="S23" i="3"/>
  <c r="K25" i="3"/>
  <c r="B35" i="3"/>
  <c r="B42" i="3"/>
  <c r="B55" i="3"/>
  <c r="B81" i="3"/>
  <c r="D83" i="3"/>
  <c r="D145" i="3" s="1"/>
  <c r="D149" i="3" s="1"/>
  <c r="E83" i="3"/>
  <c r="E87" i="3" s="1"/>
  <c r="D84" i="3"/>
  <c r="D146" i="3" s="1"/>
  <c r="D150" i="3" s="1"/>
  <c r="E84" i="3"/>
  <c r="E88" i="3" s="1"/>
  <c r="E85" i="3"/>
  <c r="E222" i="3" s="1"/>
  <c r="E229" i="3" s="1"/>
  <c r="F85" i="3"/>
  <c r="F89" i="3" s="1"/>
  <c r="K94" i="3"/>
  <c r="K98" i="3"/>
  <c r="B103" i="3"/>
  <c r="K108" i="3"/>
  <c r="B116" i="3"/>
  <c r="B135" i="3"/>
  <c r="B158" i="3"/>
  <c r="B161" i="3" s="1"/>
  <c r="B160" i="3"/>
  <c r="B167" i="3"/>
  <c r="F170" i="3"/>
  <c r="F179" i="3"/>
  <c r="F176" i="3"/>
  <c r="B192" i="3"/>
  <c r="B215" i="3"/>
  <c r="C257" i="3"/>
  <c r="C269" i="3"/>
  <c r="C271" i="3"/>
  <c r="C273" i="3"/>
  <c r="A5" i="2"/>
  <c r="L8" i="2" s="1"/>
  <c r="S6" i="2"/>
  <c r="L7" i="2"/>
  <c r="V7" i="2"/>
  <c r="Q11" i="2"/>
  <c r="R11" i="2"/>
  <c r="R12" i="2"/>
  <c r="V12" i="2"/>
  <c r="Q16" i="2"/>
  <c r="R16" i="2"/>
  <c r="R17" i="2"/>
  <c r="T19" i="2"/>
  <c r="U19" i="2"/>
  <c r="V19" i="2"/>
  <c r="Q21" i="2"/>
  <c r="R21" i="2"/>
  <c r="R22" i="2"/>
  <c r="T24" i="2"/>
  <c r="U24" i="2"/>
  <c r="V24" i="2"/>
  <c r="K25" i="2"/>
  <c r="B35" i="2"/>
  <c r="B42" i="2"/>
  <c r="B55" i="2"/>
  <c r="B81" i="2"/>
  <c r="D83" i="2"/>
  <c r="D87" i="2" s="1"/>
  <c r="E83" i="2"/>
  <c r="E139" i="2" s="1"/>
  <c r="E140" i="2" s="1"/>
  <c r="E85" i="2"/>
  <c r="E89" i="2" s="1"/>
  <c r="K94" i="2"/>
  <c r="K98" i="2"/>
  <c r="B103" i="2"/>
  <c r="K108" i="2"/>
  <c r="I110" i="2"/>
  <c r="I122" i="2" s="1"/>
  <c r="I112" i="2"/>
  <c r="I124" i="2" s="1"/>
  <c r="B116" i="2"/>
  <c r="B135" i="2"/>
  <c r="B158" i="2"/>
  <c r="B161" i="2" s="1"/>
  <c r="B160" i="2"/>
  <c r="B167" i="2"/>
  <c r="K186" i="2"/>
  <c r="I187" i="2"/>
  <c r="I188" i="2"/>
  <c r="B192" i="2"/>
  <c r="B215" i="2"/>
  <c r="G222" i="2"/>
  <c r="I222" i="2"/>
  <c r="M222" i="2" s="1"/>
  <c r="G227" i="2"/>
  <c r="I227" i="2"/>
  <c r="G228" i="2"/>
  <c r="I228" i="2"/>
  <c r="G229" i="2"/>
  <c r="I229" i="2"/>
  <c r="M229" i="2" s="1"/>
  <c r="G240" i="2"/>
  <c r="I240" i="2"/>
  <c r="M240" i="2" s="1"/>
  <c r="G245" i="2"/>
  <c r="I245" i="2"/>
  <c r="G246" i="2"/>
  <c r="I246" i="2"/>
  <c r="G247" i="2"/>
  <c r="I247" i="2"/>
  <c r="M247" i="2" s="1"/>
  <c r="M253" i="2"/>
  <c r="C257" i="2"/>
  <c r="I263" i="2"/>
  <c r="I267" i="2"/>
  <c r="C269" i="2"/>
  <c r="C271" i="2"/>
  <c r="C273" i="2"/>
  <c r="A5" i="1"/>
  <c r="S6" i="1"/>
  <c r="L7" i="1"/>
  <c r="V7" i="1"/>
  <c r="Q11" i="1"/>
  <c r="R11" i="1"/>
  <c r="R12" i="1"/>
  <c r="V12" i="1"/>
  <c r="Q16" i="1"/>
  <c r="R16" i="1"/>
  <c r="R17" i="1"/>
  <c r="T19" i="1"/>
  <c r="G44" i="1" s="1"/>
  <c r="U19" i="1"/>
  <c r="V19" i="1"/>
  <c r="Q21" i="1"/>
  <c r="R21" i="1"/>
  <c r="R22" i="1"/>
  <c r="T24" i="1"/>
  <c r="G45" i="1" s="1"/>
  <c r="U24" i="1"/>
  <c r="V24" i="1"/>
  <c r="K27" i="1"/>
  <c r="B35" i="1"/>
  <c r="B42" i="1"/>
  <c r="B55" i="1"/>
  <c r="B81" i="1"/>
  <c r="D83" i="1"/>
  <c r="D145" i="1" s="1"/>
  <c r="D149" i="1" s="1"/>
  <c r="E83" i="1"/>
  <c r="E145" i="1" s="1"/>
  <c r="E149" i="1" s="1"/>
  <c r="E85" i="1"/>
  <c r="E89" i="1" s="1"/>
  <c r="K94" i="1"/>
  <c r="K98" i="1"/>
  <c r="B103" i="1"/>
  <c r="K108" i="1"/>
  <c r="I110" i="1"/>
  <c r="I122" i="1" s="1"/>
  <c r="I112" i="1"/>
  <c r="I124" i="1" s="1"/>
  <c r="B116" i="1"/>
  <c r="B135" i="1"/>
  <c r="B158" i="1"/>
  <c r="B161" i="1" s="1"/>
  <c r="B160" i="1"/>
  <c r="B167" i="1"/>
  <c r="K186" i="1"/>
  <c r="I187" i="1"/>
  <c r="I188" i="1"/>
  <c r="B192" i="1"/>
  <c r="B215" i="1"/>
  <c r="G222" i="1"/>
  <c r="I222" i="1"/>
  <c r="M222" i="1" s="1"/>
  <c r="G227" i="1"/>
  <c r="I227" i="1"/>
  <c r="G228" i="1"/>
  <c r="I228" i="1"/>
  <c r="G229" i="1"/>
  <c r="I229" i="1"/>
  <c r="M229" i="1" s="1"/>
  <c r="G240" i="1"/>
  <c r="I240" i="1"/>
  <c r="M240" i="1" s="1"/>
  <c r="G245" i="1"/>
  <c r="I245" i="1"/>
  <c r="G246" i="1"/>
  <c r="I246" i="1"/>
  <c r="G247" i="1"/>
  <c r="I247" i="1"/>
  <c r="M247" i="1" s="1"/>
  <c r="M253" i="1"/>
  <c r="M255" i="1"/>
  <c r="C257" i="1"/>
  <c r="I263" i="1"/>
  <c r="I267" i="1"/>
  <c r="C269" i="1"/>
  <c r="C271" i="1"/>
  <c r="C273" i="1"/>
  <c r="G44" i="4" l="1"/>
  <c r="W20" i="41"/>
  <c r="Q19" i="41" s="1"/>
  <c r="G44" i="2"/>
  <c r="W20" i="38"/>
  <c r="F147" i="3"/>
  <c r="F151" i="3" s="1"/>
  <c r="G45" i="4"/>
  <c r="W25" i="41"/>
  <c r="Q24" i="41" s="1"/>
  <c r="G45" i="2"/>
  <c r="W25" i="38"/>
  <c r="S11" i="1"/>
  <c r="S16" i="2"/>
  <c r="D139" i="1"/>
  <c r="D140" i="1" s="1"/>
  <c r="E220" i="4"/>
  <c r="E245" i="4" s="1"/>
  <c r="E139" i="4"/>
  <c r="E140" i="4" s="1"/>
  <c r="D221" i="3"/>
  <c r="D246" i="3" s="1"/>
  <c r="E221" i="4"/>
  <c r="E246" i="4" s="1"/>
  <c r="G248" i="1"/>
  <c r="E221" i="2"/>
  <c r="E228" i="2" s="1"/>
  <c r="E147" i="2"/>
  <c r="E151" i="2" s="1"/>
  <c r="E147" i="4"/>
  <c r="E151" i="4" s="1"/>
  <c r="D87" i="1"/>
  <c r="E87" i="4"/>
  <c r="E221" i="1"/>
  <c r="E228" i="1" s="1"/>
  <c r="E147" i="1"/>
  <c r="E151" i="1" s="1"/>
  <c r="E139" i="1"/>
  <c r="E140" i="1" s="1"/>
  <c r="E87" i="1"/>
  <c r="I248" i="2"/>
  <c r="I230" i="2"/>
  <c r="F173" i="3"/>
  <c r="I230" i="4"/>
  <c r="I230" i="1"/>
  <c r="F222" i="3"/>
  <c r="E145" i="3"/>
  <c r="E149" i="3" s="1"/>
  <c r="E139" i="3"/>
  <c r="E140" i="3" s="1"/>
  <c r="E220" i="3"/>
  <c r="E145" i="2"/>
  <c r="E149" i="2" s="1"/>
  <c r="G106" i="3"/>
  <c r="G110" i="3" s="1"/>
  <c r="D145" i="4"/>
  <c r="D149" i="4" s="1"/>
  <c r="G248" i="2"/>
  <c r="G230" i="2"/>
  <c r="E220" i="2"/>
  <c r="E87" i="2"/>
  <c r="D220" i="3"/>
  <c r="D220" i="4"/>
  <c r="D245" i="4" s="1"/>
  <c r="D88" i="3"/>
  <c r="S16" i="1"/>
  <c r="F83" i="1"/>
  <c r="F220" i="1" s="1"/>
  <c r="S21" i="4"/>
  <c r="G248" i="4"/>
  <c r="G230" i="4"/>
  <c r="D87" i="4"/>
  <c r="E238" i="4"/>
  <c r="E227" i="4"/>
  <c r="L8" i="1"/>
  <c r="S11" i="4"/>
  <c r="F83" i="4"/>
  <c r="F145" i="4" s="1"/>
  <c r="F149" i="4" s="1"/>
  <c r="S7" i="1"/>
  <c r="S12" i="1" s="1"/>
  <c r="F83" i="3"/>
  <c r="F87" i="3" s="1"/>
  <c r="S21" i="3"/>
  <c r="S16" i="3"/>
  <c r="S16" i="4"/>
  <c r="F221" i="3"/>
  <c r="F88" i="3"/>
  <c r="S11" i="2"/>
  <c r="S7" i="2"/>
  <c r="S22" i="3"/>
  <c r="F83" i="2"/>
  <c r="G105" i="2" s="1"/>
  <c r="G230" i="1"/>
  <c r="I248" i="1"/>
  <c r="E220" i="1"/>
  <c r="D220" i="1"/>
  <c r="S21" i="1"/>
  <c r="D220" i="2"/>
  <c r="E239" i="2"/>
  <c r="D145" i="2"/>
  <c r="D149" i="2" s="1"/>
  <c r="D139" i="2"/>
  <c r="D140" i="2" s="1"/>
  <c r="S21" i="2"/>
  <c r="E247" i="3"/>
  <c r="F146" i="3"/>
  <c r="F150" i="3" s="1"/>
  <c r="G105" i="3"/>
  <c r="D87" i="3"/>
  <c r="D139" i="3"/>
  <c r="D140" i="3" s="1"/>
  <c r="S12" i="3"/>
  <c r="S17" i="3"/>
  <c r="E221" i="3"/>
  <c r="E146" i="3"/>
  <c r="E150" i="3" s="1"/>
  <c r="E89" i="3"/>
  <c r="E147" i="3"/>
  <c r="E151" i="3" s="1"/>
  <c r="E240" i="3"/>
  <c r="I248" i="4"/>
  <c r="F85" i="4"/>
  <c r="G106" i="4" s="1"/>
  <c r="S12" i="4"/>
  <c r="S17" i="4"/>
  <c r="S22" i="4"/>
  <c r="Q19" i="38" l="1"/>
  <c r="Q24" i="38"/>
  <c r="D228" i="3"/>
  <c r="E246" i="2"/>
  <c r="D227" i="4"/>
  <c r="D238" i="4"/>
  <c r="D239" i="3"/>
  <c r="E239" i="4"/>
  <c r="E228" i="4"/>
  <c r="E246" i="1"/>
  <c r="E239" i="1"/>
  <c r="G108" i="3"/>
  <c r="G112" i="3"/>
  <c r="F229" i="3"/>
  <c r="F247" i="3"/>
  <c r="F240" i="3"/>
  <c r="E245" i="3"/>
  <c r="E227" i="3"/>
  <c r="E238" i="3"/>
  <c r="F145" i="1"/>
  <c r="F149" i="1" s="1"/>
  <c r="D238" i="3"/>
  <c r="D245" i="3"/>
  <c r="D227" i="3"/>
  <c r="E238" i="2"/>
  <c r="E227" i="2"/>
  <c r="E245" i="2"/>
  <c r="G105" i="1"/>
  <c r="F87" i="1"/>
  <c r="F139" i="1"/>
  <c r="F140" i="1" s="1"/>
  <c r="G105" i="4"/>
  <c r="G109" i="4" s="1"/>
  <c r="F139" i="4"/>
  <c r="F140" i="4" s="1"/>
  <c r="F87" i="4"/>
  <c r="S22" i="1"/>
  <c r="F139" i="3"/>
  <c r="F140" i="3" s="1"/>
  <c r="F85" i="1"/>
  <c r="G106" i="1" s="1"/>
  <c r="S17" i="1"/>
  <c r="F220" i="4"/>
  <c r="F245" i="4" s="1"/>
  <c r="F145" i="3"/>
  <c r="F149" i="3" s="1"/>
  <c r="F220" i="3"/>
  <c r="S22" i="2"/>
  <c r="S12" i="2"/>
  <c r="S17" i="2"/>
  <c r="F85" i="2"/>
  <c r="F87" i="2"/>
  <c r="F139" i="2"/>
  <c r="F140" i="2" s="1"/>
  <c r="F145" i="2"/>
  <c r="F149" i="2" s="1"/>
  <c r="F220" i="2"/>
  <c r="F228" i="3"/>
  <c r="F246" i="3"/>
  <c r="F239" i="3"/>
  <c r="G112" i="4"/>
  <c r="G108" i="4"/>
  <c r="G110" i="4"/>
  <c r="D227" i="2"/>
  <c r="D238" i="2"/>
  <c r="D245" i="2"/>
  <c r="E246" i="3"/>
  <c r="E239" i="3"/>
  <c r="E228" i="3"/>
  <c r="G107" i="2"/>
  <c r="G111" i="2"/>
  <c r="G109" i="2"/>
  <c r="D245" i="1"/>
  <c r="D227" i="1"/>
  <c r="D238" i="1"/>
  <c r="E245" i="1"/>
  <c r="E238" i="1"/>
  <c r="E227" i="1"/>
  <c r="F227" i="1"/>
  <c r="F238" i="1"/>
  <c r="F245" i="1"/>
  <c r="F221" i="4"/>
  <c r="F89" i="4"/>
  <c r="F147" i="4"/>
  <c r="F151" i="4" s="1"/>
  <c r="G107" i="3"/>
  <c r="G109" i="3"/>
  <c r="G111" i="3"/>
  <c r="G107" i="1" l="1"/>
  <c r="G109" i="1"/>
  <c r="G111" i="1"/>
  <c r="F227" i="4"/>
  <c r="G107" i="4"/>
  <c r="G111" i="4"/>
  <c r="F238" i="4"/>
  <c r="F147" i="1"/>
  <c r="F151" i="1" s="1"/>
  <c r="F221" i="1"/>
  <c r="F239" i="1" s="1"/>
  <c r="F89" i="1"/>
  <c r="F227" i="3"/>
  <c r="F238" i="3"/>
  <c r="F245" i="3"/>
  <c r="F238" i="2"/>
  <c r="F245" i="2"/>
  <c r="F227" i="2"/>
  <c r="F147" i="2"/>
  <c r="F151" i="2" s="1"/>
  <c r="F221" i="2"/>
  <c r="G106" i="2"/>
  <c r="F89" i="2"/>
  <c r="G112" i="1"/>
  <c r="G108" i="1"/>
  <c r="G110" i="1"/>
  <c r="F246" i="4"/>
  <c r="F228" i="4"/>
  <c r="F239" i="4"/>
  <c r="F228" i="1" l="1"/>
  <c r="F246" i="1"/>
  <c r="G108" i="2"/>
  <c r="G110" i="2"/>
  <c r="G112" i="2"/>
  <c r="F246" i="2"/>
  <c r="F239" i="2"/>
  <c r="F228" i="2"/>
  <c r="U9" i="5" l="1"/>
  <c r="U14" i="5"/>
  <c r="I119" i="41" l="1"/>
  <c r="E178" i="6" l="1"/>
  <c r="M218" i="36" l="1"/>
  <c r="E92" i="6" l="1"/>
  <c r="M232" i="40" l="1"/>
  <c r="E63" i="50"/>
  <c r="E93" i="6" l="1"/>
  <c r="E155" i="6"/>
  <c r="E94" i="6"/>
  <c r="E64" i="50" l="1"/>
  <c r="E65" i="50"/>
  <c r="B3" i="73" l="1"/>
  <c r="B3" i="92"/>
  <c r="E8" i="92" s="1"/>
  <c r="R21" i="23" l="1"/>
  <c r="R26" i="23"/>
  <c r="R21" i="22"/>
  <c r="R20" i="22"/>
  <c r="R26" i="22"/>
  <c r="R25" i="22"/>
  <c r="R26" i="21"/>
  <c r="R21" i="21"/>
  <c r="R20" i="21"/>
  <c r="R25" i="21"/>
  <c r="R25" i="23"/>
  <c r="R23" i="23" l="1"/>
  <c r="R23" i="22"/>
  <c r="R28" i="22"/>
  <c r="R23" i="21"/>
  <c r="R28" i="23"/>
  <c r="R28" i="21"/>
  <c r="Z16" i="41" l="1"/>
  <c r="Z21" i="41" l="1"/>
  <c r="Z17" i="41" l="1"/>
  <c r="Z22" i="41"/>
  <c r="F52" i="49" l="1"/>
  <c r="F16" i="20" l="1"/>
  <c r="H165" i="6"/>
  <c r="H134" i="6" l="1"/>
  <c r="H75" i="50"/>
  <c r="H104" i="6"/>
  <c r="H42" i="50"/>
  <c r="H71" i="6"/>
  <c r="H11" i="50"/>
  <c r="H41" i="6"/>
  <c r="H11" i="6"/>
  <c r="H136" i="6" l="1"/>
  <c r="H139" i="6"/>
  <c r="E32" i="50" l="1"/>
  <c r="M227" i="38"/>
  <c r="L22" i="3" l="1"/>
  <c r="L24" i="35" l="1"/>
  <c r="G37" i="35" s="1"/>
  <c r="L24" i="40"/>
  <c r="G37" i="40" s="1"/>
  <c r="W22" i="41" l="1"/>
  <c r="W17" i="41"/>
  <c r="W16" i="41"/>
  <c r="I108" i="48" l="1"/>
  <c r="I112" i="48" s="1"/>
  <c r="L122" i="48" s="1"/>
  <c r="I110" i="48" l="1"/>
  <c r="G144" i="48" s="1"/>
  <c r="N126" i="48"/>
  <c r="K143" i="48" s="1"/>
  <c r="L126" i="48"/>
  <c r="L125" i="48"/>
  <c r="N125" i="48"/>
  <c r="G125" i="48" l="1"/>
  <c r="K132" i="48" s="1"/>
  <c r="K140" i="48"/>
  <c r="K141" i="48"/>
  <c r="G126" i="48"/>
  <c r="K133" i="48" s="1"/>
  <c r="H125" i="48"/>
  <c r="K134" i="48" s="1"/>
  <c r="K142" i="48"/>
  <c r="K144" i="48" l="1"/>
  <c r="G146" i="48" s="1"/>
  <c r="I148" i="48" s="1"/>
  <c r="H155" i="48" l="1"/>
  <c r="J155" i="48"/>
  <c r="J156" i="48"/>
  <c r="H156" i="48"/>
  <c r="H189" i="48" l="1"/>
  <c r="J189" i="48" s="1"/>
  <c r="N189" i="48" s="1"/>
  <c r="M156" i="48"/>
  <c r="O156" i="48"/>
  <c r="H196" i="48"/>
  <c r="J196" i="48" s="1"/>
  <c r="N196" i="48" s="1"/>
  <c r="H195" i="48"/>
  <c r="J195" i="48" s="1"/>
  <c r="O155" i="48"/>
  <c r="H188" i="48"/>
  <c r="J188" i="48" s="1"/>
  <c r="M155" i="48"/>
  <c r="J197" i="48" l="1"/>
  <c r="N195" i="48"/>
  <c r="N197" i="48" s="1"/>
  <c r="N188" i="48"/>
  <c r="N190" i="48" s="1"/>
  <c r="J190" i="48"/>
  <c r="J199" i="48" l="1"/>
  <c r="N199" i="48"/>
  <c r="M208" i="48" s="1"/>
  <c r="E176" i="6" l="1"/>
  <c r="J65" i="47" l="1"/>
  <c r="J66" i="47"/>
  <c r="J64" i="47"/>
  <c r="K66" i="47" l="1"/>
  <c r="K238" i="47" l="1"/>
  <c r="K220" i="47"/>
  <c r="K245" i="47"/>
  <c r="K227" i="47"/>
  <c r="S6" i="26" l="1"/>
  <c r="S11" i="26" l="1"/>
  <c r="F52" i="26"/>
  <c r="S7" i="26"/>
  <c r="F53" i="26" l="1"/>
  <c r="S12" i="26"/>
  <c r="F95" i="26"/>
  <c r="F103" i="26"/>
  <c r="F84" i="26"/>
  <c r="F59" i="26"/>
  <c r="F68" i="26" l="1"/>
  <c r="F96" i="26"/>
  <c r="F61" i="26"/>
  <c r="F67" i="26"/>
  <c r="F104" i="26"/>
  <c r="F85" i="26"/>
  <c r="F72" i="26"/>
  <c r="F73" i="26"/>
  <c r="L23" i="3" l="1"/>
  <c r="L25" i="40"/>
  <c r="G38" i="40" s="1"/>
  <c r="M253" i="3" l="1"/>
  <c r="AA22" i="41" l="1"/>
  <c r="AA21" i="41"/>
  <c r="X22" i="41"/>
  <c r="AA17" i="41"/>
  <c r="AA16" i="41"/>
  <c r="X17" i="41"/>
  <c r="X16" i="41"/>
  <c r="P22" i="9" l="1"/>
  <c r="F164" i="9" l="1"/>
  <c r="P23" i="9"/>
  <c r="G105" i="9" l="1"/>
  <c r="G112" i="9" s="1"/>
  <c r="F165" i="9"/>
  <c r="F167" i="9" s="1"/>
  <c r="P25" i="9"/>
  <c r="E7" i="18" l="1"/>
  <c r="E56" i="18" s="1"/>
  <c r="D7" i="18"/>
  <c r="D56" i="18" s="1"/>
  <c r="P17" i="9" l="1"/>
  <c r="F149" i="9" l="1"/>
  <c r="P18" i="9"/>
  <c r="G104" i="9" l="1"/>
  <c r="G111" i="9" s="1"/>
  <c r="F150" i="9"/>
  <c r="F152" i="9" s="1"/>
  <c r="P20" i="9"/>
  <c r="L18" i="57" l="1"/>
  <c r="L17" i="57"/>
  <c r="L7" i="57"/>
  <c r="L6" i="57"/>
  <c r="L18" i="7"/>
  <c r="L17" i="7"/>
  <c r="L7" i="7"/>
  <c r="L6" i="7"/>
  <c r="L18" i="56"/>
  <c r="L17" i="56"/>
  <c r="L7" i="56"/>
  <c r="L6" i="56"/>
  <c r="N17" i="7" l="1"/>
  <c r="N18" i="56"/>
  <c r="N17" i="57"/>
  <c r="N17" i="56"/>
  <c r="N18" i="7"/>
  <c r="C74" i="7" s="1"/>
  <c r="C147" i="7" s="1"/>
  <c r="N18" i="57"/>
  <c r="L19" i="56"/>
  <c r="L22" i="56"/>
  <c r="L24" i="56"/>
  <c r="L26" i="56"/>
  <c r="S12" i="34"/>
  <c r="L8" i="7"/>
  <c r="S13" i="34"/>
  <c r="I63" i="34" s="1"/>
  <c r="L10" i="7"/>
  <c r="L12" i="7"/>
  <c r="U21" i="37"/>
  <c r="U21" i="34"/>
  <c r="L14" i="7"/>
  <c r="U22" i="34"/>
  <c r="U22" i="37"/>
  <c r="L16" i="7"/>
  <c r="S6" i="32"/>
  <c r="K6" i="56"/>
  <c r="S7" i="32"/>
  <c r="K8" i="56"/>
  <c r="K10" i="56"/>
  <c r="K12" i="56"/>
  <c r="U16" i="32"/>
  <c r="K14" i="56"/>
  <c r="U17" i="32"/>
  <c r="K16" i="56"/>
  <c r="K18" i="56"/>
  <c r="K20" i="56"/>
  <c r="K23" i="56"/>
  <c r="K25" i="56"/>
  <c r="K27" i="56"/>
  <c r="S16" i="34"/>
  <c r="S16" i="37"/>
  <c r="K7" i="7"/>
  <c r="S17" i="34"/>
  <c r="S17" i="37"/>
  <c r="K9" i="7"/>
  <c r="K11" i="7"/>
  <c r="U6" i="34"/>
  <c r="K13" i="7"/>
  <c r="U7" i="34"/>
  <c r="K15" i="7"/>
  <c r="K17" i="7"/>
  <c r="K19" i="7"/>
  <c r="K21" i="7"/>
  <c r="K23" i="7"/>
  <c r="K25" i="7"/>
  <c r="K27" i="7"/>
  <c r="S16" i="35"/>
  <c r="K7" i="57"/>
  <c r="S17" i="35"/>
  <c r="K9" i="57"/>
  <c r="U19" i="35"/>
  <c r="U17" i="35" s="1"/>
  <c r="Y17" i="35"/>
  <c r="K12" i="57"/>
  <c r="K14" i="57"/>
  <c r="K16" i="57"/>
  <c r="K18" i="57"/>
  <c r="K20" i="57"/>
  <c r="K23" i="57"/>
  <c r="K25" i="57"/>
  <c r="K27" i="57"/>
  <c r="K7" i="8"/>
  <c r="K9" i="8"/>
  <c r="K11" i="8"/>
  <c r="U6" i="37"/>
  <c r="K13" i="8"/>
  <c r="U7" i="37"/>
  <c r="K15" i="8"/>
  <c r="K17" i="8"/>
  <c r="K19" i="8"/>
  <c r="K21" i="8"/>
  <c r="K23" i="8"/>
  <c r="K25" i="8"/>
  <c r="K27" i="8"/>
  <c r="S16" i="36"/>
  <c r="S17" i="36"/>
  <c r="U6" i="36"/>
  <c r="U7" i="36"/>
  <c r="U11" i="32"/>
  <c r="L13" i="56"/>
  <c r="L20" i="56"/>
  <c r="L23" i="56"/>
  <c r="L25" i="56"/>
  <c r="L27" i="56"/>
  <c r="L19" i="7"/>
  <c r="L21" i="7"/>
  <c r="L23" i="7"/>
  <c r="L25" i="7"/>
  <c r="L27" i="7"/>
  <c r="L20" i="57"/>
  <c r="L23" i="57"/>
  <c r="L25" i="57"/>
  <c r="L27" i="57"/>
  <c r="L7" i="8"/>
  <c r="L9" i="8"/>
  <c r="L11" i="8"/>
  <c r="U11" i="37"/>
  <c r="L13" i="8"/>
  <c r="U12" i="37"/>
  <c r="L15" i="8"/>
  <c r="L17" i="8"/>
  <c r="L19" i="8"/>
  <c r="L21" i="8"/>
  <c r="L23" i="8"/>
  <c r="L25" i="8"/>
  <c r="L27" i="8"/>
  <c r="S22" i="36"/>
  <c r="S24" i="36" s="1"/>
  <c r="U11" i="36"/>
  <c r="U12" i="36"/>
  <c r="S12" i="32"/>
  <c r="L8" i="56"/>
  <c r="L10" i="56"/>
  <c r="L12" i="56"/>
  <c r="U21" i="32"/>
  <c r="L14" i="56"/>
  <c r="N25" i="56" s="1"/>
  <c r="U22" i="32"/>
  <c r="L16" i="56"/>
  <c r="S22" i="34"/>
  <c r="S24" i="34" s="1"/>
  <c r="S22" i="37"/>
  <c r="S24" i="37" s="1"/>
  <c r="L9" i="7"/>
  <c r="L11" i="7"/>
  <c r="U11" i="34"/>
  <c r="L13" i="7"/>
  <c r="U12" i="34"/>
  <c r="I122" i="34" s="1"/>
  <c r="I130" i="34" s="1"/>
  <c r="I183" i="34" s="1"/>
  <c r="L15" i="7"/>
  <c r="S22" i="35"/>
  <c r="S24" i="35" s="1"/>
  <c r="L9" i="57"/>
  <c r="Z17" i="35"/>
  <c r="U24" i="35"/>
  <c r="U22" i="35" s="1"/>
  <c r="L12" i="57"/>
  <c r="N23" i="57" s="1"/>
  <c r="L14" i="57"/>
  <c r="L16" i="57"/>
  <c r="S16" i="32"/>
  <c r="K7" i="56"/>
  <c r="S17" i="32"/>
  <c r="K9" i="56"/>
  <c r="K11" i="56"/>
  <c r="U6" i="32"/>
  <c r="K13" i="56"/>
  <c r="U7" i="32"/>
  <c r="K15" i="56"/>
  <c r="K17" i="56"/>
  <c r="K19" i="56"/>
  <c r="K22" i="56"/>
  <c r="K24" i="56"/>
  <c r="K26" i="56"/>
  <c r="S6" i="34"/>
  <c r="K6" i="7"/>
  <c r="S7" i="34"/>
  <c r="K8" i="7"/>
  <c r="S8" i="34"/>
  <c r="I62" i="34" s="1"/>
  <c r="K10" i="7"/>
  <c r="K12" i="7"/>
  <c r="U16" i="34"/>
  <c r="U16" i="37"/>
  <c r="K14" i="7"/>
  <c r="U17" i="37"/>
  <c r="U17" i="34"/>
  <c r="I120" i="34" s="1"/>
  <c r="I128" i="34" s="1"/>
  <c r="K16" i="7"/>
  <c r="K18" i="7"/>
  <c r="K20" i="7"/>
  <c r="K22" i="7"/>
  <c r="K24" i="7"/>
  <c r="K26" i="7"/>
  <c r="S6" i="35"/>
  <c r="K6" i="57"/>
  <c r="S7" i="35"/>
  <c r="K8" i="57"/>
  <c r="U9" i="35"/>
  <c r="K11" i="57"/>
  <c r="K13" i="57"/>
  <c r="K15" i="57"/>
  <c r="K17" i="57"/>
  <c r="K19" i="57"/>
  <c r="K22" i="57"/>
  <c r="K24" i="57"/>
  <c r="K26" i="57"/>
  <c r="S6" i="37"/>
  <c r="K6" i="8"/>
  <c r="S7" i="37"/>
  <c r="I60" i="37" s="1"/>
  <c r="K8" i="8"/>
  <c r="S8" i="37"/>
  <c r="I62" i="37" s="1"/>
  <c r="K10" i="8"/>
  <c r="K12" i="8"/>
  <c r="K14" i="8"/>
  <c r="K16" i="8"/>
  <c r="K18" i="8"/>
  <c r="K20" i="8"/>
  <c r="K22" i="8"/>
  <c r="K24" i="8"/>
  <c r="K26" i="8"/>
  <c r="S6" i="36"/>
  <c r="S7" i="36"/>
  <c r="S8" i="36"/>
  <c r="I75" i="36" s="1"/>
  <c r="U16" i="36"/>
  <c r="U17" i="36"/>
  <c r="S22" i="32"/>
  <c r="S24" i="32" s="1"/>
  <c r="L9" i="56"/>
  <c r="L11" i="56"/>
  <c r="U12" i="32"/>
  <c r="L15" i="56"/>
  <c r="L20" i="7"/>
  <c r="L22" i="7"/>
  <c r="L24" i="7"/>
  <c r="L26" i="7"/>
  <c r="S12" i="35"/>
  <c r="L8" i="57"/>
  <c r="U14" i="35"/>
  <c r="L11" i="57"/>
  <c r="L13" i="57"/>
  <c r="L15" i="57"/>
  <c r="L19" i="57"/>
  <c r="L22" i="57"/>
  <c r="L24" i="57"/>
  <c r="L26" i="57"/>
  <c r="L6" i="8"/>
  <c r="S12" i="37"/>
  <c r="L8" i="8"/>
  <c r="S13" i="37"/>
  <c r="I63" i="37" s="1"/>
  <c r="L10" i="8"/>
  <c r="L12" i="8"/>
  <c r="L14" i="8"/>
  <c r="L16" i="8"/>
  <c r="L18" i="8"/>
  <c r="L20" i="8"/>
  <c r="L22" i="8"/>
  <c r="L24" i="8"/>
  <c r="L26" i="8"/>
  <c r="S12" i="36"/>
  <c r="S13" i="36"/>
  <c r="I76" i="36" s="1"/>
  <c r="U21" i="36"/>
  <c r="U22" i="36"/>
  <c r="N26" i="56" l="1"/>
  <c r="I121" i="37"/>
  <c r="I129" i="37" s="1"/>
  <c r="I182" i="37" s="1"/>
  <c r="M17" i="7"/>
  <c r="M25" i="7"/>
  <c r="I73" i="36"/>
  <c r="I166" i="36" s="1"/>
  <c r="U6" i="35"/>
  <c r="Y16" i="35"/>
  <c r="U12" i="35"/>
  <c r="I135" i="35" s="1"/>
  <c r="I143" i="35" s="1"/>
  <c r="I196" i="35" s="1"/>
  <c r="Z16" i="35"/>
  <c r="M27" i="8"/>
  <c r="M27" i="7"/>
  <c r="N27" i="8"/>
  <c r="M19" i="8"/>
  <c r="N19" i="8"/>
  <c r="N21" i="8"/>
  <c r="C76" i="8" s="1"/>
  <c r="M21" i="7"/>
  <c r="B76" i="7" s="1"/>
  <c r="I120" i="32"/>
  <c r="I128" i="32" s="1"/>
  <c r="I176" i="32" s="1"/>
  <c r="N27" i="56"/>
  <c r="M21" i="8"/>
  <c r="B76" i="8" s="1"/>
  <c r="N25" i="57"/>
  <c r="N23" i="8"/>
  <c r="N20" i="57"/>
  <c r="N23" i="56"/>
  <c r="C74" i="56"/>
  <c r="C147" i="56" s="1"/>
  <c r="L147" i="56" s="1"/>
  <c r="L154" i="56" s="1"/>
  <c r="C74" i="57"/>
  <c r="C147" i="57" s="1"/>
  <c r="L147" i="57" s="1"/>
  <c r="L154" i="57" s="1"/>
  <c r="M23" i="8"/>
  <c r="N19" i="56"/>
  <c r="M23" i="7"/>
  <c r="I73" i="35"/>
  <c r="I166" i="35" s="1"/>
  <c r="I60" i="32"/>
  <c r="I153" i="32" s="1"/>
  <c r="I122" i="32"/>
  <c r="I130" i="32" s="1"/>
  <c r="I183" i="32" s="1"/>
  <c r="M18" i="56"/>
  <c r="N22" i="56"/>
  <c r="I60" i="34"/>
  <c r="I153" i="34" s="1"/>
  <c r="U7" i="35"/>
  <c r="I133" i="35" s="1"/>
  <c r="I141" i="35" s="1"/>
  <c r="I189" i="35" s="1"/>
  <c r="U21" i="35"/>
  <c r="U25" i="35" s="1"/>
  <c r="Z18" i="35"/>
  <c r="U24" i="34"/>
  <c r="N25" i="8"/>
  <c r="M17" i="8"/>
  <c r="M19" i="7"/>
  <c r="N24" i="56"/>
  <c r="U9" i="34"/>
  <c r="N20" i="56"/>
  <c r="M24" i="57"/>
  <c r="N17" i="8"/>
  <c r="M25" i="8"/>
  <c r="M20" i="56"/>
  <c r="N27" i="57"/>
  <c r="U16" i="35"/>
  <c r="U20" i="35" s="1"/>
  <c r="M19" i="57"/>
  <c r="M24" i="56"/>
  <c r="S14" i="36"/>
  <c r="I74" i="36"/>
  <c r="N26" i="57"/>
  <c r="I154" i="37"/>
  <c r="I71" i="37"/>
  <c r="M22" i="57"/>
  <c r="M17" i="57"/>
  <c r="I154" i="34"/>
  <c r="I71" i="34"/>
  <c r="M22" i="56"/>
  <c r="N24" i="7"/>
  <c r="N24" i="8"/>
  <c r="U14" i="32"/>
  <c r="I121" i="32"/>
  <c r="I129" i="32" s="1"/>
  <c r="M26" i="8"/>
  <c r="M20" i="8"/>
  <c r="M25" i="57"/>
  <c r="Y18" i="35"/>
  <c r="M20" i="57"/>
  <c r="S19" i="35"/>
  <c r="M22" i="7"/>
  <c r="S19" i="34"/>
  <c r="M27" i="56"/>
  <c r="U19" i="32"/>
  <c r="I164" i="34"/>
  <c r="I72" i="34"/>
  <c r="I61" i="37"/>
  <c r="S14" i="37"/>
  <c r="I72" i="37"/>
  <c r="I164" i="37"/>
  <c r="N22" i="57"/>
  <c r="L147" i="7"/>
  <c r="L154" i="7" s="1"/>
  <c r="I132" i="36"/>
  <c r="U19" i="36"/>
  <c r="I167" i="36"/>
  <c r="I84" i="36"/>
  <c r="I71" i="36"/>
  <c r="S9" i="36"/>
  <c r="I71" i="35"/>
  <c r="N26" i="7"/>
  <c r="I121" i="34"/>
  <c r="I129" i="34" s="1"/>
  <c r="U14" i="34"/>
  <c r="N20" i="7"/>
  <c r="I61" i="32"/>
  <c r="N26" i="8"/>
  <c r="N20" i="8"/>
  <c r="U9" i="37"/>
  <c r="I120" i="37"/>
  <c r="I128" i="37" s="1"/>
  <c r="M24" i="7"/>
  <c r="N27" i="7"/>
  <c r="N25" i="7"/>
  <c r="N23" i="7"/>
  <c r="I134" i="36"/>
  <c r="I142" i="36" s="1"/>
  <c r="U24" i="36"/>
  <c r="I177" i="36"/>
  <c r="I85" i="36"/>
  <c r="N24" i="57"/>
  <c r="N19" i="57"/>
  <c r="I58" i="37"/>
  <c r="S9" i="37"/>
  <c r="M26" i="57"/>
  <c r="I176" i="34"/>
  <c r="I119" i="37"/>
  <c r="U19" i="37"/>
  <c r="I58" i="34"/>
  <c r="S9" i="34"/>
  <c r="M26" i="56"/>
  <c r="I119" i="32"/>
  <c r="U9" i="32"/>
  <c r="S19" i="32"/>
  <c r="U24" i="32"/>
  <c r="U14" i="37"/>
  <c r="I122" i="37"/>
  <c r="I130" i="37" s="1"/>
  <c r="I183" i="37" s="1"/>
  <c r="U9" i="36"/>
  <c r="I133" i="36"/>
  <c r="I141" i="36" s="1"/>
  <c r="S19" i="36"/>
  <c r="M22" i="8"/>
  <c r="M18" i="8"/>
  <c r="M27" i="57"/>
  <c r="M26" i="7"/>
  <c r="M20" i="7"/>
  <c r="M18" i="7"/>
  <c r="M23" i="56"/>
  <c r="M17" i="56"/>
  <c r="N19" i="7"/>
  <c r="U11" i="35"/>
  <c r="I74" i="35"/>
  <c r="I69" i="37"/>
  <c r="I153" i="37"/>
  <c r="U26" i="35"/>
  <c r="I119" i="34"/>
  <c r="U19" i="34"/>
  <c r="N22" i="7"/>
  <c r="U14" i="36"/>
  <c r="I135" i="36"/>
  <c r="I143" i="36" s="1"/>
  <c r="I196" i="36" s="1"/>
  <c r="N22" i="8"/>
  <c r="N18" i="8"/>
  <c r="M24" i="8"/>
  <c r="M23" i="57"/>
  <c r="M18" i="57"/>
  <c r="S19" i="37"/>
  <c r="M25" i="56"/>
  <c r="M19" i="56"/>
  <c r="I58" i="32"/>
  <c r="U24" i="37"/>
  <c r="N21" i="7"/>
  <c r="S14" i="34"/>
  <c r="I61" i="34"/>
  <c r="B74" i="7" l="1"/>
  <c r="C93" i="7" s="1"/>
  <c r="C75" i="8"/>
  <c r="C148" i="8" s="1"/>
  <c r="L148" i="8" s="1"/>
  <c r="B75" i="8"/>
  <c r="C104" i="8" s="1"/>
  <c r="I82" i="36"/>
  <c r="U10" i="35"/>
  <c r="C82" i="8"/>
  <c r="C149" i="8"/>
  <c r="L149" i="8" s="1"/>
  <c r="C81" i="7"/>
  <c r="B149" i="7"/>
  <c r="K149" i="7" s="1"/>
  <c r="C81" i="8"/>
  <c r="B149" i="8"/>
  <c r="K149" i="8" s="1"/>
  <c r="I69" i="32"/>
  <c r="C75" i="57"/>
  <c r="C105" i="57" s="1"/>
  <c r="I69" i="34"/>
  <c r="I82" i="35"/>
  <c r="C75" i="56"/>
  <c r="C105" i="56" s="1"/>
  <c r="B75" i="7"/>
  <c r="U26" i="34"/>
  <c r="B75" i="56"/>
  <c r="B148" i="56" s="1"/>
  <c r="B74" i="8"/>
  <c r="B74" i="56"/>
  <c r="C93" i="56" s="1"/>
  <c r="Z19" i="35"/>
  <c r="C74" i="8"/>
  <c r="C147" i="8" s="1"/>
  <c r="L147" i="8" s="1"/>
  <c r="L154" i="8" s="1"/>
  <c r="I132" i="35"/>
  <c r="I140" i="35" s="1"/>
  <c r="B75" i="57"/>
  <c r="B148" i="57" s="1"/>
  <c r="U26" i="36"/>
  <c r="S26" i="34"/>
  <c r="I127" i="37"/>
  <c r="I123" i="37"/>
  <c r="I163" i="32"/>
  <c r="I70" i="32"/>
  <c r="K70" i="32" s="1"/>
  <c r="I163" i="37"/>
  <c r="I165" i="37" s="1"/>
  <c r="I70" i="37"/>
  <c r="K70" i="37" s="1"/>
  <c r="C76" i="7"/>
  <c r="I176" i="35"/>
  <c r="I83" i="35"/>
  <c r="K83" i="35" s="1"/>
  <c r="C75" i="7"/>
  <c r="U26" i="32"/>
  <c r="I67" i="34"/>
  <c r="I152" i="34"/>
  <c r="I155" i="34" s="1"/>
  <c r="I64" i="34"/>
  <c r="I176" i="37"/>
  <c r="I70" i="34"/>
  <c r="K70" i="34" s="1"/>
  <c r="I163" i="34"/>
  <c r="I165" i="34" s="1"/>
  <c r="I127" i="34"/>
  <c r="I123" i="34"/>
  <c r="U15" i="35"/>
  <c r="I134" i="35"/>
  <c r="I142" i="35" s="1"/>
  <c r="I127" i="32"/>
  <c r="I123" i="32"/>
  <c r="S26" i="37"/>
  <c r="I195" i="36"/>
  <c r="U26" i="37"/>
  <c r="I80" i="35"/>
  <c r="I165" i="35"/>
  <c r="S26" i="36"/>
  <c r="I67" i="32"/>
  <c r="I152" i="32"/>
  <c r="I189" i="36"/>
  <c r="I67" i="37"/>
  <c r="I64" i="37"/>
  <c r="I152" i="37"/>
  <c r="I155" i="37" s="1"/>
  <c r="I182" i="34"/>
  <c r="I165" i="36"/>
  <c r="I168" i="36" s="1"/>
  <c r="I80" i="36"/>
  <c r="I77" i="36"/>
  <c r="I140" i="36"/>
  <c r="I136" i="36"/>
  <c r="I182" i="32"/>
  <c r="B74" i="57"/>
  <c r="I176" i="36"/>
  <c r="I178" i="36" s="1"/>
  <c r="I83" i="36"/>
  <c r="K83" i="36" s="1"/>
  <c r="B147" i="7" l="1"/>
  <c r="K147" i="7" s="1"/>
  <c r="C105" i="8"/>
  <c r="C106" i="8" s="1"/>
  <c r="E108" i="8" s="1"/>
  <c r="E109" i="8" s="1"/>
  <c r="B148" i="8"/>
  <c r="K148" i="8" s="1"/>
  <c r="C148" i="57"/>
  <c r="L148" i="57" s="1"/>
  <c r="C83" i="8"/>
  <c r="E85" i="8" s="1"/>
  <c r="E86" i="8" s="1"/>
  <c r="C82" i="7"/>
  <c r="C83" i="7" s="1"/>
  <c r="E85" i="7" s="1"/>
  <c r="E86" i="7" s="1"/>
  <c r="C149" i="7"/>
  <c r="L149" i="7" s="1"/>
  <c r="C104" i="7"/>
  <c r="B148" i="7"/>
  <c r="K148" i="7" s="1"/>
  <c r="C93" i="8"/>
  <c r="B147" i="8"/>
  <c r="K147" i="8" s="1"/>
  <c r="C105" i="7"/>
  <c r="C148" i="7"/>
  <c r="L148" i="7" s="1"/>
  <c r="C148" i="56"/>
  <c r="L148" i="56" s="1"/>
  <c r="C104" i="57"/>
  <c r="C106" i="57" s="1"/>
  <c r="E108" i="57" s="1"/>
  <c r="E109" i="57" s="1"/>
  <c r="B147" i="56"/>
  <c r="K147" i="56" s="1"/>
  <c r="C104" i="56"/>
  <c r="C106" i="56" s="1"/>
  <c r="E108" i="56" s="1"/>
  <c r="E109" i="56" s="1"/>
  <c r="I73" i="37"/>
  <c r="I75" i="37" s="1"/>
  <c r="I136" i="35"/>
  <c r="I86" i="36"/>
  <c r="I88" i="36" s="1"/>
  <c r="I188" i="35"/>
  <c r="I144" i="35"/>
  <c r="I146" i="35" s="1"/>
  <c r="K148" i="56"/>
  <c r="I73" i="34"/>
  <c r="I75" i="34" s="1"/>
  <c r="I188" i="36"/>
  <c r="I144" i="36"/>
  <c r="I146" i="36" s="1"/>
  <c r="B147" i="57"/>
  <c r="C93" i="57"/>
  <c r="I131" i="37"/>
  <c r="I133" i="37" s="1"/>
  <c r="I175" i="37"/>
  <c r="K148" i="57"/>
  <c r="I131" i="32"/>
  <c r="I133" i="32" s="1"/>
  <c r="I175" i="32"/>
  <c r="I195" i="35"/>
  <c r="I175" i="34"/>
  <c r="I131" i="34"/>
  <c r="I133" i="34" s="1"/>
  <c r="C106" i="7" l="1"/>
  <c r="E108" i="7" s="1"/>
  <c r="E109" i="7" s="1"/>
  <c r="K147" i="57"/>
  <c r="AA22" i="40" l="1"/>
  <c r="AA22" i="38"/>
  <c r="AA21" i="40"/>
  <c r="AA21" i="38"/>
  <c r="X22" i="40"/>
  <c r="X22" i="38"/>
  <c r="X13" i="38"/>
  <c r="H56" i="38" s="1"/>
  <c r="H86" i="38" s="1"/>
  <c r="I256" i="38" s="1"/>
  <c r="X12" i="40"/>
  <c r="X12" i="38"/>
  <c r="AA17" i="40"/>
  <c r="AA16" i="40"/>
  <c r="AA17" i="38"/>
  <c r="AA16" i="38"/>
  <c r="X17" i="40"/>
  <c r="X16" i="40"/>
  <c r="X17" i="38"/>
  <c r="X16" i="38"/>
  <c r="X7" i="40"/>
  <c r="X6" i="40"/>
  <c r="X8" i="38"/>
  <c r="H55" i="38" s="1"/>
  <c r="H85" i="38" s="1"/>
  <c r="I246" i="38" s="1"/>
  <c r="X7" i="38"/>
  <c r="X6" i="38"/>
  <c r="H51" i="40" l="1"/>
  <c r="H81" i="40" s="1"/>
  <c r="I249" i="40" s="1"/>
  <c r="H51" i="38"/>
  <c r="H81" i="38" s="1"/>
  <c r="I244" i="38" s="1"/>
  <c r="H54" i="40"/>
  <c r="H84" i="40" s="1"/>
  <c r="I260" i="40" s="1"/>
  <c r="H53" i="40"/>
  <c r="H83" i="40" s="1"/>
  <c r="I250" i="40" s="1"/>
  <c r="H53" i="38"/>
  <c r="H83" i="38" s="1"/>
  <c r="I245" i="38" s="1"/>
  <c r="H54" i="38"/>
  <c r="H84" i="38" s="1"/>
  <c r="I255" i="38" s="1"/>
  <c r="I257" i="38" s="1"/>
  <c r="X14" i="38"/>
  <c r="X9" i="38"/>
  <c r="I247" i="38" l="1"/>
  <c r="K21" i="56"/>
  <c r="M21" i="56" s="1"/>
  <c r="B76" i="56" s="1"/>
  <c r="S8" i="32"/>
  <c r="K10" i="57" l="1"/>
  <c r="I62" i="32"/>
  <c r="S9" i="32"/>
  <c r="C81" i="56"/>
  <c r="B149" i="56"/>
  <c r="L10" i="57" l="1"/>
  <c r="L21" i="56"/>
  <c r="N21" i="56" s="1"/>
  <c r="C76" i="56" s="1"/>
  <c r="S13" i="32"/>
  <c r="I71" i="32"/>
  <c r="I154" i="32"/>
  <c r="I155" i="32" s="1"/>
  <c r="K149" i="56"/>
  <c r="I63" i="32" l="1"/>
  <c r="S14" i="32"/>
  <c r="S26" i="32" s="1"/>
  <c r="C149" i="56"/>
  <c r="C82" i="56"/>
  <c r="C83" i="56" s="1"/>
  <c r="E85" i="56" s="1"/>
  <c r="E86" i="56" s="1"/>
  <c r="L149" i="56" l="1"/>
  <c r="I72" i="32"/>
  <c r="I73" i="32" s="1"/>
  <c r="I75" i="32" s="1"/>
  <c r="I164" i="32"/>
  <c r="I165" i="32" s="1"/>
  <c r="I64" i="32"/>
  <c r="K21" i="57" l="1"/>
  <c r="M21" i="57" s="1"/>
  <c r="B76" i="57" s="1"/>
  <c r="S8" i="35"/>
  <c r="X8" i="40"/>
  <c r="H55" i="40" l="1"/>
  <c r="H85" i="40" s="1"/>
  <c r="C81" i="57"/>
  <c r="B149" i="57"/>
  <c r="L21" i="57"/>
  <c r="N21" i="57" s="1"/>
  <c r="C76" i="57" s="1"/>
  <c r="S13" i="35"/>
  <c r="I75" i="35"/>
  <c r="S9" i="35"/>
  <c r="X9" i="40"/>
  <c r="X13" i="40"/>
  <c r="H56" i="40" l="1"/>
  <c r="H86" i="40" s="1"/>
  <c r="I76" i="35"/>
  <c r="S14" i="35"/>
  <c r="S26" i="35" s="1"/>
  <c r="K149" i="57"/>
  <c r="I251" i="40"/>
  <c r="I252" i="40" s="1"/>
  <c r="C149" i="57"/>
  <c r="C82" i="57"/>
  <c r="C83" i="57" s="1"/>
  <c r="E85" i="57" s="1"/>
  <c r="E86" i="57" s="1"/>
  <c r="I84" i="35"/>
  <c r="I167" i="35"/>
  <c r="I168" i="35" s="1"/>
  <c r="X14" i="40"/>
  <c r="I77" i="35" l="1"/>
  <c r="I177" i="35"/>
  <c r="I178" i="35" s="1"/>
  <c r="I85" i="35"/>
  <c r="I86" i="35" s="1"/>
  <c r="I88" i="35" s="1"/>
  <c r="I261" i="40"/>
  <c r="I262" i="40" s="1"/>
  <c r="AG274" i="40" s="1"/>
  <c r="AG275" i="40" s="1"/>
  <c r="L149" i="57"/>
  <c r="C2" i="49" l="1"/>
  <c r="AA9" i="41" l="1"/>
  <c r="AA14" i="41"/>
  <c r="AA24" i="41"/>
  <c r="U24" i="41" s="1"/>
  <c r="AA19" i="41"/>
  <c r="U19" i="41" s="1"/>
  <c r="X24" i="41" l="1"/>
  <c r="S24" i="41" s="1"/>
  <c r="X19" i="41"/>
  <c r="S19" i="41" s="1"/>
  <c r="I274" i="41"/>
  <c r="I267" i="41"/>
  <c r="AA26" i="41"/>
  <c r="AA9" i="40" l="1"/>
  <c r="AA14" i="40"/>
  <c r="AA11" i="40" s="1"/>
  <c r="AA12" i="40" s="1"/>
  <c r="AA15" i="40" s="1"/>
  <c r="AA24" i="40" l="1"/>
  <c r="I279" i="40" s="1"/>
  <c r="X19" i="40"/>
  <c r="AA19" i="40"/>
  <c r="AA20" i="40" s="1"/>
  <c r="X24" i="40"/>
  <c r="AA6" i="40"/>
  <c r="AA7" i="40" s="1"/>
  <c r="AA10" i="40" s="1"/>
  <c r="AA26" i="40" l="1"/>
  <c r="X26" i="40"/>
  <c r="I272" i="40"/>
  <c r="M17" i="53" l="1"/>
  <c r="X19" i="38"/>
  <c r="L18" i="52"/>
  <c r="M18" i="53"/>
  <c r="AA9" i="38"/>
  <c r="M17" i="52"/>
  <c r="L17" i="52"/>
  <c r="X24" i="38"/>
  <c r="M18" i="52"/>
  <c r="D46" i="52" s="1"/>
  <c r="L17" i="53"/>
  <c r="L18" i="53"/>
  <c r="K18" i="53" l="1"/>
  <c r="E41" i="53" s="1"/>
  <c r="E49" i="53" s="1"/>
  <c r="Z24" i="38"/>
  <c r="Z24" i="40"/>
  <c r="U24" i="40" s="1"/>
  <c r="Z16" i="40"/>
  <c r="W19" i="38"/>
  <c r="S19" i="38" s="1"/>
  <c r="W14" i="41"/>
  <c r="K17" i="53"/>
  <c r="E40" i="53" s="1"/>
  <c r="AA6" i="38"/>
  <c r="I267" i="38" s="1"/>
  <c r="Z14" i="38"/>
  <c r="Z9" i="41"/>
  <c r="AA19" i="38"/>
  <c r="Z19" i="38"/>
  <c r="W19" i="40"/>
  <c r="Z19" i="40"/>
  <c r="U19" i="40" s="1"/>
  <c r="K17" i="52"/>
  <c r="K18" i="52"/>
  <c r="D45" i="52"/>
  <c r="D47" i="52" s="1"/>
  <c r="Z14" i="41"/>
  <c r="U14" i="41" s="1"/>
  <c r="I144" i="41" s="1"/>
  <c r="I154" i="41" s="1"/>
  <c r="AA24" i="38"/>
  <c r="W14" i="38"/>
  <c r="S14" i="38" s="1"/>
  <c r="AA14" i="38"/>
  <c r="W24" i="38"/>
  <c r="S24" i="38" s="1"/>
  <c r="W24" i="40"/>
  <c r="W9" i="41"/>
  <c r="Z9" i="38"/>
  <c r="W9" i="38"/>
  <c r="X26" i="38"/>
  <c r="S24" i="40" l="1"/>
  <c r="S19" i="40"/>
  <c r="W26" i="41"/>
  <c r="U19" i="38"/>
  <c r="AA7" i="38"/>
  <c r="I268" i="38" s="1"/>
  <c r="W17" i="38"/>
  <c r="W8" i="41"/>
  <c r="G55" i="41" s="1"/>
  <c r="G85" i="41" s="1"/>
  <c r="W13" i="38"/>
  <c r="G56" i="38" s="1"/>
  <c r="W21" i="40"/>
  <c r="W22" i="38"/>
  <c r="Z6" i="38"/>
  <c r="W8" i="38"/>
  <c r="G55" i="38" s="1"/>
  <c r="U9" i="38"/>
  <c r="Z26" i="38"/>
  <c r="I148" i="38" s="1"/>
  <c r="AA11" i="38"/>
  <c r="I274" i="38" s="1"/>
  <c r="I207" i="41"/>
  <c r="U14" i="38"/>
  <c r="U24" i="38"/>
  <c r="Z11" i="41"/>
  <c r="Z11" i="38"/>
  <c r="Z21" i="38"/>
  <c r="W13" i="41"/>
  <c r="G56" i="41" s="1"/>
  <c r="G86" i="41" s="1"/>
  <c r="W11" i="38"/>
  <c r="W22" i="40"/>
  <c r="W17" i="40"/>
  <c r="W26" i="38"/>
  <c r="S9" i="38"/>
  <c r="S26" i="38" s="1"/>
  <c r="Z26" i="41"/>
  <c r="I148" i="41" s="1"/>
  <c r="U9" i="41"/>
  <c r="Z16" i="38"/>
  <c r="Z6" i="41"/>
  <c r="W12" i="41"/>
  <c r="G54" i="41" s="1"/>
  <c r="G84" i="41" s="1"/>
  <c r="W6" i="41"/>
  <c r="G51" i="41" s="1"/>
  <c r="G81" i="41" s="1"/>
  <c r="W7" i="38"/>
  <c r="W16" i="40"/>
  <c r="AA26" i="38"/>
  <c r="E48" i="53"/>
  <c r="E50" i="53" s="1"/>
  <c r="E42" i="53"/>
  <c r="Z21" i="40"/>
  <c r="Z17" i="40"/>
  <c r="Z20" i="40" s="1"/>
  <c r="W16" i="38"/>
  <c r="W11" i="41"/>
  <c r="G52" i="41" s="1"/>
  <c r="W7" i="41"/>
  <c r="G53" i="41" s="1"/>
  <c r="G83" i="41" s="1"/>
  <c r="W12" i="38"/>
  <c r="W21" i="38"/>
  <c r="W6" i="38"/>
  <c r="G53" i="38" l="1"/>
  <c r="I144" i="38"/>
  <c r="I154" i="38" s="1"/>
  <c r="I207" i="38" s="1"/>
  <c r="G54" i="38"/>
  <c r="G84" i="38" s="1"/>
  <c r="I84" i="38" s="1"/>
  <c r="G51" i="38"/>
  <c r="G81" i="38" s="1"/>
  <c r="I81" i="38" s="1"/>
  <c r="Z7" i="41"/>
  <c r="Z22" i="40"/>
  <c r="Z25" i="40" s="1"/>
  <c r="G82" i="41"/>
  <c r="I82" i="41" s="1"/>
  <c r="AA12" i="38"/>
  <c r="I275" i="38" s="1"/>
  <c r="I280" i="38" s="1"/>
  <c r="Z17" i="38"/>
  <c r="Z12" i="41"/>
  <c r="G85" i="38"/>
  <c r="I85" i="38" s="1"/>
  <c r="G86" i="38"/>
  <c r="I86" i="38" s="1"/>
  <c r="Z22" i="38"/>
  <c r="Z9" i="40"/>
  <c r="Z12" i="38"/>
  <c r="Z14" i="40"/>
  <c r="U14" i="40" s="1"/>
  <c r="I144" i="40" s="1"/>
  <c r="I154" i="40" s="1"/>
  <c r="Z7" i="38"/>
  <c r="G83" i="38"/>
  <c r="I83" i="38" s="1"/>
  <c r="U26" i="41"/>
  <c r="I142" i="41"/>
  <c r="G52" i="38"/>
  <c r="U26" i="38"/>
  <c r="I142" i="38"/>
  <c r="I152" i="41" l="1"/>
  <c r="I146" i="41"/>
  <c r="I95" i="38"/>
  <c r="I189" i="38"/>
  <c r="I91" i="41"/>
  <c r="K91" i="41" s="1"/>
  <c r="I187" i="41"/>
  <c r="M187" i="41" s="1"/>
  <c r="Z11" i="40"/>
  <c r="Z6" i="40"/>
  <c r="I152" i="38"/>
  <c r="I146" i="38"/>
  <c r="G82" i="38"/>
  <c r="I82" i="38" s="1"/>
  <c r="I87" i="38" s="1"/>
  <c r="I93" i="38"/>
  <c r="K93" i="38" s="1"/>
  <c r="I188" i="38"/>
  <c r="I207" i="40"/>
  <c r="I92" i="38"/>
  <c r="I178" i="38"/>
  <c r="U9" i="40"/>
  <c r="Z26" i="40"/>
  <c r="I94" i="38"/>
  <c r="I179" i="38"/>
  <c r="I90" i="38"/>
  <c r="I177" i="38"/>
  <c r="I148" i="40" l="1"/>
  <c r="I180" i="38"/>
  <c r="Z7" i="40"/>
  <c r="Z10" i="40" s="1"/>
  <c r="I142" i="40"/>
  <c r="U26" i="40"/>
  <c r="I156" i="41"/>
  <c r="I158" i="41" s="1"/>
  <c r="I200" i="41"/>
  <c r="Z12" i="40"/>
  <c r="Z15" i="40" s="1"/>
  <c r="I91" i="38"/>
  <c r="K91" i="38" s="1"/>
  <c r="I187" i="38"/>
  <c r="M187" i="38" s="1"/>
  <c r="I200" i="38"/>
  <c r="I156" i="38"/>
  <c r="I158" i="38" s="1"/>
  <c r="I190" i="38" l="1"/>
  <c r="I152" i="40"/>
  <c r="I146" i="40"/>
  <c r="I96" i="38"/>
  <c r="I98" i="38" s="1"/>
  <c r="I200" i="40" l="1"/>
  <c r="I156" i="40"/>
  <c r="I158" i="40" s="1"/>
  <c r="W14" i="40" l="1"/>
  <c r="S14" i="40" s="1"/>
  <c r="W9" i="40"/>
  <c r="W7" i="40" l="1"/>
  <c r="W13" i="40"/>
  <c r="W8" i="40"/>
  <c r="W26" i="40"/>
  <c r="S9" i="40"/>
  <c r="S26" i="40" s="1"/>
  <c r="W12" i="40"/>
  <c r="W11" i="40"/>
  <c r="W6" i="40"/>
  <c r="G51" i="40" l="1"/>
  <c r="G81" i="40" s="1"/>
  <c r="G56" i="40"/>
  <c r="G86" i="40" s="1"/>
  <c r="G52" i="40"/>
  <c r="G82" i="40" s="1"/>
  <c r="G55" i="40"/>
  <c r="G85" i="40" s="1"/>
  <c r="G54" i="40"/>
  <c r="G84" i="40" s="1"/>
  <c r="G53" i="40"/>
  <c r="G83" i="40" s="1"/>
  <c r="I82" i="40" l="1"/>
  <c r="I187" i="40" s="1"/>
  <c r="M187" i="40" s="1"/>
  <c r="S259" i="40"/>
  <c r="T259" i="40" s="1"/>
  <c r="I81" i="40"/>
  <c r="I90" i="40" s="1"/>
  <c r="S249" i="40"/>
  <c r="I86" i="40"/>
  <c r="I189" i="40" s="1"/>
  <c r="S261" i="40"/>
  <c r="I85" i="40"/>
  <c r="I94" i="40" s="1"/>
  <c r="S251" i="40"/>
  <c r="I83" i="40"/>
  <c r="I92" i="40" s="1"/>
  <c r="S250" i="40"/>
  <c r="I84" i="40"/>
  <c r="I188" i="40" s="1"/>
  <c r="S260" i="40"/>
  <c r="I178" i="40" l="1"/>
  <c r="I95" i="40"/>
  <c r="I91" i="40"/>
  <c r="K91" i="40" s="1"/>
  <c r="AF259" i="40"/>
  <c r="AH259" i="40" s="1"/>
  <c r="V259" i="40"/>
  <c r="AC259" i="40" s="1"/>
  <c r="S262" i="40"/>
  <c r="S252" i="40"/>
  <c r="I87" i="40"/>
  <c r="I93" i="40"/>
  <c r="K93" i="40" s="1"/>
  <c r="I177" i="40"/>
  <c r="I179" i="40"/>
  <c r="I190" i="40"/>
  <c r="I180" i="40" l="1"/>
  <c r="I96" i="40"/>
  <c r="I98" i="40" s="1"/>
  <c r="B44" i="10" l="1"/>
  <c r="D51" i="10"/>
  <c r="C2" i="27"/>
  <c r="H11" i="73" l="1"/>
  <c r="E14" i="73"/>
  <c r="G11" i="73"/>
  <c r="F11" i="73"/>
  <c r="E48" i="73"/>
  <c r="C52" i="49"/>
  <c r="D51" i="49"/>
  <c r="D52" i="49" s="1"/>
  <c r="H51" i="49"/>
  <c r="H52" i="49" s="1"/>
  <c r="F17" i="23" s="1"/>
  <c r="H124" i="23" s="1"/>
  <c r="F17" i="22" l="1"/>
  <c r="H124" i="22" s="1"/>
  <c r="J124" i="22" s="1"/>
  <c r="G14" i="73"/>
  <c r="G48" i="73"/>
  <c r="F17" i="21"/>
  <c r="E16" i="73"/>
  <c r="E34" i="73"/>
  <c r="B48" i="49"/>
  <c r="C48" i="49" s="1"/>
  <c r="C53" i="49" s="1"/>
  <c r="E67" i="73"/>
  <c r="H48" i="73"/>
  <c r="H14" i="73"/>
  <c r="J124" i="23"/>
  <c r="F14" i="73"/>
  <c r="F48" i="73"/>
  <c r="B53" i="49" l="1"/>
  <c r="D48" i="49"/>
  <c r="D53" i="49" s="1"/>
  <c r="F34" i="73"/>
  <c r="F16" i="73"/>
  <c r="H16" i="73"/>
  <c r="H34" i="73"/>
  <c r="H124" i="21"/>
  <c r="J124" i="21" s="1"/>
  <c r="F9" i="53"/>
  <c r="G34" i="73"/>
  <c r="G16" i="73"/>
  <c r="E38" i="73"/>
  <c r="C99" i="49"/>
  <c r="E65" i="73"/>
  <c r="E69" i="73"/>
  <c r="F8" i="21" l="1"/>
  <c r="F38" i="73"/>
  <c r="G38" i="73"/>
  <c r="D99" i="49"/>
  <c r="F11" i="53"/>
  <c r="E33" i="51" s="1"/>
  <c r="E31" i="51"/>
  <c r="C49" i="53"/>
  <c r="G49" i="53" s="1"/>
  <c r="B99" i="49"/>
  <c r="H38" i="73"/>
  <c r="F8" i="5" l="1"/>
  <c r="E36" i="29"/>
  <c r="F18" i="21"/>
  <c r="H123" i="21" s="1"/>
  <c r="H125" i="21" s="1"/>
  <c r="M29" i="22"/>
  <c r="I59" i="21"/>
  <c r="F8" i="22"/>
  <c r="H184" i="21" l="1"/>
  <c r="J125" i="21"/>
  <c r="H136" i="21"/>
  <c r="F18" i="22"/>
  <c r="H123" i="22" s="1"/>
  <c r="H125" i="22" s="1"/>
  <c r="M30" i="22"/>
  <c r="I59" i="22"/>
  <c r="E57" i="29"/>
  <c r="F9" i="5"/>
  <c r="E12" i="29" s="1"/>
  <c r="E11" i="29"/>
  <c r="M28" i="22"/>
  <c r="H89" i="5"/>
  <c r="H136" i="22" l="1"/>
  <c r="J125" i="22"/>
  <c r="H177" i="22"/>
  <c r="H100" i="5"/>
  <c r="J89" i="5"/>
  <c r="H108" i="5" s="1"/>
  <c r="J123" i="21"/>
  <c r="H144" i="21"/>
  <c r="H192" i="21"/>
  <c r="J123" i="22" l="1"/>
  <c r="H144" i="22"/>
  <c r="H185" i="22"/>
  <c r="L108" i="5"/>
  <c r="M108" i="5"/>
  <c r="M100" i="5"/>
  <c r="L100" i="5"/>
  <c r="K20" i="52" l="1"/>
  <c r="C37" i="52" l="1"/>
  <c r="D22" i="51"/>
  <c r="T26" i="47" l="1"/>
  <c r="H276" i="47" s="1"/>
  <c r="O18" i="45" l="1"/>
  <c r="P8" i="45"/>
  <c r="U7" i="47"/>
  <c r="O13" i="45"/>
  <c r="U12" i="47"/>
  <c r="P13" i="45"/>
  <c r="P23" i="45"/>
  <c r="U22" i="47"/>
  <c r="V12" i="47"/>
  <c r="P18" i="45"/>
  <c r="U17" i="47"/>
  <c r="V7" i="47"/>
  <c r="O8" i="45"/>
  <c r="O23" i="45"/>
  <c r="H277" i="47"/>
  <c r="O10" i="45" l="1"/>
  <c r="F81" i="45" s="1"/>
  <c r="H81" i="45" s="1"/>
  <c r="E143" i="45"/>
  <c r="E145" i="45" s="1"/>
  <c r="V14" i="47"/>
  <c r="I186" i="47"/>
  <c r="E158" i="45"/>
  <c r="E160" i="45" s="1"/>
  <c r="O15" i="45"/>
  <c r="F82" i="45" s="1"/>
  <c r="H82" i="45" s="1"/>
  <c r="F143" i="45"/>
  <c r="F145" i="45" s="1"/>
  <c r="G102" i="45"/>
  <c r="P10" i="45"/>
  <c r="F150" i="45"/>
  <c r="F152" i="45" s="1"/>
  <c r="G104" i="45"/>
  <c r="G111" i="45" s="1"/>
  <c r="P20" i="45"/>
  <c r="I112" i="47"/>
  <c r="I124" i="47" s="1"/>
  <c r="U24" i="47"/>
  <c r="I246" i="47"/>
  <c r="I248" i="47" s="1"/>
  <c r="U14" i="47"/>
  <c r="I239" i="47"/>
  <c r="I241" i="47" s="1"/>
  <c r="I108" i="47"/>
  <c r="I120" i="47" s="1"/>
  <c r="K120" i="47" s="1"/>
  <c r="I228" i="47"/>
  <c r="I230" i="47" s="1"/>
  <c r="I110" i="47"/>
  <c r="I122" i="47" s="1"/>
  <c r="U19" i="47"/>
  <c r="P15" i="45"/>
  <c r="G103" i="45"/>
  <c r="G110" i="45" s="1"/>
  <c r="I110" i="45" s="1"/>
  <c r="F158" i="45"/>
  <c r="F160" i="45" s="1"/>
  <c r="E165" i="45"/>
  <c r="E167" i="45" s="1"/>
  <c r="O25" i="45"/>
  <c r="F84" i="45" s="1"/>
  <c r="H84" i="45" s="1"/>
  <c r="I185" i="47"/>
  <c r="V9" i="47"/>
  <c r="G105" i="45"/>
  <c r="G112" i="45" s="1"/>
  <c r="F165" i="45"/>
  <c r="F167" i="45" s="1"/>
  <c r="P25" i="45"/>
  <c r="I106" i="47"/>
  <c r="I221" i="47"/>
  <c r="I223" i="47" s="1"/>
  <c r="U9" i="47"/>
  <c r="O20" i="45"/>
  <c r="F83" i="45" s="1"/>
  <c r="H83" i="45" s="1"/>
  <c r="E150" i="45"/>
  <c r="E152" i="45" s="1"/>
  <c r="H85" i="45" l="1"/>
  <c r="H87" i="45" s="1"/>
  <c r="I95" i="45" s="1"/>
  <c r="G109" i="45"/>
  <c r="G106" i="45"/>
  <c r="I265" i="47"/>
  <c r="I194" i="47"/>
  <c r="I189" i="47"/>
  <c r="I261" i="47"/>
  <c r="I118" i="47"/>
  <c r="I125" i="47" s="1"/>
  <c r="I127" i="47" s="1"/>
  <c r="I113" i="47"/>
  <c r="G113" i="45" l="1"/>
  <c r="G115" i="45" s="1"/>
  <c r="L26" i="48" l="1"/>
  <c r="G39" i="48" s="1"/>
  <c r="L26" i="35" l="1"/>
  <c r="G39" i="35" s="1"/>
  <c r="L18" i="3"/>
  <c r="L26" i="40"/>
  <c r="G39" i="40" s="1"/>
  <c r="L26" i="38"/>
  <c r="L18" i="2"/>
  <c r="L26" i="36"/>
  <c r="G39" i="38" l="1"/>
  <c r="G39" i="36"/>
  <c r="M255" i="2"/>
  <c r="M255" i="3"/>
  <c r="L31" i="5" l="1"/>
  <c r="M123" i="5" s="1"/>
  <c r="E27" i="29" l="1"/>
  <c r="X12" i="41" l="1"/>
  <c r="H54" i="41" s="1"/>
  <c r="X6" i="41"/>
  <c r="H51" i="41" s="1"/>
  <c r="X8" i="41"/>
  <c r="H55" i="41" s="1"/>
  <c r="AA12" i="41"/>
  <c r="AA7" i="41"/>
  <c r="X13" i="41"/>
  <c r="H56" i="41" s="1"/>
  <c r="AA11" i="41"/>
  <c r="X9" i="41" l="1"/>
  <c r="X14" i="41"/>
  <c r="S14" i="41" s="1"/>
  <c r="H81" i="41"/>
  <c r="H86" i="41"/>
  <c r="H85" i="41"/>
  <c r="AA6" i="41"/>
  <c r="X7" i="41"/>
  <c r="H53" i="41" s="1"/>
  <c r="H84" i="41"/>
  <c r="I255" i="41" l="1"/>
  <c r="I84" i="41"/>
  <c r="I86" i="41"/>
  <c r="I256" i="41"/>
  <c r="H83" i="41"/>
  <c r="I81" i="41"/>
  <c r="I244" i="41"/>
  <c r="I85" i="41"/>
  <c r="I246" i="41"/>
  <c r="S9" i="41"/>
  <c r="S26" i="41" s="1"/>
  <c r="X26" i="41"/>
  <c r="I83" i="41" l="1"/>
  <c r="I245" i="41"/>
  <c r="I247" i="41" s="1"/>
  <c r="I179" i="41"/>
  <c r="I94" i="41"/>
  <c r="I177" i="41"/>
  <c r="I90" i="41"/>
  <c r="I189" i="41"/>
  <c r="I95" i="41"/>
  <c r="I93" i="41"/>
  <c r="K93" i="41" s="1"/>
  <c r="I188" i="41"/>
  <c r="I257" i="41"/>
  <c r="I87" i="41" l="1"/>
  <c r="I178" i="41"/>
  <c r="I180" i="41" s="1"/>
  <c r="I92" i="41"/>
  <c r="I96" i="41" s="1"/>
  <c r="I98" i="41" s="1"/>
  <c r="I190" i="41"/>
  <c r="L15" i="1" l="1"/>
  <c r="L14" i="4" l="1"/>
  <c r="I47" i="4" s="1"/>
  <c r="L14" i="47"/>
  <c r="I47" i="47" s="1"/>
  <c r="I48" i="47" s="1"/>
  <c r="L14" i="3"/>
  <c r="I47" i="3" s="1"/>
  <c r="I47" i="1"/>
  <c r="L14" i="2"/>
  <c r="I47" i="2" s="1"/>
  <c r="I86" i="49" l="1"/>
  <c r="I87" i="49" s="1"/>
  <c r="H86" i="49"/>
  <c r="H87" i="49" s="1"/>
  <c r="E86" i="49"/>
  <c r="C86" i="49"/>
  <c r="C87" i="49" s="1"/>
  <c r="B86" i="49"/>
  <c r="K86" i="49" l="1"/>
  <c r="C100" i="49"/>
  <c r="L86" i="49" l="1"/>
  <c r="L25" i="35" l="1"/>
  <c r="G38" i="35" s="1"/>
  <c r="D35" i="10" l="1"/>
  <c r="G7" i="45"/>
  <c r="E44" i="45" s="1"/>
  <c r="E9" i="96" l="1"/>
  <c r="B40" i="96" s="1"/>
  <c r="D37" i="10"/>
  <c r="G6" i="45" l="1"/>
  <c r="F44" i="45" s="1"/>
  <c r="E35" i="10"/>
  <c r="G44" i="45" l="1"/>
  <c r="H44" i="45"/>
  <c r="F35" i="10"/>
  <c r="G35" i="10"/>
  <c r="E7" i="96"/>
  <c r="C40" i="96" s="1"/>
  <c r="E37" i="10"/>
  <c r="E40" i="96" l="1"/>
  <c r="G40" i="96"/>
  <c r="J56" i="45"/>
  <c r="D111" i="27"/>
  <c r="F37" i="10"/>
  <c r="G37" i="10"/>
  <c r="G51" i="96" l="1"/>
  <c r="D228" i="27"/>
  <c r="D11" i="29" l="1"/>
  <c r="D99" i="29"/>
  <c r="D78" i="29"/>
  <c r="D120" i="29"/>
  <c r="D36" i="29"/>
  <c r="D57" i="29"/>
  <c r="D12" i="29"/>
  <c r="E8" i="22" l="1"/>
  <c r="E18" i="22" s="1"/>
  <c r="F57" i="29"/>
  <c r="E8" i="23"/>
  <c r="F36" i="29"/>
  <c r="E8" i="21"/>
  <c r="E18" i="21" s="1"/>
  <c r="F11" i="29"/>
  <c r="E8" i="5"/>
  <c r="E8" i="24"/>
  <c r="E9" i="5"/>
  <c r="F12" i="29"/>
  <c r="E8" i="20"/>
  <c r="E18" i="23" l="1"/>
  <c r="E19" i="20"/>
  <c r="D31" i="51" l="1"/>
  <c r="D18" i="51"/>
  <c r="E15" i="52" s="1"/>
  <c r="D14" i="51"/>
  <c r="E11" i="52" s="1"/>
  <c r="E58" i="52" s="1"/>
  <c r="D32" i="51"/>
  <c r="E10" i="53" s="1"/>
  <c r="D17" i="51"/>
  <c r="E14" i="52" s="1"/>
  <c r="D13" i="51"/>
  <c r="E10" i="52" s="1"/>
  <c r="E57" i="52" s="1"/>
  <c r="D33" i="51"/>
  <c r="D16" i="51"/>
  <c r="E13" i="52" s="1"/>
  <c r="D12" i="51"/>
  <c r="E9" i="52" s="1"/>
  <c r="E56" i="52" s="1"/>
  <c r="D30" i="51"/>
  <c r="E8" i="53" s="1"/>
  <c r="C40" i="53" s="1"/>
  <c r="G40" i="53" s="1"/>
  <c r="H47" i="6"/>
  <c r="H77" i="6"/>
  <c r="H17" i="6"/>
  <c r="H110" i="6"/>
  <c r="H140" i="6"/>
  <c r="D15" i="51"/>
  <c r="E12" i="52" s="1"/>
  <c r="D11" i="51"/>
  <c r="E8" i="52" s="1"/>
  <c r="E55" i="52" s="1"/>
  <c r="H54" i="50" l="1"/>
  <c r="H87" i="50"/>
  <c r="H23" i="50"/>
  <c r="H55" i="50"/>
  <c r="H88" i="50"/>
  <c r="H24" i="50"/>
  <c r="H81" i="50"/>
  <c r="H48" i="50"/>
  <c r="H17" i="50"/>
  <c r="H52" i="50"/>
  <c r="H21" i="50"/>
  <c r="H85" i="50"/>
  <c r="F31" i="51"/>
  <c r="E9" i="53"/>
  <c r="C41" i="53" s="1"/>
  <c r="G41" i="53" s="1"/>
  <c r="G42" i="53" s="1"/>
  <c r="H19" i="50"/>
  <c r="H50" i="50"/>
  <c r="H83" i="50"/>
  <c r="H53" i="50"/>
  <c r="H22" i="50"/>
  <c r="H86" i="50"/>
  <c r="H143" i="6"/>
  <c r="H80" i="6"/>
  <c r="H20" i="6"/>
  <c r="H113" i="6"/>
  <c r="H50" i="6"/>
  <c r="H111" i="6"/>
  <c r="H141" i="6"/>
  <c r="H78" i="6"/>
  <c r="H18" i="6"/>
  <c r="H48" i="6"/>
  <c r="H142" i="6"/>
  <c r="H79" i="6"/>
  <c r="H112" i="6"/>
  <c r="H49" i="6"/>
  <c r="H19" i="6"/>
  <c r="I40" i="53"/>
  <c r="H51" i="50"/>
  <c r="H84" i="50"/>
  <c r="H20" i="50"/>
  <c r="H81" i="6"/>
  <c r="H21" i="6"/>
  <c r="H51" i="6"/>
  <c r="H114" i="6"/>
  <c r="H144" i="6"/>
  <c r="H146" i="6"/>
  <c r="H53" i="6"/>
  <c r="H83" i="6"/>
  <c r="H23" i="6"/>
  <c r="H116" i="6"/>
  <c r="H54" i="6"/>
  <c r="H24" i="6"/>
  <c r="H84" i="6"/>
  <c r="H117" i="6"/>
  <c r="H147" i="6"/>
  <c r="H52" i="6"/>
  <c r="H82" i="6"/>
  <c r="H22" i="6"/>
  <c r="H115" i="6"/>
  <c r="H145" i="6"/>
  <c r="H82" i="50"/>
  <c r="H49" i="50"/>
  <c r="H18" i="50"/>
  <c r="E11" i="53"/>
  <c r="F33" i="51"/>
  <c r="L40" i="53" l="1"/>
  <c r="K40" i="53"/>
  <c r="M40" i="53" l="1"/>
  <c r="H125" i="28" l="1"/>
  <c r="H123" i="28"/>
  <c r="H129" i="28"/>
  <c r="H122" i="28"/>
  <c r="H170" i="6"/>
  <c r="H124" i="28"/>
  <c r="H166" i="6"/>
  <c r="H128" i="28"/>
  <c r="H168" i="6"/>
  <c r="H121" i="28"/>
  <c r="H169" i="6"/>
  <c r="H127" i="28"/>
  <c r="H167" i="6"/>
  <c r="H126" i="28"/>
  <c r="H78" i="29" l="1"/>
  <c r="F19" i="73"/>
  <c r="F21" i="73" s="1"/>
  <c r="H61" i="29"/>
  <c r="H13" i="29"/>
  <c r="H100" i="29"/>
  <c r="H18" i="28"/>
  <c r="E31" i="11"/>
  <c r="H48" i="28"/>
  <c r="E56" i="11"/>
  <c r="H97" i="28"/>
  <c r="E89" i="11"/>
  <c r="H17" i="28"/>
  <c r="E30" i="11"/>
  <c r="E54" i="11"/>
  <c r="H46" i="28"/>
  <c r="H95" i="28"/>
  <c r="E87" i="11"/>
  <c r="H44" i="6"/>
  <c r="H76" i="6"/>
  <c r="H79" i="50"/>
  <c r="H12" i="50"/>
  <c r="H43" i="50"/>
  <c r="H12" i="29"/>
  <c r="G19" i="73"/>
  <c r="H99" i="29"/>
  <c r="H39" i="29"/>
  <c r="H81" i="29"/>
  <c r="H122" i="29"/>
  <c r="H14" i="29"/>
  <c r="H59" i="29"/>
  <c r="H101" i="29"/>
  <c r="E25" i="11"/>
  <c r="H12" i="28"/>
  <c r="E34" i="11"/>
  <c r="H21" i="28"/>
  <c r="E50" i="11"/>
  <c r="H42" i="28"/>
  <c r="E66" i="11"/>
  <c r="H66" i="28"/>
  <c r="E75" i="11"/>
  <c r="H75" i="28"/>
  <c r="H98" i="28"/>
  <c r="E90" i="11"/>
  <c r="E24" i="11"/>
  <c r="H11" i="28"/>
  <c r="H19" i="28"/>
  <c r="E32" i="11"/>
  <c r="H40" i="28"/>
  <c r="E48" i="11"/>
  <c r="H65" i="28"/>
  <c r="E65" i="11"/>
  <c r="E73" i="11"/>
  <c r="H73" i="28"/>
  <c r="H96" i="28"/>
  <c r="E88" i="11"/>
  <c r="H14" i="6"/>
  <c r="H45" i="6"/>
  <c r="H16" i="50"/>
  <c r="H45" i="50"/>
  <c r="H108" i="6"/>
  <c r="H80" i="50"/>
  <c r="H13" i="6"/>
  <c r="H13" i="50"/>
  <c r="H44" i="50"/>
  <c r="H77" i="50"/>
  <c r="H11" i="29"/>
  <c r="E19" i="73"/>
  <c r="E21" i="73" s="1"/>
  <c r="H16" i="29"/>
  <c r="H103" i="29"/>
  <c r="H58" i="29"/>
  <c r="H138" i="29"/>
  <c r="E49" i="11"/>
  <c r="H41" i="28"/>
  <c r="E72" i="11"/>
  <c r="H72" i="28"/>
  <c r="E96" i="11"/>
  <c r="H104" i="28"/>
  <c r="E47" i="11"/>
  <c r="H39" i="28"/>
  <c r="E71" i="11"/>
  <c r="H71" i="28"/>
  <c r="H102" i="28"/>
  <c r="E94" i="11"/>
  <c r="H15" i="50"/>
  <c r="H107" i="6"/>
  <c r="H12" i="6"/>
  <c r="H76" i="50"/>
  <c r="H36" i="29"/>
  <c r="H19" i="73"/>
  <c r="H21" i="73" s="1"/>
  <c r="H120" i="29"/>
  <c r="H40" i="29"/>
  <c r="H82" i="29"/>
  <c r="H139" i="29"/>
  <c r="H37" i="29"/>
  <c r="H79" i="29"/>
  <c r="H121" i="29"/>
  <c r="H15" i="28"/>
  <c r="E28" i="11"/>
  <c r="E35" i="11"/>
  <c r="H22" i="28"/>
  <c r="H44" i="28"/>
  <c r="E52" i="11"/>
  <c r="E69" i="11"/>
  <c r="H69" i="28"/>
  <c r="H76" i="28"/>
  <c r="E76" i="11"/>
  <c r="E92" i="11"/>
  <c r="H100" i="28"/>
  <c r="H13" i="28"/>
  <c r="E26" i="11"/>
  <c r="H20" i="28"/>
  <c r="E33" i="11"/>
  <c r="H43" i="28"/>
  <c r="E51" i="11"/>
  <c r="H67" i="28"/>
  <c r="E67" i="11"/>
  <c r="H74" i="28"/>
  <c r="E74" i="11"/>
  <c r="E91" i="11"/>
  <c r="H99" i="28"/>
  <c r="H15" i="6"/>
  <c r="H46" i="6"/>
  <c r="H74" i="6"/>
  <c r="H46" i="50"/>
  <c r="H109" i="6"/>
  <c r="H137" i="6"/>
  <c r="H42" i="6"/>
  <c r="H72" i="6"/>
  <c r="H105" i="6"/>
  <c r="H135" i="6"/>
  <c r="H57" i="29"/>
  <c r="H15" i="29"/>
  <c r="H60" i="29"/>
  <c r="H102" i="29"/>
  <c r="H140" i="29"/>
  <c r="H38" i="29"/>
  <c r="H80" i="29"/>
  <c r="H137" i="29"/>
  <c r="E29" i="11"/>
  <c r="H16" i="28"/>
  <c r="E46" i="11"/>
  <c r="H38" i="28"/>
  <c r="E55" i="11"/>
  <c r="H47" i="28"/>
  <c r="E70" i="11"/>
  <c r="H70" i="28"/>
  <c r="H94" i="28"/>
  <c r="E86" i="11"/>
  <c r="H103" i="28"/>
  <c r="E95" i="11"/>
  <c r="H14" i="28"/>
  <c r="E27" i="11"/>
  <c r="H37" i="28"/>
  <c r="E45" i="11"/>
  <c r="H45" i="28"/>
  <c r="E53" i="11"/>
  <c r="H68" i="28"/>
  <c r="E68" i="11"/>
  <c r="E85" i="11"/>
  <c r="H93" i="28"/>
  <c r="E93" i="11"/>
  <c r="H101" i="28"/>
  <c r="H16" i="6"/>
  <c r="H14" i="50"/>
  <c r="H75" i="6"/>
  <c r="H47" i="50"/>
  <c r="H78" i="50"/>
  <c r="H138" i="6"/>
  <c r="H43" i="6"/>
  <c r="H73" i="6"/>
  <c r="H106" i="6"/>
  <c r="D40" i="97" l="1"/>
  <c r="G9" i="12"/>
  <c r="J144" i="12" s="1"/>
  <c r="G19" i="16"/>
  <c r="D81" i="97"/>
  <c r="G10" i="12"/>
  <c r="D41" i="97"/>
  <c r="D16" i="97"/>
  <c r="G16" i="15"/>
  <c r="D80" i="97"/>
  <c r="G18" i="16"/>
  <c r="G9" i="16"/>
  <c r="D71" i="97"/>
  <c r="D9" i="97"/>
  <c r="G9" i="15"/>
  <c r="J144" i="15" s="1"/>
  <c r="D103" i="97"/>
  <c r="G10" i="17"/>
  <c r="G19" i="12"/>
  <c r="D50" i="97"/>
  <c r="D102" i="97"/>
  <c r="G9" i="17"/>
  <c r="J144" i="17" s="1"/>
  <c r="G8" i="12"/>
  <c r="H144" i="12" s="1"/>
  <c r="D39" i="97"/>
  <c r="G13" i="16"/>
  <c r="D75" i="97"/>
  <c r="G13" i="15"/>
  <c r="J65" i="15" s="1"/>
  <c r="D13" i="97"/>
  <c r="D45" i="97"/>
  <c r="G14" i="12"/>
  <c r="H146" i="12" s="1"/>
  <c r="D108" i="97"/>
  <c r="G15" i="17"/>
  <c r="J146" i="17" s="1"/>
  <c r="D19" i="97"/>
  <c r="G19" i="15"/>
  <c r="J69" i="15" s="1"/>
  <c r="G12" i="15"/>
  <c r="D12" i="97"/>
  <c r="G19" i="17"/>
  <c r="J69" i="17" s="1"/>
  <c r="D112" i="97"/>
  <c r="D77" i="97"/>
  <c r="G15" i="16"/>
  <c r="D104" i="97"/>
  <c r="G11" i="17"/>
  <c r="H65" i="17" s="1"/>
  <c r="D44" i="97"/>
  <c r="G13" i="12"/>
  <c r="G20" i="73"/>
  <c r="G55" i="73" s="1"/>
  <c r="F23" i="73"/>
  <c r="F28" i="73"/>
  <c r="F33" i="73"/>
  <c r="G16" i="17"/>
  <c r="D109" i="97"/>
  <c r="D73" i="97"/>
  <c r="G11" i="16"/>
  <c r="G11" i="15"/>
  <c r="H65" i="15" s="1"/>
  <c r="D11" i="97"/>
  <c r="G18" i="12"/>
  <c r="D49" i="97"/>
  <c r="G17" i="16"/>
  <c r="D79" i="97"/>
  <c r="D17" i="97"/>
  <c r="G17" i="15"/>
  <c r="H69" i="15" s="1"/>
  <c r="D74" i="97"/>
  <c r="G12" i="16"/>
  <c r="D110" i="97"/>
  <c r="G17" i="17"/>
  <c r="H69" i="17" s="1"/>
  <c r="D43" i="97"/>
  <c r="G12" i="12"/>
  <c r="E33" i="73"/>
  <c r="E28" i="73"/>
  <c r="E23" i="73"/>
  <c r="D70" i="97"/>
  <c r="G8" i="16"/>
  <c r="G13" i="17"/>
  <c r="J65" i="17" s="1"/>
  <c r="D106" i="97"/>
  <c r="D18" i="97"/>
  <c r="G18" i="15"/>
  <c r="D48" i="97"/>
  <c r="G17" i="12"/>
  <c r="D15" i="97"/>
  <c r="G15" i="15"/>
  <c r="J146" i="15" s="1"/>
  <c r="D101" i="97"/>
  <c r="G8" i="17"/>
  <c r="H144" i="17" s="1"/>
  <c r="D47" i="97"/>
  <c r="G16" i="12"/>
  <c r="G18" i="17"/>
  <c r="D111" i="97"/>
  <c r="G14" i="17"/>
  <c r="H146" i="17" s="1"/>
  <c r="D107" i="97"/>
  <c r="D72" i="97"/>
  <c r="G10" i="16"/>
  <c r="D10" i="97"/>
  <c r="G10" i="15"/>
  <c r="D46" i="97"/>
  <c r="G15" i="12"/>
  <c r="J146" i="12" s="1"/>
  <c r="H23" i="73"/>
  <c r="H28" i="73"/>
  <c r="H33" i="73"/>
  <c r="G14" i="16"/>
  <c r="D76" i="97"/>
  <c r="G16" i="16"/>
  <c r="D78" i="97"/>
  <c r="G11" i="12"/>
  <c r="D42" i="97"/>
  <c r="G8" i="15"/>
  <c r="H144" i="15" s="1"/>
  <c r="D8" i="97"/>
  <c r="D14" i="97"/>
  <c r="G14" i="15"/>
  <c r="H146" i="15" s="1"/>
  <c r="D105" i="97"/>
  <c r="G12" i="17"/>
  <c r="L146" i="17" l="1"/>
  <c r="H150" i="17" s="1"/>
  <c r="K158" i="17" s="1"/>
  <c r="N146" i="12"/>
  <c r="J150" i="12" s="1"/>
  <c r="K159" i="12" s="1"/>
  <c r="L146" i="15"/>
  <c r="H150" i="15" s="1"/>
  <c r="K158" i="15" s="1"/>
  <c r="N146" i="15"/>
  <c r="J150" i="15" s="1"/>
  <c r="K159" i="15" s="1"/>
  <c r="L144" i="15"/>
  <c r="H148" i="15" s="1"/>
  <c r="K156" i="15" s="1"/>
  <c r="L146" i="12"/>
  <c r="H150" i="12" s="1"/>
  <c r="K158" i="12" s="1"/>
  <c r="L144" i="12"/>
  <c r="H148" i="12" s="1"/>
  <c r="K156" i="12" s="1"/>
  <c r="L144" i="17"/>
  <c r="H148" i="17" s="1"/>
  <c r="K156" i="17" s="1"/>
  <c r="N146" i="17"/>
  <c r="J150" i="17" s="1"/>
  <c r="K159" i="17" s="1"/>
  <c r="N69" i="15"/>
  <c r="L65" i="15"/>
  <c r="L69" i="15"/>
  <c r="G21" i="73"/>
  <c r="G28" i="73" s="1"/>
  <c r="H65" i="12"/>
  <c r="H39" i="16"/>
  <c r="H67" i="16"/>
  <c r="H115" i="16" s="1"/>
  <c r="H29" i="73"/>
  <c r="H37" i="73"/>
  <c r="H39" i="73" s="1"/>
  <c r="H144" i="16"/>
  <c r="H145" i="16"/>
  <c r="E49" i="73"/>
  <c r="E35" i="73"/>
  <c r="E43" i="73"/>
  <c r="H39" i="17"/>
  <c r="I39" i="17" s="1"/>
  <c r="H67" i="17"/>
  <c r="H115" i="17" s="1"/>
  <c r="G58" i="73"/>
  <c r="G66" i="73" s="1"/>
  <c r="G56" i="73"/>
  <c r="J146" i="16"/>
  <c r="J147" i="16"/>
  <c r="J67" i="16"/>
  <c r="J115" i="16" s="1"/>
  <c r="H40" i="16"/>
  <c r="H67" i="15"/>
  <c r="H115" i="15" s="1"/>
  <c r="H39" i="15"/>
  <c r="I39" i="15" s="1"/>
  <c r="H37" i="16"/>
  <c r="H63" i="16"/>
  <c r="H114" i="16" s="1"/>
  <c r="H69" i="12"/>
  <c r="H69" i="16"/>
  <c r="H68" i="16"/>
  <c r="J67" i="12"/>
  <c r="J115" i="12" s="1"/>
  <c r="H40" i="12"/>
  <c r="I40" i="12" s="1"/>
  <c r="H64" i="16"/>
  <c r="H65" i="16"/>
  <c r="F37" i="73"/>
  <c r="F39" i="73" s="1"/>
  <c r="F29" i="73"/>
  <c r="J144" i="16"/>
  <c r="J145" i="16"/>
  <c r="H49" i="73"/>
  <c r="H52" i="73" s="1"/>
  <c r="H35" i="73"/>
  <c r="H43" i="73"/>
  <c r="I167" i="12"/>
  <c r="E29" i="73"/>
  <c r="E37" i="73"/>
  <c r="E39" i="73" s="1"/>
  <c r="L69" i="17"/>
  <c r="J65" i="12"/>
  <c r="L65" i="17"/>
  <c r="J64" i="16"/>
  <c r="J65" i="16"/>
  <c r="H63" i="17"/>
  <c r="H114" i="17" s="1"/>
  <c r="H37" i="17"/>
  <c r="H38" i="17"/>
  <c r="J63" i="17"/>
  <c r="J114" i="17" s="1"/>
  <c r="H147" i="16"/>
  <c r="H146" i="16"/>
  <c r="H37" i="15"/>
  <c r="H63" i="15"/>
  <c r="H114" i="15" s="1"/>
  <c r="H40" i="17"/>
  <c r="I40" i="17" s="1"/>
  <c r="J67" i="17"/>
  <c r="J115" i="17" s="1"/>
  <c r="H39" i="12"/>
  <c r="I39" i="12" s="1"/>
  <c r="H67" i="12"/>
  <c r="H115" i="12" s="1"/>
  <c r="H40" i="15"/>
  <c r="I40" i="15" s="1"/>
  <c r="J67" i="15"/>
  <c r="J115" i="15" s="1"/>
  <c r="H38" i="12"/>
  <c r="J63" i="12"/>
  <c r="J114" i="12" s="1"/>
  <c r="H38" i="16"/>
  <c r="J63" i="16"/>
  <c r="J114" i="16" s="1"/>
  <c r="F49" i="73"/>
  <c r="F52" i="73" s="1"/>
  <c r="F35" i="73"/>
  <c r="F43" i="73"/>
  <c r="N69" i="17"/>
  <c r="J63" i="15"/>
  <c r="J114" i="15" s="1"/>
  <c r="H38" i="15"/>
  <c r="J69" i="12"/>
  <c r="H37" i="12"/>
  <c r="H63" i="12"/>
  <c r="H114" i="12" s="1"/>
  <c r="J69" i="16"/>
  <c r="J68" i="16"/>
  <c r="I166" i="15" l="1"/>
  <c r="L147" i="16"/>
  <c r="H151" i="16" s="1"/>
  <c r="I167" i="15"/>
  <c r="N69" i="16"/>
  <c r="G33" i="73"/>
  <c r="G43" i="73" s="1"/>
  <c r="G23" i="73"/>
  <c r="G29" i="73" s="1"/>
  <c r="I166" i="12"/>
  <c r="N68" i="16"/>
  <c r="N69" i="12"/>
  <c r="L146" i="16"/>
  <c r="H150" i="16" s="1"/>
  <c r="K158" i="16" s="1"/>
  <c r="F67" i="73"/>
  <c r="E48" i="49"/>
  <c r="G49" i="73"/>
  <c r="G52" i="73" s="1"/>
  <c r="G67" i="73" s="1"/>
  <c r="G69" i="73" s="1"/>
  <c r="G35" i="73"/>
  <c r="N145" i="16"/>
  <c r="J149" i="16" s="1"/>
  <c r="L65" i="16"/>
  <c r="L69" i="12"/>
  <c r="N146" i="16"/>
  <c r="J150" i="16" s="1"/>
  <c r="K159" i="16" s="1"/>
  <c r="L65" i="12"/>
  <c r="L64" i="16"/>
  <c r="N64" i="16"/>
  <c r="H67" i="73"/>
  <c r="I48" i="49"/>
  <c r="I53" i="49" s="1"/>
  <c r="L68" i="16"/>
  <c r="L145" i="16"/>
  <c r="H149" i="16" s="1"/>
  <c r="L69" i="16"/>
  <c r="N147" i="16"/>
  <c r="J151" i="16" s="1"/>
  <c r="L144" i="16"/>
  <c r="H148" i="16" s="1"/>
  <c r="K156" i="16" s="1"/>
  <c r="G37" i="73" l="1"/>
  <c r="G39" i="73" s="1"/>
  <c r="G65" i="73"/>
  <c r="H69" i="73"/>
  <c r="H65" i="73"/>
  <c r="E53" i="49"/>
  <c r="F48" i="49"/>
  <c r="F53" i="49" s="1"/>
  <c r="H48" i="49"/>
  <c r="H53" i="49" s="1"/>
  <c r="G48" i="49"/>
  <c r="G53" i="49" s="1"/>
  <c r="I99" i="49"/>
  <c r="F69" i="73"/>
  <c r="F65" i="73"/>
  <c r="F99" i="49" l="1"/>
  <c r="F8" i="24"/>
  <c r="I100" i="49"/>
  <c r="I101" i="49" s="1"/>
  <c r="I102" i="49" s="1"/>
  <c r="E99" i="49"/>
  <c r="G99" i="49"/>
  <c r="H99" i="49"/>
  <c r="D142" i="28"/>
  <c r="F8" i="20" l="1"/>
  <c r="F8" i="23"/>
  <c r="H100" i="49"/>
  <c r="E120" i="29"/>
  <c r="H78" i="24"/>
  <c r="F120" i="29" l="1"/>
  <c r="E99" i="29"/>
  <c r="F18" i="23"/>
  <c r="I59" i="23"/>
  <c r="H95" i="24"/>
  <c r="H88" i="24"/>
  <c r="J78" i="24"/>
  <c r="H95" i="20"/>
  <c r="H89" i="20"/>
  <c r="E78" i="29"/>
  <c r="F19" i="20"/>
  <c r="F17" i="20"/>
  <c r="F99" i="29" l="1"/>
  <c r="F78" i="29"/>
  <c r="J89" i="20"/>
  <c r="H100" i="20"/>
  <c r="H108" i="20" s="1"/>
  <c r="H97" i="20"/>
  <c r="H96" i="20"/>
  <c r="H123" i="23"/>
  <c r="G7" i="94" l="1"/>
  <c r="E44" i="94" s="1"/>
  <c r="D15" i="10"/>
  <c r="J123" i="23"/>
  <c r="J125" i="23" s="1"/>
  <c r="H125" i="23"/>
  <c r="H136" i="23" l="1"/>
  <c r="H174" i="23"/>
  <c r="H144" i="23"/>
  <c r="H182" i="23"/>
  <c r="K4" i="54"/>
  <c r="B4" i="49"/>
  <c r="L4" i="20"/>
  <c r="L4" i="23"/>
  <c r="L4" i="2"/>
  <c r="L4" i="26"/>
  <c r="L4" i="21"/>
  <c r="L4" i="4"/>
  <c r="L4" i="32"/>
  <c r="L4" i="38"/>
  <c r="L4" i="37"/>
  <c r="D4" i="11"/>
  <c r="K4" i="55"/>
  <c r="L4" i="3"/>
  <c r="L4" i="36"/>
  <c r="L4" i="1"/>
  <c r="L4" i="35"/>
  <c r="L4" i="47"/>
  <c r="K4" i="52"/>
  <c r="L4" i="40"/>
  <c r="K4" i="53"/>
  <c r="F3" i="27"/>
  <c r="L4" i="22"/>
  <c r="L4" i="34"/>
  <c r="L4" i="48"/>
  <c r="L4" i="5"/>
  <c r="L4" i="41"/>
  <c r="L4" i="24"/>
  <c r="D32" i="10"/>
  <c r="D20" i="10"/>
  <c r="G7" i="95"/>
  <c r="E44" i="95" s="1"/>
  <c r="D10" i="10"/>
  <c r="G7" i="9"/>
  <c r="E44" i="9" s="1"/>
  <c r="E9" i="56" l="1"/>
  <c r="B40" i="56" s="1"/>
  <c r="D12" i="10"/>
  <c r="D25" i="10"/>
  <c r="G7" i="19"/>
  <c r="E44" i="19" s="1"/>
  <c r="G30" i="48"/>
  <c r="D213" i="48"/>
  <c r="D93" i="48"/>
  <c r="D152" i="48"/>
  <c r="C33" i="53"/>
  <c r="F6" i="53"/>
  <c r="G30" i="35"/>
  <c r="D215" i="35"/>
  <c r="D93" i="35"/>
  <c r="D152" i="35"/>
  <c r="C33" i="55"/>
  <c r="J39" i="55" s="1"/>
  <c r="F6" i="55"/>
  <c r="G30" i="32"/>
  <c r="D139" i="32"/>
  <c r="D80" i="32"/>
  <c r="D197" i="32"/>
  <c r="D274" i="2"/>
  <c r="G34" i="2"/>
  <c r="D216" i="2"/>
  <c r="D136" i="2"/>
  <c r="C33" i="54"/>
  <c r="C44" i="54" s="1"/>
  <c r="C51" i="54" s="1"/>
  <c r="F6" i="54"/>
  <c r="C32" i="24"/>
  <c r="D104" i="24"/>
  <c r="D75" i="24"/>
  <c r="G30" i="34"/>
  <c r="D80" i="34"/>
  <c r="D139" i="34"/>
  <c r="D197" i="34"/>
  <c r="G30" i="40"/>
  <c r="D103" i="40"/>
  <c r="D227" i="40"/>
  <c r="D164" i="40"/>
  <c r="G34" i="1"/>
  <c r="D274" i="1"/>
  <c r="D136" i="1"/>
  <c r="D216" i="1"/>
  <c r="L4" i="17"/>
  <c r="L4" i="16"/>
  <c r="L4" i="15"/>
  <c r="L4" i="12"/>
  <c r="G34" i="4"/>
  <c r="D216" i="4"/>
  <c r="D274" i="4"/>
  <c r="D136" i="4"/>
  <c r="C45" i="23"/>
  <c r="D154" i="23"/>
  <c r="D120" i="23"/>
  <c r="D17" i="10"/>
  <c r="E9" i="7"/>
  <c r="B40" i="7" s="1"/>
  <c r="D27" i="10"/>
  <c r="E9" i="8"/>
  <c r="B40" i="8" s="1"/>
  <c r="G30" i="41"/>
  <c r="D222" i="41"/>
  <c r="D164" i="41"/>
  <c r="D103" i="41"/>
  <c r="D154" i="22"/>
  <c r="D120" i="22"/>
  <c r="C45" i="22"/>
  <c r="C33" i="52"/>
  <c r="F6" i="52"/>
  <c r="D152" i="36"/>
  <c r="D213" i="36"/>
  <c r="G30" i="36"/>
  <c r="D93" i="36"/>
  <c r="G30" i="37"/>
  <c r="D80" i="37"/>
  <c r="D197" i="37"/>
  <c r="D139" i="37"/>
  <c r="D154" i="21"/>
  <c r="C45" i="21"/>
  <c r="D120" i="21"/>
  <c r="C35" i="20"/>
  <c r="D118" i="20"/>
  <c r="D86" i="20"/>
  <c r="E9" i="57"/>
  <c r="B40" i="57" s="1"/>
  <c r="D22" i="10"/>
  <c r="D86" i="5"/>
  <c r="C35" i="5"/>
  <c r="D118" i="5"/>
  <c r="J35" i="7"/>
  <c r="F35" i="94"/>
  <c r="J35" i="96"/>
  <c r="F35" i="9"/>
  <c r="J35" i="57"/>
  <c r="J35" i="56"/>
  <c r="J35" i="8"/>
  <c r="F35" i="45"/>
  <c r="F35" i="95"/>
  <c r="F35" i="19"/>
  <c r="G34" i="47"/>
  <c r="D283" i="47"/>
  <c r="D291" i="47" s="1"/>
  <c r="D299" i="47" s="1"/>
  <c r="D216" i="47"/>
  <c r="D136" i="47"/>
  <c r="G34" i="3"/>
  <c r="D216" i="3"/>
  <c r="D274" i="3"/>
  <c r="D136" i="3"/>
  <c r="G30" i="38"/>
  <c r="D103" i="38"/>
  <c r="D164" i="38"/>
  <c r="D222" i="38"/>
  <c r="D81" i="26"/>
  <c r="D110" i="26"/>
  <c r="C31" i="26"/>
  <c r="B4" i="92"/>
  <c r="D8" i="92" s="1"/>
  <c r="B4" i="73"/>
  <c r="B4" i="98"/>
  <c r="D112" i="17" l="1"/>
  <c r="D239" i="17"/>
  <c r="D186" i="17"/>
  <c r="E42" i="52"/>
  <c r="H52" i="52"/>
  <c r="D186" i="12"/>
  <c r="D112" i="12"/>
  <c r="D239" i="12"/>
  <c r="D186" i="15"/>
  <c r="D239" i="15"/>
  <c r="D112" i="15"/>
  <c r="D186" i="16"/>
  <c r="D112" i="16"/>
  <c r="D239" i="16"/>
  <c r="D57" i="51" l="1"/>
  <c r="E11" i="55" s="1"/>
  <c r="G48" i="55" s="1"/>
  <c r="D58" i="51"/>
  <c r="E12" i="55" s="1"/>
  <c r="G49" i="55" s="1"/>
  <c r="D56" i="51"/>
  <c r="E10" i="55" s="1"/>
  <c r="G47" i="55" s="1"/>
  <c r="D54" i="51"/>
  <c r="E8" i="55" s="1"/>
  <c r="G42" i="55" s="1"/>
  <c r="D55" i="51"/>
  <c r="E9" i="55" s="1"/>
  <c r="G44" i="55" s="1"/>
  <c r="J30" i="10" l="1"/>
  <c r="J32" i="10"/>
  <c r="I30" i="10"/>
  <c r="K30" i="10" l="1"/>
  <c r="L30" i="10"/>
  <c r="N30" i="10" s="1"/>
  <c r="O30" i="10" s="1"/>
  <c r="D65" i="10" s="1"/>
  <c r="F8" i="54" l="1"/>
  <c r="G44" i="54" l="1"/>
  <c r="G51" i="54" s="1"/>
  <c r="E45" i="51"/>
  <c r="E142" i="28"/>
  <c r="F142" i="28" s="1"/>
  <c r="F45" i="51" l="1"/>
  <c r="E25" i="10" l="1"/>
  <c r="G6" i="19"/>
  <c r="F44" i="19" s="1"/>
  <c r="G44" i="19" l="1"/>
  <c r="H44" i="19"/>
  <c r="F25" i="10"/>
  <c r="G25" i="10"/>
  <c r="D92" i="27" l="1"/>
  <c r="J56" i="19"/>
  <c r="J55" i="19"/>
  <c r="D11" i="50" l="1"/>
  <c r="D42" i="50"/>
  <c r="D75" i="50"/>
  <c r="D138" i="6"/>
  <c r="D136" i="6"/>
  <c r="D16" i="50"/>
  <c r="G13" i="38" s="1"/>
  <c r="H68" i="38" s="1"/>
  <c r="D47" i="50"/>
  <c r="D80" i="50"/>
  <c r="G13" i="41" s="1"/>
  <c r="H68" i="41" s="1"/>
  <c r="D137" i="6"/>
  <c r="D135" i="6"/>
  <c r="D14" i="50"/>
  <c r="G11" i="38" s="1"/>
  <c r="H66" i="38" s="1"/>
  <c r="D12" i="50"/>
  <c r="J67" i="38" s="1"/>
  <c r="F54" i="38" s="1"/>
  <c r="I54" i="38" s="1"/>
  <c r="D45" i="50"/>
  <c r="D43" i="50"/>
  <c r="D78" i="50"/>
  <c r="G11" i="41" s="1"/>
  <c r="H66" i="41" s="1"/>
  <c r="D76" i="50"/>
  <c r="G9" i="41" s="1"/>
  <c r="J67" i="41" s="1"/>
  <c r="F54" i="41" s="1"/>
  <c r="I54" i="41" s="1"/>
  <c r="D139" i="6"/>
  <c r="D15" i="50"/>
  <c r="G12" i="38" s="1"/>
  <c r="H67" i="38" s="1"/>
  <c r="D13" i="50"/>
  <c r="G10" i="38" s="1"/>
  <c r="J68" i="38" s="1"/>
  <c r="D46" i="50"/>
  <c r="D44" i="50"/>
  <c r="D79" i="50"/>
  <c r="G12" i="41" s="1"/>
  <c r="H67" i="41" s="1"/>
  <c r="D77" i="50"/>
  <c r="G10" i="41" s="1"/>
  <c r="J68" i="41" s="1"/>
  <c r="D134" i="6"/>
  <c r="G10" i="40" l="1"/>
  <c r="J68" i="40" s="1"/>
  <c r="F53" i="38"/>
  <c r="I53" i="38" s="1"/>
  <c r="L67" i="38"/>
  <c r="D225" i="27"/>
  <c r="D221" i="27"/>
  <c r="F51" i="41"/>
  <c r="I51" i="41" s="1"/>
  <c r="L66" i="41"/>
  <c r="D153" i="27"/>
  <c r="D125" i="27"/>
  <c r="F55" i="41"/>
  <c r="I55" i="41" s="1"/>
  <c r="L68" i="41"/>
  <c r="D151" i="27"/>
  <c r="D160" i="97"/>
  <c r="G160" i="97" s="1"/>
  <c r="G10" i="36"/>
  <c r="J58" i="36" s="1"/>
  <c r="D39" i="27"/>
  <c r="F11" i="50"/>
  <c r="G8" i="38"/>
  <c r="J66" i="38" s="1"/>
  <c r="F52" i="38" s="1"/>
  <c r="I52" i="38" s="1"/>
  <c r="D158" i="97"/>
  <c r="G158" i="97" s="1"/>
  <c r="G8" i="36"/>
  <c r="J56" i="36" s="1"/>
  <c r="F134" i="6"/>
  <c r="N68" i="41"/>
  <c r="F56" i="41"/>
  <c r="I56" i="41" s="1"/>
  <c r="G12" i="40"/>
  <c r="H67" i="40" s="1"/>
  <c r="D11" i="27"/>
  <c r="D149" i="27"/>
  <c r="D223" i="27"/>
  <c r="D40" i="27"/>
  <c r="D127" i="27"/>
  <c r="D36" i="27"/>
  <c r="F55" i="38"/>
  <c r="I55" i="38" s="1"/>
  <c r="L68" i="38"/>
  <c r="D162" i="97"/>
  <c r="G162" i="97" s="1"/>
  <c r="G12" i="36"/>
  <c r="H57" i="36" s="1"/>
  <c r="G8" i="40"/>
  <c r="J66" i="40" s="1"/>
  <c r="F52" i="40" s="1"/>
  <c r="I52" i="40" s="1"/>
  <c r="F42" i="50"/>
  <c r="D13" i="27"/>
  <c r="D108" i="27"/>
  <c r="D107" i="27"/>
  <c r="D222" i="27"/>
  <c r="F53" i="41"/>
  <c r="I53" i="41" s="1"/>
  <c r="L67" i="41"/>
  <c r="D148" i="27"/>
  <c r="D126" i="27"/>
  <c r="D12" i="27"/>
  <c r="G13" i="36"/>
  <c r="H58" i="36" s="1"/>
  <c r="D163" i="97"/>
  <c r="G163" i="97" s="1"/>
  <c r="G9" i="40"/>
  <c r="J67" i="40" s="1"/>
  <c r="F54" i="40" s="1"/>
  <c r="I54" i="40" s="1"/>
  <c r="L66" i="38"/>
  <c r="F51" i="38"/>
  <c r="I51" i="38" s="1"/>
  <c r="G9" i="36"/>
  <c r="J57" i="36" s="1"/>
  <c r="D159" i="97"/>
  <c r="G159" i="97" s="1"/>
  <c r="D38" i="27"/>
  <c r="D14" i="27"/>
  <c r="F75" i="50"/>
  <c r="G8" i="41"/>
  <c r="J66" i="41" s="1"/>
  <c r="F52" i="41" s="1"/>
  <c r="I52" i="41" s="1"/>
  <c r="D150" i="27"/>
  <c r="D15" i="27"/>
  <c r="D106" i="27"/>
  <c r="D105" i="27"/>
  <c r="D224" i="27"/>
  <c r="D35" i="27"/>
  <c r="N68" i="38"/>
  <c r="F56" i="38"/>
  <c r="I56" i="38" s="1"/>
  <c r="D128" i="27"/>
  <c r="D129" i="27"/>
  <c r="G11" i="40"/>
  <c r="H66" i="40" s="1"/>
  <c r="D16" i="27"/>
  <c r="G11" i="36"/>
  <c r="H56" i="36" s="1"/>
  <c r="D161" i="97"/>
  <c r="G161" i="97" s="1"/>
  <c r="G13" i="40"/>
  <c r="H68" i="40" s="1"/>
  <c r="D220" i="27"/>
  <c r="D37" i="27"/>
  <c r="D152" i="27"/>
  <c r="D124" i="27"/>
  <c r="L56" i="36" l="1"/>
  <c r="D83" i="6"/>
  <c r="G20" i="35" s="1"/>
  <c r="D146" i="6"/>
  <c r="G20" i="36" s="1"/>
  <c r="D53" i="6"/>
  <c r="G20" i="34" s="1"/>
  <c r="D23" i="6"/>
  <c r="G20" i="32" s="1"/>
  <c r="D116" i="6"/>
  <c r="G20" i="37" s="1"/>
  <c r="D54" i="50"/>
  <c r="D87" i="50"/>
  <c r="G20" i="41" s="1"/>
  <c r="D23" i="50"/>
  <c r="G20" i="38" s="1"/>
  <c r="D144" i="6"/>
  <c r="G18" i="36" s="1"/>
  <c r="D81" i="6"/>
  <c r="G18" i="35" s="1"/>
  <c r="D51" i="6"/>
  <c r="G18" i="34" s="1"/>
  <c r="D114" i="6"/>
  <c r="G18" i="37" s="1"/>
  <c r="D21" i="6"/>
  <c r="G18" i="32" s="1"/>
  <c r="D50" i="50"/>
  <c r="D83" i="50"/>
  <c r="G16" i="41" s="1"/>
  <c r="J128" i="41" s="1"/>
  <c r="D19" i="50"/>
  <c r="G16" i="38" s="1"/>
  <c r="J128" i="38" s="1"/>
  <c r="D24" i="50"/>
  <c r="G21" i="38" s="1"/>
  <c r="D55" i="50"/>
  <c r="D88" i="50"/>
  <c r="G21" i="41" s="1"/>
  <c r="E16" i="56"/>
  <c r="D26" i="97"/>
  <c r="D121" i="97"/>
  <c r="E18" i="8"/>
  <c r="L68" i="40"/>
  <c r="F55" i="40"/>
  <c r="I55" i="40" s="1"/>
  <c r="E20" i="56"/>
  <c r="D30" i="97"/>
  <c r="D90" i="97"/>
  <c r="E18" i="57"/>
  <c r="E17" i="7"/>
  <c r="D58" i="97"/>
  <c r="G19" i="45"/>
  <c r="D139" i="97"/>
  <c r="E18" i="7"/>
  <c r="D59" i="97"/>
  <c r="E19" i="56"/>
  <c r="D29" i="97"/>
  <c r="D124" i="97"/>
  <c r="E21" i="8"/>
  <c r="B63" i="8" s="1"/>
  <c r="D49" i="6"/>
  <c r="G16" i="34" s="1"/>
  <c r="J105" i="34" s="1"/>
  <c r="D142" i="6"/>
  <c r="G16" i="36" s="1"/>
  <c r="J118" i="36" s="1"/>
  <c r="D19" i="6"/>
  <c r="G16" i="32" s="1"/>
  <c r="J105" i="32" s="1"/>
  <c r="D112" i="6"/>
  <c r="G16" i="37" s="1"/>
  <c r="J105" i="37" s="1"/>
  <c r="D79" i="6"/>
  <c r="G16" i="35" s="1"/>
  <c r="J118" i="35" s="1"/>
  <c r="D17" i="50"/>
  <c r="G14" i="38" s="1"/>
  <c r="H128" i="38" s="1"/>
  <c r="D81" i="50"/>
  <c r="G14" i="41" s="1"/>
  <c r="H128" i="41" s="1"/>
  <c r="D48" i="50"/>
  <c r="D22" i="50"/>
  <c r="G19" i="38" s="1"/>
  <c r="D53" i="50"/>
  <c r="D86" i="50"/>
  <c r="G19" i="41" s="1"/>
  <c r="E20" i="57"/>
  <c r="D92" i="97"/>
  <c r="D62" i="97"/>
  <c r="E21" i="7"/>
  <c r="B63" i="7" s="1"/>
  <c r="E21" i="56"/>
  <c r="D31" i="97"/>
  <c r="E16" i="8"/>
  <c r="D119" i="97"/>
  <c r="D61" i="97"/>
  <c r="E20" i="7"/>
  <c r="B62" i="7" s="1"/>
  <c r="E19" i="8"/>
  <c r="B61" i="8" s="1"/>
  <c r="D122" i="97"/>
  <c r="I57" i="38"/>
  <c r="D138" i="97"/>
  <c r="G17" i="45"/>
  <c r="L57" i="36"/>
  <c r="E17" i="57"/>
  <c r="D89" i="97"/>
  <c r="E16" i="7"/>
  <c r="D57" i="97"/>
  <c r="I57" i="41"/>
  <c r="E21" i="96"/>
  <c r="D151" i="97"/>
  <c r="D147" i="6"/>
  <c r="G21" i="36" s="1"/>
  <c r="D84" i="6"/>
  <c r="G21" i="35" s="1"/>
  <c r="D54" i="6"/>
  <c r="G21" i="34" s="1"/>
  <c r="D24" i="6"/>
  <c r="G21" i="32" s="1"/>
  <c r="D117" i="6"/>
  <c r="G21" i="37" s="1"/>
  <c r="E16" i="96"/>
  <c r="D146" i="97"/>
  <c r="D150" i="97"/>
  <c r="E20" i="96"/>
  <c r="D135" i="97"/>
  <c r="G15" i="45"/>
  <c r="H100" i="36"/>
  <c r="L58" i="36"/>
  <c r="E18" i="56"/>
  <c r="D28" i="97"/>
  <c r="D148" i="97"/>
  <c r="E18" i="96"/>
  <c r="E17" i="8"/>
  <c r="D120" i="97"/>
  <c r="E19" i="96"/>
  <c r="D149" i="97"/>
  <c r="E20" i="8"/>
  <c r="B62" i="8" s="1"/>
  <c r="D123" i="97"/>
  <c r="E21" i="57"/>
  <c r="D93" i="97"/>
  <c r="E17" i="96"/>
  <c r="D147" i="97"/>
  <c r="N68" i="40"/>
  <c r="F56" i="40"/>
  <c r="I56" i="40" s="1"/>
  <c r="D111" i="6"/>
  <c r="G15" i="37" s="1"/>
  <c r="H106" i="37" s="1"/>
  <c r="D78" i="6"/>
  <c r="G15" i="35" s="1"/>
  <c r="H119" i="35" s="1"/>
  <c r="D48" i="6"/>
  <c r="G15" i="34" s="1"/>
  <c r="H106" i="34" s="1"/>
  <c r="D141" i="6"/>
  <c r="G15" i="36" s="1"/>
  <c r="H119" i="36" s="1"/>
  <c r="D18" i="6"/>
  <c r="G15" i="32" s="1"/>
  <c r="H106" i="32" s="1"/>
  <c r="D51" i="50"/>
  <c r="D20" i="50"/>
  <c r="G17" i="38" s="1"/>
  <c r="J129" i="38" s="1"/>
  <c r="D84" i="50"/>
  <c r="G17" i="41" s="1"/>
  <c r="J129" i="41" s="1"/>
  <c r="D143" i="6"/>
  <c r="G17" i="36" s="1"/>
  <c r="J119" i="36" s="1"/>
  <c r="D80" i="6"/>
  <c r="G17" i="35" s="1"/>
  <c r="J119" i="35" s="1"/>
  <c r="D113" i="6"/>
  <c r="G17" i="37" s="1"/>
  <c r="J106" i="37" s="1"/>
  <c r="D50" i="6"/>
  <c r="G17" i="34" s="1"/>
  <c r="J106" i="34" s="1"/>
  <c r="D20" i="6"/>
  <c r="G17" i="32" s="1"/>
  <c r="J106" i="32" s="1"/>
  <c r="D145" i="6"/>
  <c r="G19" i="36" s="1"/>
  <c r="D22" i="6"/>
  <c r="G19" i="32" s="1"/>
  <c r="D52" i="6"/>
  <c r="G19" i="34" s="1"/>
  <c r="D82" i="6"/>
  <c r="G19" i="35" s="1"/>
  <c r="D115" i="6"/>
  <c r="G19" i="37" s="1"/>
  <c r="D82" i="50"/>
  <c r="G15" i="41" s="1"/>
  <c r="H129" i="41" s="1"/>
  <c r="D18" i="50"/>
  <c r="G15" i="38" s="1"/>
  <c r="H129" i="38" s="1"/>
  <c r="D49" i="50"/>
  <c r="D52" i="50"/>
  <c r="D85" i="50"/>
  <c r="G18" i="41" s="1"/>
  <c r="D21" i="50"/>
  <c r="G18" i="38" s="1"/>
  <c r="F51" i="40"/>
  <c r="I51" i="40" s="1"/>
  <c r="L66" i="40"/>
  <c r="D134" i="97"/>
  <c r="G13" i="45"/>
  <c r="D60" i="97"/>
  <c r="E19" i="7"/>
  <c r="B61" i="7" s="1"/>
  <c r="D88" i="97"/>
  <c r="E16" i="57"/>
  <c r="L67" i="40"/>
  <c r="F53" i="40"/>
  <c r="I53" i="40" s="1"/>
  <c r="J100" i="36"/>
  <c r="N58" i="36"/>
  <c r="E19" i="57"/>
  <c r="D91" i="97"/>
  <c r="E17" i="56"/>
  <c r="D27" i="97"/>
  <c r="L129" i="41" l="1"/>
  <c r="L129" i="38"/>
  <c r="C61" i="57"/>
  <c r="F16" i="57"/>
  <c r="E66" i="45"/>
  <c r="E53" i="45"/>
  <c r="G18" i="40"/>
  <c r="G17" i="40"/>
  <c r="J129" i="40" s="1"/>
  <c r="L119" i="35"/>
  <c r="B62" i="96"/>
  <c r="F17" i="57"/>
  <c r="C62" i="57"/>
  <c r="C132" i="57" s="1"/>
  <c r="E69" i="45"/>
  <c r="E56" i="45"/>
  <c r="B131" i="8"/>
  <c r="G91" i="8"/>
  <c r="E93" i="8" s="1"/>
  <c r="G93" i="8" s="1"/>
  <c r="E100" i="8" s="1"/>
  <c r="B64" i="8"/>
  <c r="G61" i="8"/>
  <c r="B117" i="8"/>
  <c r="K131" i="8" s="1"/>
  <c r="C61" i="8"/>
  <c r="F16" i="8"/>
  <c r="B63" i="56"/>
  <c r="B62" i="57"/>
  <c r="G19" i="40"/>
  <c r="G148" i="38"/>
  <c r="K148" i="38" s="1"/>
  <c r="L128" i="38"/>
  <c r="N118" i="36"/>
  <c r="N128" i="38"/>
  <c r="B61" i="57"/>
  <c r="G15" i="40"/>
  <c r="H129" i="40" s="1"/>
  <c r="L106" i="32"/>
  <c r="L106" i="37"/>
  <c r="B63" i="57"/>
  <c r="B61" i="96"/>
  <c r="F17" i="8"/>
  <c r="C62" i="8"/>
  <c r="K167" i="36"/>
  <c r="M167" i="36" s="1"/>
  <c r="H13" i="36"/>
  <c r="E139" i="6" s="1"/>
  <c r="N100" i="36"/>
  <c r="B63" i="96"/>
  <c r="B132" i="7"/>
  <c r="B133" i="7"/>
  <c r="N118" i="35"/>
  <c r="N105" i="34"/>
  <c r="B61" i="56"/>
  <c r="F56" i="45"/>
  <c r="F69" i="45"/>
  <c r="N128" i="41"/>
  <c r="G91" i="7"/>
  <c r="E93" i="7" s="1"/>
  <c r="G93" i="7" s="1"/>
  <c r="E100" i="7" s="1"/>
  <c r="B117" i="7"/>
  <c r="K131" i="7" s="1"/>
  <c r="B64" i="7"/>
  <c r="G61" i="7"/>
  <c r="B131" i="7"/>
  <c r="L119" i="36"/>
  <c r="C63" i="96"/>
  <c r="C133" i="96" s="1"/>
  <c r="F18" i="96"/>
  <c r="F53" i="45"/>
  <c r="F66" i="45"/>
  <c r="O70" i="45" s="1"/>
  <c r="C61" i="7"/>
  <c r="F16" i="7"/>
  <c r="G14" i="40"/>
  <c r="H128" i="40" s="1"/>
  <c r="N105" i="37"/>
  <c r="B133" i="8"/>
  <c r="F18" i="57"/>
  <c r="C63" i="57"/>
  <c r="C133" i="57" s="1"/>
  <c r="C156" i="57" s="1"/>
  <c r="F18" i="8"/>
  <c r="C63" i="8"/>
  <c r="C133" i="8" s="1"/>
  <c r="G21" i="40"/>
  <c r="G16" i="40"/>
  <c r="J128" i="40" s="1"/>
  <c r="G20" i="40"/>
  <c r="C62" i="56"/>
  <c r="C132" i="56" s="1"/>
  <c r="F17" i="56"/>
  <c r="K177" i="36"/>
  <c r="M177" i="36" s="1"/>
  <c r="H10" i="36"/>
  <c r="E136" i="6" s="1"/>
  <c r="I57" i="40"/>
  <c r="L106" i="34"/>
  <c r="F17" i="96"/>
  <c r="C62" i="96"/>
  <c r="C132" i="96" s="1"/>
  <c r="B132" i="8"/>
  <c r="G62" i="8"/>
  <c r="C63" i="56"/>
  <c r="C133" i="56" s="1"/>
  <c r="F18" i="56"/>
  <c r="C61" i="96"/>
  <c r="F16" i="96"/>
  <c r="G148" i="41"/>
  <c r="K148" i="41" s="1"/>
  <c r="L128" i="41"/>
  <c r="N105" i="32"/>
  <c r="F18" i="7"/>
  <c r="C63" i="7"/>
  <c r="C133" i="7" s="1"/>
  <c r="C62" i="7"/>
  <c r="C132" i="7" s="1"/>
  <c r="F17" i="7"/>
  <c r="B62" i="56"/>
  <c r="C61" i="56"/>
  <c r="F16" i="56"/>
  <c r="L129" i="40" l="1"/>
  <c r="N128" i="40"/>
  <c r="G63" i="8"/>
  <c r="G64" i="8" s="1"/>
  <c r="J63" i="8" s="1"/>
  <c r="J64" i="8" s="1"/>
  <c r="G132" i="7"/>
  <c r="C155" i="7"/>
  <c r="C141" i="7"/>
  <c r="G148" i="40"/>
  <c r="K148" i="40" s="1"/>
  <c r="L128" i="40"/>
  <c r="K154" i="7"/>
  <c r="G19" i="7"/>
  <c r="H16" i="7" s="1"/>
  <c r="P131" i="7"/>
  <c r="K140" i="7"/>
  <c r="E133" i="7"/>
  <c r="B156" i="7"/>
  <c r="G133" i="7"/>
  <c r="G136" i="7" s="1"/>
  <c r="B142" i="7"/>
  <c r="B155" i="7"/>
  <c r="B141" i="7"/>
  <c r="E132" i="7"/>
  <c r="E63" i="96"/>
  <c r="G78" i="96" s="1"/>
  <c r="E81" i="96" s="1"/>
  <c r="B133" i="96"/>
  <c r="G63" i="96"/>
  <c r="F22" i="8"/>
  <c r="G19" i="8"/>
  <c r="H16" i="8" s="1"/>
  <c r="K154" i="8"/>
  <c r="P131" i="8"/>
  <c r="B134" i="8"/>
  <c r="G131" i="8"/>
  <c r="B154" i="8"/>
  <c r="H77" i="45"/>
  <c r="G53" i="45"/>
  <c r="G62" i="56"/>
  <c r="E62" i="56"/>
  <c r="G96" i="56" s="1"/>
  <c r="E104" i="56" s="1"/>
  <c r="G108" i="56" s="1"/>
  <c r="B132" i="56"/>
  <c r="C142" i="96"/>
  <c r="C141" i="96"/>
  <c r="E63" i="8"/>
  <c r="G78" i="8" s="1"/>
  <c r="E81" i="8" s="1"/>
  <c r="G85" i="8" s="1"/>
  <c r="B154" i="7"/>
  <c r="G131" i="7"/>
  <c r="B140" i="7"/>
  <c r="B134" i="7"/>
  <c r="I77" i="45"/>
  <c r="F139" i="6"/>
  <c r="H163" i="97"/>
  <c r="G61" i="96"/>
  <c r="B131" i="96"/>
  <c r="B117" i="96"/>
  <c r="B64" i="96"/>
  <c r="G91" i="96"/>
  <c r="E93" i="96" s="1"/>
  <c r="B133" i="57"/>
  <c r="E63" i="57"/>
  <c r="G78" i="57" s="1"/>
  <c r="E81" i="57" s="1"/>
  <c r="G85" i="57" s="1"/>
  <c r="G63" i="57"/>
  <c r="C131" i="8"/>
  <c r="C64" i="8"/>
  <c r="H75" i="45"/>
  <c r="J75" i="45" s="1"/>
  <c r="N75" i="45" s="1"/>
  <c r="F22" i="57"/>
  <c r="C131" i="96"/>
  <c r="C64" i="96"/>
  <c r="F22" i="56"/>
  <c r="C156" i="56"/>
  <c r="C142" i="56"/>
  <c r="B155" i="8"/>
  <c r="F136" i="6"/>
  <c r="H160" i="97"/>
  <c r="C141" i="56"/>
  <c r="C155" i="56"/>
  <c r="C156" i="8"/>
  <c r="B156" i="8"/>
  <c r="E133" i="8"/>
  <c r="G133" i="8"/>
  <c r="G136" i="8" s="1"/>
  <c r="F22" i="7"/>
  <c r="O75" i="45"/>
  <c r="G63" i="7"/>
  <c r="E62" i="7"/>
  <c r="G96" i="7" s="1"/>
  <c r="E104" i="7" s="1"/>
  <c r="G108" i="7" s="1"/>
  <c r="G62" i="57"/>
  <c r="E62" i="57"/>
  <c r="G96" i="57" s="1"/>
  <c r="E104" i="57" s="1"/>
  <c r="G108" i="57" s="1"/>
  <c r="B132" i="57"/>
  <c r="B132" i="96"/>
  <c r="E62" i="96"/>
  <c r="G96" i="96" s="1"/>
  <c r="E104" i="96" s="1"/>
  <c r="G62" i="96"/>
  <c r="C131" i="57"/>
  <c r="C64" i="57"/>
  <c r="C131" i="56"/>
  <c r="C64" i="56"/>
  <c r="C156" i="7"/>
  <c r="C142" i="7"/>
  <c r="F22" i="96"/>
  <c r="C131" i="7"/>
  <c r="C64" i="7"/>
  <c r="B117" i="56"/>
  <c r="K131" i="56" s="1"/>
  <c r="B131" i="56"/>
  <c r="B64" i="56"/>
  <c r="G61" i="56"/>
  <c r="G91" i="56"/>
  <c r="E93" i="56" s="1"/>
  <c r="G93" i="56" s="1"/>
  <c r="E100" i="56" s="1"/>
  <c r="E63" i="7"/>
  <c r="G78" i="7" s="1"/>
  <c r="E81" i="7" s="1"/>
  <c r="G85" i="7" s="1"/>
  <c r="G62" i="7"/>
  <c r="E62" i="8"/>
  <c r="G96" i="8" s="1"/>
  <c r="E104" i="8" s="1"/>
  <c r="G108" i="8" s="1"/>
  <c r="C132" i="8"/>
  <c r="G91" i="57"/>
  <c r="E93" i="57" s="1"/>
  <c r="G93" i="57" s="1"/>
  <c r="E100" i="57" s="1"/>
  <c r="B117" i="57"/>
  <c r="K131" i="57" s="1"/>
  <c r="G61" i="57"/>
  <c r="B131" i="57"/>
  <c r="B64" i="57"/>
  <c r="G63" i="56"/>
  <c r="E63" i="56"/>
  <c r="G78" i="56" s="1"/>
  <c r="E81" i="56" s="1"/>
  <c r="G85" i="56" s="1"/>
  <c r="B133" i="56"/>
  <c r="G56" i="45"/>
  <c r="C142" i="57"/>
  <c r="C141" i="57"/>
  <c r="C155" i="57"/>
  <c r="G134" i="7" l="1"/>
  <c r="G137" i="7" s="1"/>
  <c r="H136" i="7" s="1"/>
  <c r="H137" i="7" s="1"/>
  <c r="I56" i="45"/>
  <c r="K56" i="45" s="1"/>
  <c r="D112" i="27" s="1"/>
  <c r="G64" i="57"/>
  <c r="J63" i="57" s="1"/>
  <c r="J64" i="57" s="1"/>
  <c r="G64" i="7"/>
  <c r="J63" i="7" s="1"/>
  <c r="J64" i="7" s="1"/>
  <c r="G64" i="56"/>
  <c r="J63" i="56" s="1"/>
  <c r="J64" i="56" s="1"/>
  <c r="C155" i="8"/>
  <c r="C141" i="8"/>
  <c r="K154" i="56"/>
  <c r="G19" i="56"/>
  <c r="K140" i="56"/>
  <c r="P131" i="56"/>
  <c r="C154" i="7"/>
  <c r="E154" i="7" s="1"/>
  <c r="C134" i="7"/>
  <c r="B141" i="96"/>
  <c r="E132" i="96"/>
  <c r="G132" i="96"/>
  <c r="G132" i="57"/>
  <c r="B155" i="57"/>
  <c r="B141" i="57"/>
  <c r="E132" i="57"/>
  <c r="C142" i="8"/>
  <c r="I109" i="45"/>
  <c r="L75" i="45"/>
  <c r="H102" i="45" s="1"/>
  <c r="B134" i="96"/>
  <c r="B140" i="96"/>
  <c r="G131" i="96"/>
  <c r="H56" i="45"/>
  <c r="B140" i="8"/>
  <c r="B142" i="96"/>
  <c r="E133" i="96"/>
  <c r="G133" i="96"/>
  <c r="G136" i="96" s="1"/>
  <c r="E133" i="56"/>
  <c r="B156" i="56"/>
  <c r="B142" i="56"/>
  <c r="G133" i="56"/>
  <c r="G136" i="56" s="1"/>
  <c r="G19" i="57"/>
  <c r="P131" i="57"/>
  <c r="K140" i="57"/>
  <c r="K154" i="57"/>
  <c r="C154" i="56"/>
  <c r="C134" i="56"/>
  <c r="C154" i="57"/>
  <c r="C134" i="57"/>
  <c r="B141" i="8"/>
  <c r="B142" i="57"/>
  <c r="B156" i="57"/>
  <c r="G133" i="57"/>
  <c r="G136" i="57" s="1"/>
  <c r="E133" i="57"/>
  <c r="G64" i="96"/>
  <c r="J63" i="96" s="1"/>
  <c r="J64" i="96" s="1"/>
  <c r="B157" i="7"/>
  <c r="N154" i="8"/>
  <c r="E156" i="8"/>
  <c r="G132" i="8"/>
  <c r="G134" i="8" s="1"/>
  <c r="G137" i="8" s="1"/>
  <c r="H136" i="8" s="1"/>
  <c r="H137" i="8" s="1"/>
  <c r="B155" i="56"/>
  <c r="E132" i="56"/>
  <c r="G132" i="56"/>
  <c r="B141" i="56"/>
  <c r="N154" i="7"/>
  <c r="B140" i="57"/>
  <c r="B154" i="57"/>
  <c r="G131" i="57"/>
  <c r="B134" i="57"/>
  <c r="G131" i="56"/>
  <c r="B154" i="56"/>
  <c r="B134" i="56"/>
  <c r="B140" i="56"/>
  <c r="B142" i="8"/>
  <c r="E132" i="8"/>
  <c r="C154" i="96"/>
  <c r="C134" i="96"/>
  <c r="C154" i="8"/>
  <c r="E154" i="8" s="1"/>
  <c r="C134" i="8"/>
  <c r="K131" i="96"/>
  <c r="G19" i="96"/>
  <c r="B157" i="8"/>
  <c r="K140" i="8"/>
  <c r="E156" i="7"/>
  <c r="E155" i="7"/>
  <c r="G134" i="57" l="1"/>
  <c r="G137" i="57" s="1"/>
  <c r="H136" i="57" s="1"/>
  <c r="H137" i="57" s="1"/>
  <c r="L56" i="45"/>
  <c r="M56" i="45" s="1"/>
  <c r="J74" i="45" s="1"/>
  <c r="J77" i="45" s="1"/>
  <c r="N77" i="45" s="1"/>
  <c r="G134" i="56"/>
  <c r="G137" i="56" s="1"/>
  <c r="H136" i="56" s="1"/>
  <c r="H137" i="56" s="1"/>
  <c r="P131" i="96"/>
  <c r="K140" i="96"/>
  <c r="E157" i="7"/>
  <c r="N154" i="57"/>
  <c r="E155" i="57"/>
  <c r="E155" i="8"/>
  <c r="E157" i="8" s="1"/>
  <c r="E154" i="56"/>
  <c r="B157" i="56"/>
  <c r="C157" i="57"/>
  <c r="C157" i="56"/>
  <c r="G134" i="96"/>
  <c r="G137" i="96" s="1"/>
  <c r="H136" i="96" s="1"/>
  <c r="H137" i="96" s="1"/>
  <c r="E156" i="57"/>
  <c r="E156" i="56"/>
  <c r="H16" i="56"/>
  <c r="H16" i="96"/>
  <c r="C157" i="8"/>
  <c r="E154" i="57"/>
  <c r="B157" i="57"/>
  <c r="E155" i="56"/>
  <c r="H16" i="57"/>
  <c r="C157" i="7"/>
  <c r="N154" i="56"/>
  <c r="I111" i="45" l="1"/>
  <c r="L77" i="45"/>
  <c r="H104" i="45" s="1"/>
  <c r="K77" i="45"/>
  <c r="M77" i="45" s="1"/>
  <c r="H105" i="45" s="1"/>
  <c r="E157" i="57"/>
  <c r="E157" i="56"/>
  <c r="D13" i="29"/>
  <c r="D14" i="29"/>
  <c r="D15" i="29"/>
  <c r="D16" i="29"/>
  <c r="D37" i="29"/>
  <c r="D38" i="29"/>
  <c r="D39" i="29"/>
  <c r="D40" i="29"/>
  <c r="D58" i="29"/>
  <c r="D59" i="29"/>
  <c r="D60" i="29"/>
  <c r="D61" i="29"/>
  <c r="D79" i="29"/>
  <c r="D80" i="29"/>
  <c r="D81" i="29"/>
  <c r="D82" i="29"/>
  <c r="D100" i="29"/>
  <c r="D101" i="29"/>
  <c r="D102" i="29"/>
  <c r="D103" i="29"/>
  <c r="D121" i="29"/>
  <c r="D122" i="29"/>
  <c r="D137" i="29"/>
  <c r="E10" i="26" s="1"/>
  <c r="H52" i="26" s="1"/>
  <c r="D138" i="29"/>
  <c r="E11" i="26" s="1"/>
  <c r="H53" i="26" s="1"/>
  <c r="D139" i="29"/>
  <c r="E12" i="26" s="1"/>
  <c r="J52" i="26" s="1"/>
  <c r="D140" i="29"/>
  <c r="E13" i="26" s="1"/>
  <c r="J53" i="26" s="1"/>
  <c r="D121" i="28"/>
  <c r="D122" i="28"/>
  <c r="D125" i="28"/>
  <c r="D126" i="28"/>
  <c r="D129" i="28"/>
  <c r="I112" i="45" l="1"/>
  <c r="I113" i="45" s="1"/>
  <c r="O77" i="45"/>
  <c r="D132" i="97"/>
  <c r="G132" i="97" s="1"/>
  <c r="G8" i="47"/>
  <c r="H170" i="47" s="1"/>
  <c r="L52" i="26"/>
  <c r="E10" i="24"/>
  <c r="H46" i="24" s="1"/>
  <c r="E10" i="23"/>
  <c r="E10" i="20"/>
  <c r="E10" i="22"/>
  <c r="E10" i="21"/>
  <c r="E10" i="5"/>
  <c r="H50" i="5" s="1"/>
  <c r="G15" i="47"/>
  <c r="J173" i="47" s="1"/>
  <c r="D137" i="97"/>
  <c r="G137" i="97" s="1"/>
  <c r="E13" i="23"/>
  <c r="E13" i="20"/>
  <c r="E13" i="22"/>
  <c r="E13" i="21"/>
  <c r="E13" i="5"/>
  <c r="J51" i="5" s="1"/>
  <c r="G20" i="47"/>
  <c r="I276" i="47" s="1"/>
  <c r="J276" i="47" s="1"/>
  <c r="K276" i="47" s="1"/>
  <c r="G14" i="47"/>
  <c r="H173" i="47" s="1"/>
  <c r="D136" i="97"/>
  <c r="G136" i="97" s="1"/>
  <c r="N52" i="26"/>
  <c r="E12" i="23"/>
  <c r="E12" i="20"/>
  <c r="E12" i="22"/>
  <c r="E12" i="21"/>
  <c r="E12" i="5"/>
  <c r="J50" i="5" s="1"/>
  <c r="D133" i="97"/>
  <c r="G133" i="97" s="1"/>
  <c r="G9" i="47"/>
  <c r="J170" i="47" s="1"/>
  <c r="L53" i="26"/>
  <c r="E12" i="24"/>
  <c r="J46" i="24" s="1"/>
  <c r="E11" i="23"/>
  <c r="E11" i="20"/>
  <c r="E11" i="22"/>
  <c r="E11" i="21"/>
  <c r="E11" i="5"/>
  <c r="H51" i="5" s="1"/>
  <c r="L51" i="5" l="1"/>
  <c r="N50" i="5"/>
  <c r="H51" i="20"/>
  <c r="J50" i="20"/>
  <c r="H73" i="21"/>
  <c r="J85" i="21"/>
  <c r="L50" i="5"/>
  <c r="H70" i="21"/>
  <c r="H84" i="21"/>
  <c r="H70" i="23"/>
  <c r="H84" i="23"/>
  <c r="H85" i="21"/>
  <c r="H71" i="21"/>
  <c r="J51" i="20"/>
  <c r="H70" i="22"/>
  <c r="H84" i="22"/>
  <c r="L170" i="47"/>
  <c r="H85" i="22"/>
  <c r="H71" i="22"/>
  <c r="H71" i="23"/>
  <c r="H85" i="23"/>
  <c r="H72" i="21"/>
  <c r="J84" i="21"/>
  <c r="H72" i="23"/>
  <c r="J84" i="23"/>
  <c r="L173" i="47"/>
  <c r="N173" i="47"/>
  <c r="H50" i="20"/>
  <c r="L46" i="24"/>
  <c r="H72" i="22"/>
  <c r="J84" i="22"/>
  <c r="H73" i="22"/>
  <c r="J85" i="22"/>
  <c r="H73" i="23"/>
  <c r="J85" i="23"/>
  <c r="N84" i="21" l="1"/>
  <c r="L50" i="20"/>
  <c r="L85" i="21"/>
  <c r="L84" i="21"/>
  <c r="N84" i="23"/>
  <c r="L51" i="20"/>
  <c r="I193" i="47"/>
  <c r="H176" i="47"/>
  <c r="K185" i="47" s="1"/>
  <c r="N84" i="22"/>
  <c r="G52" i="24"/>
  <c r="K58" i="24" s="1"/>
  <c r="I196" i="47"/>
  <c r="J179" i="47"/>
  <c r="K188" i="47" s="1"/>
  <c r="L85" i="22"/>
  <c r="L84" i="23"/>
  <c r="N50" i="20"/>
  <c r="H179" i="47"/>
  <c r="K187" i="47" s="1"/>
  <c r="I195" i="47"/>
  <c r="L85" i="23"/>
  <c r="L84" i="22"/>
  <c r="I197" i="47" l="1"/>
  <c r="I199" i="47" s="1"/>
  <c r="D77" i="6" l="1"/>
  <c r="D47" i="6"/>
  <c r="D110" i="6"/>
  <c r="D17" i="6"/>
  <c r="D140" i="6"/>
  <c r="G14" i="32" l="1"/>
  <c r="H105" i="32" s="1"/>
  <c r="L105" i="32" s="1"/>
  <c r="D32" i="97"/>
  <c r="G32" i="97" s="1"/>
  <c r="D125" i="97"/>
  <c r="G125" i="97" s="1"/>
  <c r="G14" i="37"/>
  <c r="H105" i="37" s="1"/>
  <c r="L105" i="37" s="1"/>
  <c r="D63" i="97"/>
  <c r="G63" i="97" s="1"/>
  <c r="G14" i="34"/>
  <c r="H105" i="34" s="1"/>
  <c r="L105" i="34" s="1"/>
  <c r="D164" i="97"/>
  <c r="G164" i="97" s="1"/>
  <c r="G14" i="36"/>
  <c r="H118" i="36" s="1"/>
  <c r="L118" i="36" s="1"/>
  <c r="G14" i="35"/>
  <c r="H118" i="35" s="1"/>
  <c r="L118" i="35" s="1"/>
  <c r="D94" i="97"/>
  <c r="G94" i="97" s="1"/>
  <c r="B89" i="49" l="1"/>
  <c r="L9" i="91" l="1"/>
  <c r="L38" i="91" s="1"/>
  <c r="L9" i="2"/>
  <c r="E23" i="56"/>
  <c r="L9" i="40"/>
  <c r="G21" i="95"/>
  <c r="L9" i="47"/>
  <c r="L9" i="17"/>
  <c r="L38" i="17" s="1"/>
  <c r="L9" i="48"/>
  <c r="L9" i="21"/>
  <c r="H61" i="21" s="1"/>
  <c r="L9" i="34"/>
  <c r="E23" i="96"/>
  <c r="L9" i="5"/>
  <c r="L9" i="3"/>
  <c r="L9" i="37"/>
  <c r="L9" i="35"/>
  <c r="L9" i="20"/>
  <c r="O114" i="20" s="1"/>
  <c r="Q114" i="20" s="1"/>
  <c r="E89" i="29" s="1"/>
  <c r="E23" i="8"/>
  <c r="G21" i="9"/>
  <c r="L9" i="16"/>
  <c r="L38" i="16" s="1"/>
  <c r="L9" i="89"/>
  <c r="L38" i="89" s="1"/>
  <c r="L9" i="15"/>
  <c r="L38" i="15" s="1"/>
  <c r="L9" i="88"/>
  <c r="L38" i="88" s="1"/>
  <c r="L9" i="4"/>
  <c r="E23" i="7"/>
  <c r="L9" i="41"/>
  <c r="G21" i="19"/>
  <c r="L9" i="22"/>
  <c r="L9" i="38"/>
  <c r="B23" i="49"/>
  <c r="L9" i="32"/>
  <c r="L9" i="90"/>
  <c r="L38" i="90" s="1"/>
  <c r="L9" i="12"/>
  <c r="L38" i="12" s="1"/>
  <c r="L9" i="26"/>
  <c r="G21" i="45"/>
  <c r="K9" i="54"/>
  <c r="K9" i="53"/>
  <c r="E23" i="57"/>
  <c r="L9" i="23"/>
  <c r="G21" i="94"/>
  <c r="L9" i="36"/>
  <c r="L9" i="1"/>
  <c r="F89" i="49"/>
  <c r="D89" i="49"/>
  <c r="G89" i="49"/>
  <c r="H89" i="49"/>
  <c r="C89" i="49"/>
  <c r="E89" i="49"/>
  <c r="G22" i="9"/>
  <c r="K146" i="9" s="1"/>
  <c r="L10" i="32"/>
  <c r="L10" i="17"/>
  <c r="O194" i="17" s="1"/>
  <c r="L10" i="48"/>
  <c r="L10" i="40"/>
  <c r="L10" i="89"/>
  <c r="O194" i="89" s="1"/>
  <c r="L10" i="34"/>
  <c r="L10" i="4"/>
  <c r="O224" i="4" s="1"/>
  <c r="L10" i="3"/>
  <c r="O224" i="3" s="1"/>
  <c r="L10" i="90"/>
  <c r="O194" i="90" s="1"/>
  <c r="L10" i="5"/>
  <c r="O97" i="5" s="1"/>
  <c r="L10" i="23"/>
  <c r="E24" i="57"/>
  <c r="B159" i="57" s="1"/>
  <c r="L10" i="47"/>
  <c r="E24" i="56"/>
  <c r="B159" i="56" s="1"/>
  <c r="L10" i="20"/>
  <c r="O97" i="20" s="1"/>
  <c r="L10" i="41"/>
  <c r="L10" i="37"/>
  <c r="L10" i="21"/>
  <c r="E24" i="96"/>
  <c r="B159" i="96" s="1"/>
  <c r="G22" i="45"/>
  <c r="L10" i="16"/>
  <c r="O194" i="16" s="1"/>
  <c r="L10" i="36"/>
  <c r="G22" i="94"/>
  <c r="K146" i="94" s="1"/>
  <c r="L10" i="26"/>
  <c r="O91" i="26" s="1"/>
  <c r="L10" i="88"/>
  <c r="O194" i="88" s="1"/>
  <c r="G22" i="19"/>
  <c r="K146" i="19" s="1"/>
  <c r="E24" i="8"/>
  <c r="B159" i="8" s="1"/>
  <c r="L10" i="22"/>
  <c r="G22" i="95"/>
  <c r="K146" i="95" s="1"/>
  <c r="L10" i="38"/>
  <c r="L10" i="15"/>
  <c r="O194" i="15" s="1"/>
  <c r="L10" i="91"/>
  <c r="O194" i="91" s="1"/>
  <c r="L10" i="35"/>
  <c r="L10" i="12"/>
  <c r="O194" i="12" s="1"/>
  <c r="L10" i="2"/>
  <c r="O224" i="2" s="1"/>
  <c r="E24" i="7"/>
  <c r="B159" i="7" s="1"/>
  <c r="B22" i="49"/>
  <c r="L10" i="1"/>
  <c r="O224" i="1" s="1"/>
  <c r="L11" i="88"/>
  <c r="O212" i="88" s="1"/>
  <c r="L11" i="37"/>
  <c r="L11" i="3"/>
  <c r="O242" i="3" s="1"/>
  <c r="G23" i="94"/>
  <c r="K161" i="94" s="1"/>
  <c r="L11" i="1"/>
  <c r="O242" i="1" s="1"/>
  <c r="L11" i="4"/>
  <c r="O242" i="4" s="1"/>
  <c r="G23" i="95"/>
  <c r="K161" i="95" s="1"/>
  <c r="E25" i="7"/>
  <c r="C159" i="7" s="1"/>
  <c r="L11" i="16"/>
  <c r="O212" i="16" s="1"/>
  <c r="L11" i="41"/>
  <c r="E25" i="56"/>
  <c r="C159" i="56" s="1"/>
  <c r="L11" i="20"/>
  <c r="O105" i="20" s="1"/>
  <c r="L11" i="90"/>
  <c r="O212" i="90" s="1"/>
  <c r="L11" i="12"/>
  <c r="O212" i="12" s="1"/>
  <c r="G23" i="19"/>
  <c r="K161" i="19" s="1"/>
  <c r="L11" i="40"/>
  <c r="L11" i="21"/>
  <c r="L11" i="34"/>
  <c r="L11" i="91"/>
  <c r="O212" i="91" s="1"/>
  <c r="L11" i="15"/>
  <c r="O212" i="15" s="1"/>
  <c r="L11" i="23"/>
  <c r="L11" i="36"/>
  <c r="G23" i="45"/>
  <c r="E25" i="96"/>
  <c r="C159" i="96" s="1"/>
  <c r="L11" i="2"/>
  <c r="O242" i="2" s="1"/>
  <c r="L11" i="26"/>
  <c r="O99" i="26" s="1"/>
  <c r="E25" i="57"/>
  <c r="C159" i="57" s="1"/>
  <c r="L11" i="5"/>
  <c r="O105" i="5" s="1"/>
  <c r="L11" i="89"/>
  <c r="O212" i="89" s="1"/>
  <c r="G23" i="9"/>
  <c r="K161" i="9" s="1"/>
  <c r="L11" i="35"/>
  <c r="L11" i="32"/>
  <c r="L11" i="17"/>
  <c r="O212" i="17" s="1"/>
  <c r="E25" i="8"/>
  <c r="C159" i="8" s="1"/>
  <c r="L11" i="47"/>
  <c r="L11" i="38"/>
  <c r="B21" i="49"/>
  <c r="L11" i="48"/>
  <c r="L11" i="22"/>
  <c r="O258" i="38" l="1"/>
  <c r="L204" i="38"/>
  <c r="L271" i="38"/>
  <c r="O191" i="38"/>
  <c r="O166" i="32"/>
  <c r="L179" i="32"/>
  <c r="L159" i="96"/>
  <c r="L163" i="96"/>
  <c r="C163" i="96"/>
  <c r="O263" i="40"/>
  <c r="O191" i="40"/>
  <c r="L276" i="40"/>
  <c r="L204" i="40"/>
  <c r="L159" i="7"/>
  <c r="L163" i="7"/>
  <c r="C165" i="7"/>
  <c r="C164" i="7"/>
  <c r="C163" i="7"/>
  <c r="K159" i="7"/>
  <c r="B165" i="7"/>
  <c r="B163" i="7"/>
  <c r="K163" i="7"/>
  <c r="B164" i="7"/>
  <c r="L174" i="22"/>
  <c r="L133" i="22"/>
  <c r="L197" i="41"/>
  <c r="O248" i="41"/>
  <c r="O181" i="41"/>
  <c r="L264" i="41"/>
  <c r="K159" i="57"/>
  <c r="K163" i="57"/>
  <c r="B165" i="57"/>
  <c r="B163" i="57"/>
  <c r="B164" i="57"/>
  <c r="L269" i="40"/>
  <c r="O181" i="40"/>
  <c r="L197" i="40"/>
  <c r="O253" i="40"/>
  <c r="M25" i="1"/>
  <c r="I66" i="1" s="1"/>
  <c r="M20" i="1"/>
  <c r="I64" i="1" s="1"/>
  <c r="M24" i="1"/>
  <c r="I65" i="1" s="1"/>
  <c r="F23" i="49"/>
  <c r="D23" i="49"/>
  <c r="E23" i="49"/>
  <c r="B57" i="49"/>
  <c r="G23" i="49"/>
  <c r="H23" i="49"/>
  <c r="C23" i="49"/>
  <c r="H46" i="41"/>
  <c r="M18" i="3"/>
  <c r="I64" i="3" s="1"/>
  <c r="M22" i="3"/>
  <c r="I65" i="3" s="1"/>
  <c r="M23" i="3"/>
  <c r="I66" i="3" s="1"/>
  <c r="L182" i="22"/>
  <c r="L141" i="22"/>
  <c r="L192" i="35"/>
  <c r="O179" i="35"/>
  <c r="L163" i="57"/>
  <c r="L159" i="57"/>
  <c r="C165" i="57"/>
  <c r="C164" i="57"/>
  <c r="C163" i="57"/>
  <c r="L159" i="56"/>
  <c r="L163" i="56"/>
  <c r="C164" i="56"/>
  <c r="C165" i="56"/>
  <c r="C163" i="56"/>
  <c r="K159" i="8"/>
  <c r="B164" i="8"/>
  <c r="K163" i="8"/>
  <c r="B165" i="8"/>
  <c r="B163" i="8"/>
  <c r="K159" i="96"/>
  <c r="L133" i="23"/>
  <c r="L171" i="23"/>
  <c r="L185" i="48"/>
  <c r="O169" i="48"/>
  <c r="I45" i="53"/>
  <c r="I49" i="53" s="1"/>
  <c r="I37" i="53"/>
  <c r="I41" i="53" s="1"/>
  <c r="H46" i="38"/>
  <c r="H46" i="40"/>
  <c r="O179" i="48"/>
  <c r="L192" i="48"/>
  <c r="L163" i="8"/>
  <c r="L159" i="8"/>
  <c r="C165" i="8"/>
  <c r="C163" i="8"/>
  <c r="C164" i="8"/>
  <c r="O179" i="36"/>
  <c r="L192" i="36"/>
  <c r="O166" i="34"/>
  <c r="L179" i="34"/>
  <c r="L271" i="41"/>
  <c r="O258" i="41"/>
  <c r="O191" i="41"/>
  <c r="L204" i="41"/>
  <c r="L179" i="37"/>
  <c r="O166" i="37"/>
  <c r="L264" i="38"/>
  <c r="O248" i="38"/>
  <c r="O181" i="38"/>
  <c r="L197" i="38"/>
  <c r="L185" i="36"/>
  <c r="O169" i="36"/>
  <c r="L133" i="21"/>
  <c r="L181" i="21"/>
  <c r="K159" i="56"/>
  <c r="B163" i="56"/>
  <c r="B165" i="56"/>
  <c r="B164" i="56"/>
  <c r="K163" i="56"/>
  <c r="O156" i="34"/>
  <c r="L172" i="34"/>
  <c r="C101" i="49"/>
  <c r="C102" i="49" s="1"/>
  <c r="I51" i="22"/>
  <c r="H61" i="22"/>
  <c r="M18" i="4"/>
  <c r="I64" i="4" s="1"/>
  <c r="M23" i="4"/>
  <c r="I66" i="4" s="1"/>
  <c r="M22" i="4"/>
  <c r="I65" i="4" s="1"/>
  <c r="D21" i="49"/>
  <c r="E21" i="49"/>
  <c r="B55" i="49"/>
  <c r="F21" i="49"/>
  <c r="G21" i="49"/>
  <c r="H21" i="49"/>
  <c r="C21" i="49"/>
  <c r="L141" i="23"/>
  <c r="L179" i="23"/>
  <c r="L141" i="21"/>
  <c r="L189" i="21"/>
  <c r="E22" i="49"/>
  <c r="B56" i="49"/>
  <c r="G22" i="49"/>
  <c r="H22" i="49"/>
  <c r="C22" i="49"/>
  <c r="D22" i="49"/>
  <c r="F22" i="49"/>
  <c r="L185" i="35"/>
  <c r="O169" i="35"/>
  <c r="O156" i="37"/>
  <c r="L172" i="37"/>
  <c r="L172" i="32"/>
  <c r="O156" i="32"/>
  <c r="H101" i="49"/>
  <c r="H102" i="49" s="1"/>
  <c r="H61" i="23"/>
  <c r="K161" i="45"/>
  <c r="K146" i="45"/>
  <c r="M256" i="47"/>
  <c r="M22" i="47"/>
  <c r="M23" i="47"/>
  <c r="M18" i="47"/>
  <c r="M254" i="47"/>
  <c r="O242" i="47"/>
  <c r="O224" i="47"/>
  <c r="M20" i="47"/>
  <c r="L57" i="47" s="1"/>
  <c r="M18" i="2"/>
  <c r="I64" i="2" s="1"/>
  <c r="M22" i="2"/>
  <c r="I65" i="2" s="1"/>
  <c r="M23" i="2"/>
  <c r="I66" i="2" s="1"/>
  <c r="E165" i="7" l="1"/>
  <c r="E165" i="56"/>
  <c r="E164" i="56"/>
  <c r="E164" i="7"/>
  <c r="N163" i="7"/>
  <c r="L70" i="47"/>
  <c r="F55" i="49"/>
  <c r="C55" i="49"/>
  <c r="D55" i="49"/>
  <c r="G55" i="49"/>
  <c r="H55" i="49"/>
  <c r="E55" i="49"/>
  <c r="B166" i="56"/>
  <c r="E163" i="56"/>
  <c r="E164" i="8"/>
  <c r="C166" i="56"/>
  <c r="C166" i="57"/>
  <c r="E163" i="57"/>
  <c r="B166" i="57"/>
  <c r="E163" i="7"/>
  <c r="B166" i="7"/>
  <c r="C166" i="7"/>
  <c r="C56" i="49"/>
  <c r="H56" i="49"/>
  <c r="D56" i="49"/>
  <c r="G56" i="49"/>
  <c r="E56" i="49"/>
  <c r="F56" i="49"/>
  <c r="N163" i="56"/>
  <c r="E163" i="8"/>
  <c r="B166" i="8"/>
  <c r="E165" i="57"/>
  <c r="K41" i="53"/>
  <c r="L41" i="53"/>
  <c r="L42" i="53" s="1"/>
  <c r="I42" i="53"/>
  <c r="D37" i="51" s="1"/>
  <c r="E165" i="8"/>
  <c r="F57" i="49"/>
  <c r="C57" i="49"/>
  <c r="H57" i="49"/>
  <c r="G57" i="49"/>
  <c r="D57" i="49"/>
  <c r="E57" i="49"/>
  <c r="N163" i="57"/>
  <c r="C166" i="8"/>
  <c r="K49" i="53"/>
  <c r="L49" i="53"/>
  <c r="N163" i="8"/>
  <c r="E164" i="57"/>
  <c r="E166" i="7" l="1"/>
  <c r="E166" i="56"/>
  <c r="M49" i="53"/>
  <c r="M41" i="53"/>
  <c r="M42" i="53" s="1"/>
  <c r="K42" i="53"/>
  <c r="E166" i="8"/>
  <c r="E166" i="57"/>
  <c r="E7" i="57" l="1"/>
  <c r="C40" i="57" s="1"/>
  <c r="E22" i="10"/>
  <c r="F22" i="10" l="1"/>
  <c r="G22" i="10"/>
  <c r="E40" i="57"/>
  <c r="G40" i="57"/>
  <c r="D156" i="27" l="1"/>
  <c r="G51" i="57"/>
  <c r="E7" i="8" l="1"/>
  <c r="C40" i="8" s="1"/>
  <c r="E27" i="10"/>
  <c r="E7" i="7"/>
  <c r="C40" i="7" s="1"/>
  <c r="E17" i="10"/>
  <c r="G6" i="94"/>
  <c r="F44" i="94" s="1"/>
  <c r="E15" i="10"/>
  <c r="E20" i="10"/>
  <c r="G6" i="95"/>
  <c r="F44" i="95" s="1"/>
  <c r="G6" i="9"/>
  <c r="F44" i="9" s="1"/>
  <c r="E10" i="10"/>
  <c r="E32" i="10"/>
  <c r="E7" i="56"/>
  <c r="C40" i="56" s="1"/>
  <c r="E12" i="10"/>
  <c r="E40" i="56" l="1"/>
  <c r="G40" i="56"/>
  <c r="F10" i="10"/>
  <c r="G10" i="10"/>
  <c r="G44" i="95"/>
  <c r="H44" i="95"/>
  <c r="F17" i="10"/>
  <c r="G17" i="10"/>
  <c r="F32" i="10"/>
  <c r="G32" i="10"/>
  <c r="G44" i="9"/>
  <c r="H44" i="9"/>
  <c r="F20" i="10"/>
  <c r="G20" i="10"/>
  <c r="E40" i="7"/>
  <c r="G40" i="7"/>
  <c r="F15" i="10"/>
  <c r="G15" i="10"/>
  <c r="F27" i="10"/>
  <c r="G27" i="10"/>
  <c r="F12" i="10"/>
  <c r="G12" i="10"/>
  <c r="G44" i="94"/>
  <c r="H44" i="94"/>
  <c r="E40" i="8"/>
  <c r="G40" i="8"/>
  <c r="J55" i="94" l="1"/>
  <c r="D182" i="27"/>
  <c r="J56" i="94"/>
  <c r="G51" i="8"/>
  <c r="D43" i="27"/>
  <c r="G51" i="56"/>
  <c r="D132" i="27"/>
  <c r="J56" i="95"/>
  <c r="J55" i="95"/>
  <c r="D206" i="27"/>
  <c r="G51" i="7"/>
  <c r="D19" i="27"/>
  <c r="J56" i="9"/>
  <c r="J55" i="9"/>
  <c r="D69" i="27"/>
  <c r="G3" i="38" l="1"/>
  <c r="B1" i="38" s="1"/>
  <c r="G3" i="3"/>
  <c r="B1" i="3" s="1"/>
  <c r="G3" i="40"/>
  <c r="B1" i="40" s="1"/>
  <c r="E3" i="23"/>
  <c r="B1" i="23" s="1"/>
  <c r="E3" i="53"/>
  <c r="B1" i="53" s="1"/>
  <c r="E3" i="5"/>
  <c r="G3" i="36"/>
  <c r="B1" i="36" s="1"/>
  <c r="G3" i="48"/>
  <c r="B1" i="48" s="1"/>
  <c r="E3" i="55"/>
  <c r="B1" i="55" s="1"/>
  <c r="E3" i="52"/>
  <c r="B1" i="52" s="1"/>
  <c r="G3" i="34"/>
  <c r="B1" i="34" s="1"/>
  <c r="E3" i="54"/>
  <c r="B1" i="54" s="1"/>
  <c r="E3" i="26"/>
  <c r="B1" i="26" s="1"/>
  <c r="G3" i="1"/>
  <c r="E3" i="20"/>
  <c r="B1" i="20" s="1"/>
  <c r="G3" i="35"/>
  <c r="B1" i="35" s="1"/>
  <c r="G3" i="2"/>
  <c r="B1" i="2" s="1"/>
  <c r="G3" i="47"/>
  <c r="B1" i="47" s="1"/>
  <c r="E3" i="21"/>
  <c r="B1" i="21" s="1"/>
  <c r="E3" i="24"/>
  <c r="B1" i="24" s="1"/>
  <c r="G3" i="41"/>
  <c r="B1" i="41" s="1"/>
  <c r="G3" i="32"/>
  <c r="G3" i="37"/>
  <c r="B1" i="37" s="1"/>
  <c r="E3" i="22"/>
  <c r="B1" i="22" s="1"/>
  <c r="G3" i="4"/>
  <c r="B1" i="4" s="1"/>
  <c r="C2" i="29" l="1"/>
  <c r="B1" i="5"/>
  <c r="C2" i="6"/>
  <c r="B1" i="32"/>
  <c r="C2" i="50"/>
  <c r="C2" i="51"/>
  <c r="C2" i="87"/>
  <c r="B1" i="1"/>
  <c r="C2" i="28"/>
  <c r="Q17" i="19" l="1"/>
  <c r="Q20" i="19" s="1"/>
  <c r="Q22" i="19"/>
  <c r="Q25" i="19" s="1"/>
  <c r="AE12" i="41" l="1"/>
  <c r="AF12" i="41" l="1"/>
  <c r="AI12" i="41"/>
  <c r="AH12" i="41"/>
  <c r="AG12" i="41" l="1"/>
  <c r="AE12" i="38"/>
  <c r="AE7" i="38"/>
  <c r="AE7" i="41"/>
  <c r="AE17" i="38" l="1"/>
  <c r="AE17" i="41"/>
  <c r="AF7" i="40"/>
  <c r="AF12" i="38"/>
  <c r="AG12" i="38" s="1"/>
  <c r="AJ12" i="38" s="1"/>
  <c r="AH12" i="38"/>
  <c r="AI12" i="38"/>
  <c r="AF12" i="40"/>
  <c r="AF17" i="40" l="1"/>
  <c r="AJ12" i="40"/>
  <c r="AI12" i="40"/>
  <c r="AG12" i="40"/>
  <c r="AH12" i="40" l="1"/>
  <c r="AK12" i="40" s="1"/>
  <c r="AC7" i="22"/>
  <c r="AC12" i="22"/>
  <c r="AE11" i="41" l="1"/>
  <c r="T12" i="23"/>
  <c r="T7" i="23"/>
  <c r="T12" i="21" l="1"/>
  <c r="T12" i="22"/>
  <c r="T7" i="21"/>
  <c r="T7" i="22"/>
  <c r="AH11" i="41"/>
  <c r="AF11" i="41"/>
  <c r="AE13" i="41"/>
  <c r="AI11" i="41"/>
  <c r="AG11" i="41" l="1"/>
  <c r="AE12" i="22"/>
  <c r="I187" i="22" s="1"/>
  <c r="AE6" i="22"/>
  <c r="AE11" i="22"/>
  <c r="AE7" i="22"/>
  <c r="I179" i="22" s="1"/>
  <c r="AE9" i="22" l="1"/>
  <c r="I178" i="22"/>
  <c r="I186" i="22"/>
  <c r="AE14" i="22"/>
  <c r="X7" i="35" l="1"/>
  <c r="AB7" i="35" l="1"/>
  <c r="M36" i="35" s="1"/>
  <c r="Y7" i="35"/>
  <c r="X9" i="35"/>
  <c r="AA7" i="35"/>
  <c r="M35" i="35" s="1"/>
  <c r="V12" i="23"/>
  <c r="AC6" i="22"/>
  <c r="AC9" i="22" s="1"/>
  <c r="T11" i="24"/>
  <c r="T14" i="24" s="1"/>
  <c r="I95" i="24" s="1"/>
  <c r="J95" i="24" s="1"/>
  <c r="T11" i="23"/>
  <c r="T14" i="23" s="1"/>
  <c r="I182" i="23" s="1"/>
  <c r="T6" i="23"/>
  <c r="T9" i="23" s="1"/>
  <c r="I174" i="23" s="1"/>
  <c r="V6" i="23"/>
  <c r="Q22" i="9"/>
  <c r="Q25" i="9" s="1"/>
  <c r="Q17" i="9"/>
  <c r="Q20" i="9" s="1"/>
  <c r="T6" i="24"/>
  <c r="T9" i="24" s="1"/>
  <c r="I88" i="24" s="1"/>
  <c r="J88" i="24" s="1"/>
  <c r="V7" i="23"/>
  <c r="V11" i="24"/>
  <c r="V11" i="23"/>
  <c r="AC11" i="22"/>
  <c r="AC14" i="22" s="1"/>
  <c r="I185" i="22" s="1"/>
  <c r="J185" i="22" s="1"/>
  <c r="V6" i="24"/>
  <c r="Z7" i="35" l="1"/>
  <c r="M33" i="35" s="1"/>
  <c r="I59" i="24"/>
  <c r="I65" i="24" s="1"/>
  <c r="K65" i="24" s="1"/>
  <c r="V14" i="24"/>
  <c r="I96" i="24" s="1"/>
  <c r="I175" i="23"/>
  <c r="V9" i="23"/>
  <c r="J174" i="23"/>
  <c r="V6" i="21"/>
  <c r="V6" i="22"/>
  <c r="V11" i="21"/>
  <c r="V11" i="22"/>
  <c r="F15" i="49"/>
  <c r="M18" i="20"/>
  <c r="J96" i="20" s="1"/>
  <c r="V11" i="17"/>
  <c r="V11" i="91"/>
  <c r="Q12" i="19"/>
  <c r="Q15" i="19" s="1"/>
  <c r="V11" i="4"/>
  <c r="I176" i="23"/>
  <c r="L88" i="24"/>
  <c r="L90" i="24" s="1"/>
  <c r="I177" i="22"/>
  <c r="J177" i="22" s="1"/>
  <c r="L30" i="22"/>
  <c r="I184" i="23"/>
  <c r="V21" i="3"/>
  <c r="V21" i="90"/>
  <c r="V21" i="16"/>
  <c r="T6" i="21"/>
  <c r="T9" i="21" s="1"/>
  <c r="I184" i="21" s="1"/>
  <c r="J184" i="21" s="1"/>
  <c r="T6" i="22"/>
  <c r="T9" i="22" s="1"/>
  <c r="L185" i="22"/>
  <c r="L188" i="22" s="1"/>
  <c r="Q17" i="95"/>
  <c r="Q20" i="95" s="1"/>
  <c r="Q17" i="94"/>
  <c r="Q20" i="94" s="1"/>
  <c r="M19" i="20"/>
  <c r="J97" i="20" s="1"/>
  <c r="G15" i="49"/>
  <c r="V11" i="2"/>
  <c r="V11" i="89"/>
  <c r="Q12" i="94"/>
  <c r="Q15" i="94" s="1"/>
  <c r="Q12" i="95"/>
  <c r="Q15" i="95" s="1"/>
  <c r="V11" i="12"/>
  <c r="V16" i="3"/>
  <c r="V16" i="16"/>
  <c r="V16" i="90"/>
  <c r="V11" i="88"/>
  <c r="Q12" i="9"/>
  <c r="Q15" i="9" s="1"/>
  <c r="V11" i="15"/>
  <c r="V11" i="1"/>
  <c r="J182" i="23"/>
  <c r="I183" i="23"/>
  <c r="V14" i="23"/>
  <c r="V12" i="22"/>
  <c r="V12" i="21"/>
  <c r="I194" i="21" s="1"/>
  <c r="V6" i="15"/>
  <c r="V6" i="88"/>
  <c r="Q7" i="9"/>
  <c r="Q10" i="9" s="1"/>
  <c r="V6" i="1"/>
  <c r="V9" i="24"/>
  <c r="I89" i="24" s="1"/>
  <c r="I58" i="24"/>
  <c r="V6" i="91"/>
  <c r="V6" i="4"/>
  <c r="Q7" i="19"/>
  <c r="Q10" i="19" s="1"/>
  <c r="V6" i="17"/>
  <c r="V7" i="21"/>
  <c r="I186" i="21" s="1"/>
  <c r="V7" i="22"/>
  <c r="M32" i="35"/>
  <c r="H164" i="35"/>
  <c r="L95" i="24"/>
  <c r="L97" i="24" s="1"/>
  <c r="L18" i="20"/>
  <c r="F16" i="49"/>
  <c r="F61" i="49" s="1"/>
  <c r="F66" i="49" s="1"/>
  <c r="F71" i="49" s="1"/>
  <c r="V6" i="89"/>
  <c r="Q7" i="95"/>
  <c r="Q10" i="95" s="1"/>
  <c r="V6" i="2"/>
  <c r="V6" i="12"/>
  <c r="Q7" i="94"/>
  <c r="Q10" i="94" s="1"/>
  <c r="T11" i="22"/>
  <c r="T14" i="22" s="1"/>
  <c r="T11" i="21"/>
  <c r="T14" i="21" s="1"/>
  <c r="I192" i="21" s="1"/>
  <c r="J192" i="21" s="1"/>
  <c r="L19" i="20"/>
  <c r="G16" i="49"/>
  <c r="G61" i="49" s="1"/>
  <c r="G66" i="49" s="1"/>
  <c r="G71" i="49" s="1"/>
  <c r="Q22" i="95"/>
  <c r="Q25" i="95" s="1"/>
  <c r="Q22" i="94"/>
  <c r="Q25" i="94" s="1"/>
  <c r="B18" i="49"/>
  <c r="K18" i="49" s="1"/>
  <c r="C16" i="49"/>
  <c r="C61" i="49" s="1"/>
  <c r="C66" i="49" s="1"/>
  <c r="C71" i="49" s="1"/>
  <c r="I16" i="49"/>
  <c r="I61" i="49" s="1"/>
  <c r="I66" i="49" s="1"/>
  <c r="I71" i="49" s="1"/>
  <c r="T7" i="26"/>
  <c r="N96" i="26" s="1"/>
  <c r="T6" i="26"/>
  <c r="P18" i="95"/>
  <c r="P19" i="95"/>
  <c r="F151" i="95" s="1"/>
  <c r="P17" i="95"/>
  <c r="V6" i="26"/>
  <c r="V7" i="26"/>
  <c r="H16" i="49"/>
  <c r="H61" i="49" s="1"/>
  <c r="H66" i="49" s="1"/>
  <c r="H71" i="49" s="1"/>
  <c r="H15" i="49"/>
  <c r="I15" i="49"/>
  <c r="X7" i="36"/>
  <c r="B17" i="49"/>
  <c r="K17" i="49" s="1"/>
  <c r="C15" i="49"/>
  <c r="D15" i="49"/>
  <c r="P24" i="95"/>
  <c r="F166" i="95" s="1"/>
  <c r="P23" i="95"/>
  <c r="P22" i="95"/>
  <c r="V12" i="26"/>
  <c r="V11" i="26"/>
  <c r="AE6" i="41"/>
  <c r="T11" i="26"/>
  <c r="T12" i="26"/>
  <c r="N104" i="26" s="1"/>
  <c r="D16" i="49"/>
  <c r="D61" i="49" s="1"/>
  <c r="D66" i="49" s="1"/>
  <c r="D71" i="49" s="1"/>
  <c r="H174" i="35" l="1"/>
  <c r="N95" i="24"/>
  <c r="V9" i="22"/>
  <c r="I226" i="17"/>
  <c r="I156" i="17"/>
  <c r="V9" i="17"/>
  <c r="I164" i="17"/>
  <c r="AE16" i="41"/>
  <c r="C19" i="49"/>
  <c r="C60" i="49"/>
  <c r="V9" i="26"/>
  <c r="I95" i="26"/>
  <c r="I226" i="15"/>
  <c r="V9" i="15"/>
  <c r="I156" i="15"/>
  <c r="I164" i="15" s="1"/>
  <c r="I228" i="16"/>
  <c r="I158" i="16"/>
  <c r="I166" i="16"/>
  <c r="V19" i="16"/>
  <c r="L29" i="22"/>
  <c r="V14" i="22"/>
  <c r="I166" i="90"/>
  <c r="I228" i="90"/>
  <c r="V19" i="90"/>
  <c r="I158" i="90"/>
  <c r="U16" i="90"/>
  <c r="U16" i="3"/>
  <c r="U16" i="16"/>
  <c r="T22" i="90"/>
  <c r="G216" i="90" s="1"/>
  <c r="T22" i="3"/>
  <c r="G246" i="3" s="1"/>
  <c r="O23" i="95"/>
  <c r="E165" i="95" s="1"/>
  <c r="T22" i="16"/>
  <c r="G216" i="16" s="1"/>
  <c r="I261" i="4"/>
  <c r="V9" i="4"/>
  <c r="I185" i="4"/>
  <c r="I263" i="3"/>
  <c r="I187" i="3"/>
  <c r="V19" i="3"/>
  <c r="G19" i="49"/>
  <c r="G60" i="49"/>
  <c r="L184" i="21"/>
  <c r="L187" i="21" s="1"/>
  <c r="N30" i="22"/>
  <c r="V14" i="4"/>
  <c r="I186" i="4"/>
  <c r="I194" i="4" s="1"/>
  <c r="I265" i="4"/>
  <c r="V14" i="21"/>
  <c r="I193" i="21"/>
  <c r="N18" i="20"/>
  <c r="I96" i="20"/>
  <c r="G105" i="95"/>
  <c r="G112" i="95" s="1"/>
  <c r="F165" i="95"/>
  <c r="O18" i="95"/>
  <c r="E150" i="95" s="1"/>
  <c r="T17" i="16"/>
  <c r="G198" i="16" s="1"/>
  <c r="T17" i="90"/>
  <c r="G198" i="90" s="1"/>
  <c r="T17" i="3"/>
  <c r="G228" i="3" s="1"/>
  <c r="U21" i="16"/>
  <c r="U21" i="3"/>
  <c r="U21" i="90"/>
  <c r="V9" i="12"/>
  <c r="I156" i="12"/>
  <c r="I164" i="12" s="1"/>
  <c r="I226" i="12"/>
  <c r="V9" i="91"/>
  <c r="I156" i="91"/>
  <c r="I164" i="91"/>
  <c r="I226" i="91"/>
  <c r="L182" i="23"/>
  <c r="L185" i="23" s="1"/>
  <c r="I230" i="12"/>
  <c r="I157" i="12"/>
  <c r="I165" i="12" s="1"/>
  <c r="V14" i="12"/>
  <c r="I167" i="16"/>
  <c r="I232" i="16"/>
  <c r="I159" i="16"/>
  <c r="V24" i="16"/>
  <c r="L177" i="22"/>
  <c r="L180" i="22" s="1"/>
  <c r="L190" i="22" s="1"/>
  <c r="W6" i="22"/>
  <c r="W7" i="22"/>
  <c r="L192" i="21"/>
  <c r="L195" i="21" s="1"/>
  <c r="F164" i="95"/>
  <c r="F167" i="95" s="1"/>
  <c r="P25" i="95"/>
  <c r="I103" i="26"/>
  <c r="V14" i="26"/>
  <c r="H19" i="49"/>
  <c r="H60" i="49"/>
  <c r="T16" i="16"/>
  <c r="T16" i="3"/>
  <c r="T16" i="90"/>
  <c r="O17" i="95"/>
  <c r="T23" i="90"/>
  <c r="G217" i="90" s="1"/>
  <c r="O24" i="95"/>
  <c r="E166" i="95" s="1"/>
  <c r="T23" i="3"/>
  <c r="G247" i="3" s="1"/>
  <c r="T23" i="16"/>
  <c r="G217" i="16" s="1"/>
  <c r="V9" i="2"/>
  <c r="I261" i="2"/>
  <c r="I185" i="2"/>
  <c r="I60" i="24"/>
  <c r="I64" i="24"/>
  <c r="V14" i="1"/>
  <c r="I265" i="1"/>
  <c r="I186" i="1"/>
  <c r="I194" i="1" s="1"/>
  <c r="I159" i="90"/>
  <c r="I167" i="90"/>
  <c r="V24" i="90"/>
  <c r="I232" i="90"/>
  <c r="N88" i="24"/>
  <c r="I157" i="91"/>
  <c r="I165" i="91"/>
  <c r="V14" i="91"/>
  <c r="I230" i="91"/>
  <c r="V9" i="21"/>
  <c r="I185" i="21"/>
  <c r="F150" i="95"/>
  <c r="G104" i="95"/>
  <c r="G111" i="95" s="1"/>
  <c r="T21" i="3"/>
  <c r="O22" i="95"/>
  <c r="T21" i="90"/>
  <c r="T21" i="16"/>
  <c r="N95" i="26"/>
  <c r="T9" i="26"/>
  <c r="I94" i="26" s="1"/>
  <c r="I157" i="15"/>
  <c r="I165" i="15" s="1"/>
  <c r="V14" i="15"/>
  <c r="I230" i="15"/>
  <c r="I188" i="3"/>
  <c r="V24" i="3"/>
  <c r="I267" i="3"/>
  <c r="L99" i="24"/>
  <c r="I230" i="17"/>
  <c r="V14" i="17"/>
  <c r="I157" i="17"/>
  <c r="I165" i="17"/>
  <c r="D19" i="49"/>
  <c r="D60" i="49"/>
  <c r="P7" i="19"/>
  <c r="U6" i="4"/>
  <c r="U6" i="17"/>
  <c r="U6" i="91"/>
  <c r="O19" i="95"/>
  <c r="E151" i="95" s="1"/>
  <c r="T18" i="90"/>
  <c r="G199" i="90" s="1"/>
  <c r="T18" i="16"/>
  <c r="G199" i="16" s="1"/>
  <c r="T18" i="3"/>
  <c r="G229" i="3" s="1"/>
  <c r="O13" i="19"/>
  <c r="E158" i="19" s="1"/>
  <c r="T12" i="17"/>
  <c r="G209" i="17" s="1"/>
  <c r="T12" i="4"/>
  <c r="G239" i="4" s="1"/>
  <c r="T12" i="91"/>
  <c r="G209" i="91" s="1"/>
  <c r="T7" i="91"/>
  <c r="G191" i="91" s="1"/>
  <c r="O8" i="19"/>
  <c r="E143" i="19" s="1"/>
  <c r="T7" i="4"/>
  <c r="G221" i="4" s="1"/>
  <c r="T7" i="17"/>
  <c r="G191" i="17" s="1"/>
  <c r="P20" i="95"/>
  <c r="F149" i="95"/>
  <c r="F152" i="95" s="1"/>
  <c r="U11" i="17"/>
  <c r="P12" i="19"/>
  <c r="U11" i="4"/>
  <c r="U11" i="91"/>
  <c r="N19" i="20"/>
  <c r="I97" i="20"/>
  <c r="I156" i="89"/>
  <c r="I164" i="89"/>
  <c r="V9" i="89"/>
  <c r="I226" i="89"/>
  <c r="V9" i="1"/>
  <c r="I261" i="1"/>
  <c r="I185" i="1"/>
  <c r="I189" i="1" s="1"/>
  <c r="I165" i="89"/>
  <c r="I230" i="89"/>
  <c r="V14" i="89"/>
  <c r="I157" i="89"/>
  <c r="L174" i="23"/>
  <c r="L177" i="23" s="1"/>
  <c r="L187" i="23" s="1"/>
  <c r="I96" i="26"/>
  <c r="I67" i="26"/>
  <c r="I226" i="88"/>
  <c r="I156" i="88"/>
  <c r="I164" i="88" s="1"/>
  <c r="V9" i="88"/>
  <c r="N103" i="26"/>
  <c r="T14" i="26"/>
  <c r="I102" i="26" s="1"/>
  <c r="I68" i="26"/>
  <c r="I73" i="26" s="1"/>
  <c r="I104" i="26"/>
  <c r="X9" i="36"/>
  <c r="AA7" i="36"/>
  <c r="M35" i="36" s="1"/>
  <c r="Y7" i="36"/>
  <c r="AB7" i="36"/>
  <c r="M36" i="36" s="1"/>
  <c r="I19" i="49"/>
  <c r="I60" i="49"/>
  <c r="T6" i="17"/>
  <c r="T6" i="91"/>
  <c r="T6" i="4"/>
  <c r="O7" i="19"/>
  <c r="T11" i="91"/>
  <c r="T11" i="17"/>
  <c r="T11" i="4"/>
  <c r="O12" i="19"/>
  <c r="V14" i="88"/>
  <c r="I157" i="88"/>
  <c r="I165" i="88" s="1"/>
  <c r="I230" i="88"/>
  <c r="V14" i="2"/>
  <c r="I265" i="2"/>
  <c r="I186" i="2"/>
  <c r="I194" i="2" s="1"/>
  <c r="N185" i="22"/>
  <c r="F19" i="49"/>
  <c r="F60" i="49"/>
  <c r="D8" i="49"/>
  <c r="D10" i="49" s="1"/>
  <c r="C8" i="49"/>
  <c r="C10" i="49" s="1"/>
  <c r="H8" i="49"/>
  <c r="H10" i="49" s="1"/>
  <c r="X7" i="37"/>
  <c r="X7" i="34"/>
  <c r="X7" i="32"/>
  <c r="I8" i="49"/>
  <c r="I10" i="49" s="1"/>
  <c r="L16" i="24" s="1"/>
  <c r="I168" i="89" l="1"/>
  <c r="I170" i="89" s="1"/>
  <c r="L197" i="21"/>
  <c r="I168" i="91"/>
  <c r="I170" i="91" s="1"/>
  <c r="N192" i="21"/>
  <c r="N177" i="22"/>
  <c r="I168" i="88"/>
  <c r="I170" i="88" s="1"/>
  <c r="N174" i="23"/>
  <c r="N182" i="23"/>
  <c r="I168" i="15"/>
  <c r="I170" i="15" s="1"/>
  <c r="Z7" i="36"/>
  <c r="N184" i="21"/>
  <c r="O15" i="19"/>
  <c r="F82" i="19" s="1"/>
  <c r="E157" i="19"/>
  <c r="E160" i="19" s="1"/>
  <c r="U11" i="89"/>
  <c r="U11" i="2"/>
  <c r="I238" i="2" s="1"/>
  <c r="P12" i="94"/>
  <c r="U11" i="12"/>
  <c r="I208" i="12" s="1"/>
  <c r="L17" i="21"/>
  <c r="L17" i="22"/>
  <c r="T14" i="4"/>
  <c r="G238" i="4"/>
  <c r="G241" i="4" s="1"/>
  <c r="I20" i="49"/>
  <c r="F142" i="19"/>
  <c r="E127" i="29"/>
  <c r="M105" i="24"/>
  <c r="H20" i="49"/>
  <c r="W9" i="22"/>
  <c r="C62" i="49"/>
  <c r="C76" i="49" s="1"/>
  <c r="C65" i="49"/>
  <c r="C67" i="49" s="1"/>
  <c r="C77" i="49" s="1"/>
  <c r="L17" i="20"/>
  <c r="E16" i="49"/>
  <c r="E61" i="49" s="1"/>
  <c r="E66" i="49" s="1"/>
  <c r="E71" i="49" s="1"/>
  <c r="I215" i="16"/>
  <c r="T12" i="15"/>
  <c r="G209" i="15" s="1"/>
  <c r="O13" i="9"/>
  <c r="E158" i="9" s="1"/>
  <c r="T12" i="1"/>
  <c r="G239" i="1" s="1"/>
  <c r="T12" i="88"/>
  <c r="G209" i="88" s="1"/>
  <c r="U11" i="1"/>
  <c r="P12" i="9"/>
  <c r="U11" i="88"/>
  <c r="U11" i="15"/>
  <c r="M17" i="20"/>
  <c r="E15" i="49"/>
  <c r="U7" i="91"/>
  <c r="U9" i="91" s="1"/>
  <c r="P8" i="19"/>
  <c r="P10" i="19" s="1"/>
  <c r="U7" i="17"/>
  <c r="U7" i="4"/>
  <c r="G208" i="17"/>
  <c r="G211" i="17" s="1"/>
  <c r="T14" i="17"/>
  <c r="G38" i="17" s="1"/>
  <c r="I38" i="17" s="1"/>
  <c r="M33" i="36"/>
  <c r="H174" i="36"/>
  <c r="D62" i="49"/>
  <c r="D76" i="49" s="1"/>
  <c r="D65" i="49"/>
  <c r="D67" i="49" s="1"/>
  <c r="D77" i="49" s="1"/>
  <c r="I168" i="12"/>
  <c r="I170" i="12" s="1"/>
  <c r="C20" i="49"/>
  <c r="T11" i="15"/>
  <c r="O12" i="9"/>
  <c r="T11" i="1"/>
  <c r="T11" i="88"/>
  <c r="I220" i="4"/>
  <c r="L18" i="22"/>
  <c r="F62" i="49"/>
  <c r="F76" i="49" s="1"/>
  <c r="F65" i="49"/>
  <c r="F67" i="49" s="1"/>
  <c r="F77" i="49" s="1"/>
  <c r="G208" i="91"/>
  <c r="G211" i="91" s="1"/>
  <c r="T14" i="91"/>
  <c r="G38" i="91" s="1"/>
  <c r="D20" i="49"/>
  <c r="I66" i="24"/>
  <c r="I68" i="24" s="1"/>
  <c r="K64" i="24"/>
  <c r="K66" i="24" s="1"/>
  <c r="I197" i="16"/>
  <c r="AF11" i="40"/>
  <c r="H62" i="49"/>
  <c r="H76" i="49" s="1"/>
  <c r="H65" i="49"/>
  <c r="H67" i="49" s="1"/>
  <c r="H77" i="49" s="1"/>
  <c r="H78" i="49" s="1"/>
  <c r="O7" i="9"/>
  <c r="T6" i="1"/>
  <c r="T6" i="88"/>
  <c r="T6" i="15"/>
  <c r="T11" i="89"/>
  <c r="O12" i="94"/>
  <c r="T11" i="12"/>
  <c r="T11" i="2"/>
  <c r="U6" i="88"/>
  <c r="U6" i="15"/>
  <c r="U6" i="1"/>
  <c r="P7" i="9"/>
  <c r="O13" i="94"/>
  <c r="E158" i="94" s="1"/>
  <c r="T12" i="12"/>
  <c r="G209" i="12" s="1"/>
  <c r="T12" i="89"/>
  <c r="G209" i="89" s="1"/>
  <c r="T12" i="2"/>
  <c r="G239" i="2" s="1"/>
  <c r="U22" i="3"/>
  <c r="U22" i="90"/>
  <c r="U22" i="16"/>
  <c r="O10" i="19"/>
  <c r="F81" i="19" s="1"/>
  <c r="E142" i="19"/>
  <c r="E145" i="19" s="1"/>
  <c r="H164" i="36"/>
  <c r="M32" i="36"/>
  <c r="I208" i="91"/>
  <c r="G215" i="16"/>
  <c r="G218" i="16" s="1"/>
  <c r="T24" i="16"/>
  <c r="G40" i="16" s="1"/>
  <c r="I40" i="16" s="1"/>
  <c r="O20" i="95"/>
  <c r="F83" i="95" s="1"/>
  <c r="E149" i="95"/>
  <c r="E152" i="95" s="1"/>
  <c r="I189" i="4"/>
  <c r="I227" i="3"/>
  <c r="I168" i="17"/>
  <c r="I170" i="17" s="1"/>
  <c r="U18" i="3"/>
  <c r="U18" i="90"/>
  <c r="U18" i="16"/>
  <c r="Y7" i="34"/>
  <c r="X9" i="34"/>
  <c r="AB7" i="34"/>
  <c r="M36" i="34" s="1"/>
  <c r="AA7" i="34"/>
  <c r="M35" i="34" s="1"/>
  <c r="L17" i="23"/>
  <c r="T6" i="2"/>
  <c r="O7" i="94"/>
  <c r="T6" i="12"/>
  <c r="T6" i="89"/>
  <c r="U12" i="17"/>
  <c r="U12" i="4"/>
  <c r="U14" i="4" s="1"/>
  <c r="P13" i="19"/>
  <c r="P15" i="19" s="1"/>
  <c r="U12" i="91"/>
  <c r="U14" i="91" s="1"/>
  <c r="G220" i="4"/>
  <c r="G223" i="4" s="1"/>
  <c r="T9" i="4"/>
  <c r="I238" i="4"/>
  <c r="G215" i="90"/>
  <c r="G218" i="90" s="1"/>
  <c r="T24" i="90"/>
  <c r="G40" i="90" s="1"/>
  <c r="I189" i="2"/>
  <c r="G197" i="90"/>
  <c r="G200" i="90" s="1"/>
  <c r="T19" i="90"/>
  <c r="G39" i="90" s="1"/>
  <c r="I197" i="90"/>
  <c r="W11" i="22"/>
  <c r="W12" i="22"/>
  <c r="V6" i="3"/>
  <c r="V6" i="16"/>
  <c r="V6" i="90"/>
  <c r="T7" i="89"/>
  <c r="G191" i="89" s="1"/>
  <c r="T7" i="2"/>
  <c r="G221" i="2" s="1"/>
  <c r="T7" i="12"/>
  <c r="G191" i="12" s="1"/>
  <c r="O8" i="94"/>
  <c r="E143" i="94" s="1"/>
  <c r="G190" i="91"/>
  <c r="G193" i="91" s="1"/>
  <c r="T9" i="91"/>
  <c r="G37" i="91" s="1"/>
  <c r="I69" i="26"/>
  <c r="I72" i="26"/>
  <c r="I74" i="26" s="1"/>
  <c r="I76" i="26" s="1"/>
  <c r="F157" i="19"/>
  <c r="I190" i="91"/>
  <c r="E164" i="95"/>
  <c r="E167" i="95" s="1"/>
  <c r="O25" i="95"/>
  <c r="F84" i="95" s="1"/>
  <c r="G227" i="3"/>
  <c r="G230" i="3" s="1"/>
  <c r="T19" i="3"/>
  <c r="I215" i="90"/>
  <c r="I62" i="49"/>
  <c r="I76" i="49" s="1"/>
  <c r="I65" i="49"/>
  <c r="I67" i="49" s="1"/>
  <c r="I77" i="49" s="1"/>
  <c r="T7" i="88"/>
  <c r="G191" i="88" s="1"/>
  <c r="T7" i="15"/>
  <c r="G191" i="15" s="1"/>
  <c r="T7" i="1"/>
  <c r="G221" i="1" s="1"/>
  <c r="O8" i="9"/>
  <c r="E143" i="9" s="1"/>
  <c r="Y7" i="32"/>
  <c r="AA7" i="32"/>
  <c r="M35" i="32" s="1"/>
  <c r="X9" i="32"/>
  <c r="AB7" i="32"/>
  <c r="M36" i="32" s="1"/>
  <c r="U17" i="90"/>
  <c r="U19" i="90" s="1"/>
  <c r="U17" i="3"/>
  <c r="U17" i="16"/>
  <c r="U23" i="16"/>
  <c r="U23" i="3"/>
  <c r="U23" i="90"/>
  <c r="AB7" i="37"/>
  <c r="M36" i="37" s="1"/>
  <c r="X9" i="37"/>
  <c r="Y7" i="37"/>
  <c r="AA7" i="37"/>
  <c r="M35" i="37" s="1"/>
  <c r="V11" i="3"/>
  <c r="V11" i="90"/>
  <c r="V11" i="16"/>
  <c r="U6" i="89"/>
  <c r="U6" i="12"/>
  <c r="I190" i="12" s="1"/>
  <c r="U6" i="2"/>
  <c r="P7" i="94"/>
  <c r="T9" i="17"/>
  <c r="G37" i="17" s="1"/>
  <c r="I37" i="17" s="1"/>
  <c r="G190" i="17"/>
  <c r="G193" i="17" s="1"/>
  <c r="I208" i="17"/>
  <c r="U14" i="17"/>
  <c r="I190" i="17"/>
  <c r="G245" i="3"/>
  <c r="G248" i="3" s="1"/>
  <c r="T24" i="3"/>
  <c r="T19" i="16"/>
  <c r="G39" i="16" s="1"/>
  <c r="I39" i="16" s="1"/>
  <c r="G197" i="16"/>
  <c r="G200" i="16" s="1"/>
  <c r="I245" i="3"/>
  <c r="U24" i="3"/>
  <c r="G62" i="49"/>
  <c r="G76" i="49" s="1"/>
  <c r="G65" i="49"/>
  <c r="G67" i="49" s="1"/>
  <c r="G77" i="49" s="1"/>
  <c r="G78" i="49" s="1"/>
  <c r="N29" i="22"/>
  <c r="AE11" i="38"/>
  <c r="F8" i="49"/>
  <c r="B16" i="49"/>
  <c r="B15" i="49"/>
  <c r="G8" i="49"/>
  <c r="U24" i="16" l="1"/>
  <c r="Z7" i="37"/>
  <c r="M33" i="37" s="1"/>
  <c r="D70" i="49"/>
  <c r="D72" i="49" s="1"/>
  <c r="I70" i="49"/>
  <c r="I72" i="49" s="1"/>
  <c r="Z7" i="34"/>
  <c r="H161" i="34" s="1"/>
  <c r="F70" i="49"/>
  <c r="F72" i="49" s="1"/>
  <c r="D78" i="49"/>
  <c r="I41" i="17"/>
  <c r="L41" i="17" s="1"/>
  <c r="E142" i="94"/>
  <c r="E145" i="94" s="1"/>
  <c r="O10" i="94"/>
  <c r="F81" i="94" s="1"/>
  <c r="V14" i="16"/>
  <c r="I157" i="16"/>
  <c r="I230" i="16"/>
  <c r="I165" i="16"/>
  <c r="I247" i="3"/>
  <c r="I112" i="3"/>
  <c r="I124" i="3" s="1"/>
  <c r="I90" i="90"/>
  <c r="I102" i="90" s="1"/>
  <c r="I199" i="90"/>
  <c r="T9" i="88"/>
  <c r="G37" i="88" s="1"/>
  <c r="G190" i="88"/>
  <c r="G193" i="88" s="1"/>
  <c r="U12" i="89"/>
  <c r="U14" i="89" s="1"/>
  <c r="U12" i="12"/>
  <c r="P13" i="94"/>
  <c r="U12" i="2"/>
  <c r="I186" i="3"/>
  <c r="V14" i="3"/>
  <c r="I265" i="3"/>
  <c r="I92" i="16"/>
  <c r="I104" i="16" s="1"/>
  <c r="I217" i="16"/>
  <c r="M32" i="32"/>
  <c r="H151" i="32"/>
  <c r="G44" i="3"/>
  <c r="W20" i="40"/>
  <c r="I226" i="90"/>
  <c r="I156" i="90"/>
  <c r="I164" i="90"/>
  <c r="V9" i="90"/>
  <c r="F158" i="19"/>
  <c r="F160" i="19" s="1"/>
  <c r="G103" i="19"/>
  <c r="G110" i="19" s="1"/>
  <c r="I110" i="19" s="1"/>
  <c r="I110" i="3"/>
  <c r="I122" i="3" s="1"/>
  <c r="I229" i="3"/>
  <c r="I216" i="90"/>
  <c r="I91" i="90"/>
  <c r="I103" i="90" s="1"/>
  <c r="I190" i="15"/>
  <c r="G220" i="1"/>
  <c r="G223" i="1" s="1"/>
  <c r="T9" i="1"/>
  <c r="E157" i="9"/>
  <c r="E160" i="9" s="1"/>
  <c r="O15" i="9"/>
  <c r="F82" i="9" s="1"/>
  <c r="G102" i="19"/>
  <c r="F143" i="19"/>
  <c r="F145" i="19" s="1"/>
  <c r="I238" i="1"/>
  <c r="I95" i="20"/>
  <c r="N17" i="20"/>
  <c r="F157" i="94"/>
  <c r="P15" i="94"/>
  <c r="AE13" i="38"/>
  <c r="AI11" i="38"/>
  <c r="AF11" i="38"/>
  <c r="AH11" i="38"/>
  <c r="I190" i="89"/>
  <c r="O14" i="95"/>
  <c r="E159" i="95" s="1"/>
  <c r="T13" i="3"/>
  <c r="G240" i="3" s="1"/>
  <c r="T13" i="16"/>
  <c r="G210" i="16" s="1"/>
  <c r="T13" i="90"/>
  <c r="G210" i="90" s="1"/>
  <c r="I90" i="16"/>
  <c r="I102" i="16" s="1"/>
  <c r="I199" i="16"/>
  <c r="T9" i="15"/>
  <c r="G37" i="15" s="1"/>
  <c r="I37" i="15" s="1"/>
  <c r="G190" i="15"/>
  <c r="G193" i="15" s="1"/>
  <c r="F157" i="9"/>
  <c r="G10" i="49"/>
  <c r="O12" i="95"/>
  <c r="T11" i="3"/>
  <c r="T11" i="90"/>
  <c r="T11" i="16"/>
  <c r="T7" i="90"/>
  <c r="G191" i="90" s="1"/>
  <c r="O8" i="95"/>
  <c r="E143" i="95" s="1"/>
  <c r="T7" i="3"/>
  <c r="G221" i="3" s="1"/>
  <c r="T7" i="16"/>
  <c r="G191" i="16" s="1"/>
  <c r="G70" i="49"/>
  <c r="G72" i="49" s="1"/>
  <c r="G45" i="3"/>
  <c r="W25" i="40"/>
  <c r="I89" i="16"/>
  <c r="I101" i="16" s="1"/>
  <c r="I198" i="16"/>
  <c r="I200" i="16" s="1"/>
  <c r="I156" i="16"/>
  <c r="I226" i="16"/>
  <c r="V9" i="16"/>
  <c r="I164" i="16"/>
  <c r="I168" i="16" s="1"/>
  <c r="I170" i="16" s="1"/>
  <c r="I239" i="4"/>
  <c r="I241" i="4" s="1"/>
  <c r="I108" i="4"/>
  <c r="I120" i="4" s="1"/>
  <c r="K120" i="4" s="1"/>
  <c r="I246" i="3"/>
  <c r="I248" i="3" s="1"/>
  <c r="I111" i="3"/>
  <c r="I123" i="3" s="1"/>
  <c r="I190" i="88"/>
  <c r="O10" i="9"/>
  <c r="F81" i="9" s="1"/>
  <c r="E142" i="9"/>
  <c r="E145" i="9" s="1"/>
  <c r="T14" i="15"/>
  <c r="G38" i="15" s="1"/>
  <c r="I38" i="15" s="1"/>
  <c r="G208" i="15"/>
  <c r="G211" i="15" s="1"/>
  <c r="I86" i="91"/>
  <c r="I98" i="91" s="1"/>
  <c r="I191" i="91"/>
  <c r="I193" i="91" s="1"/>
  <c r="W15" i="41"/>
  <c r="Q14" i="41" s="1"/>
  <c r="G43" i="4"/>
  <c r="I208" i="88"/>
  <c r="U11" i="3"/>
  <c r="U11" i="90"/>
  <c r="P12" i="95"/>
  <c r="U11" i="16"/>
  <c r="U19" i="16"/>
  <c r="G238" i="1"/>
  <c r="G241" i="1" s="1"/>
  <c r="T14" i="1"/>
  <c r="G43" i="1" s="1"/>
  <c r="I86" i="17"/>
  <c r="I191" i="17"/>
  <c r="I193" i="17" s="1"/>
  <c r="T12" i="16"/>
  <c r="G209" i="16" s="1"/>
  <c r="T12" i="3"/>
  <c r="G239" i="3" s="1"/>
  <c r="O13" i="95"/>
  <c r="E158" i="95" s="1"/>
  <c r="T12" i="90"/>
  <c r="G209" i="90" s="1"/>
  <c r="P7" i="95"/>
  <c r="U6" i="90"/>
  <c r="U6" i="3"/>
  <c r="U6" i="16"/>
  <c r="F142" i="94"/>
  <c r="I228" i="3"/>
  <c r="I109" i="3"/>
  <c r="I121" i="3" s="1"/>
  <c r="V9" i="3"/>
  <c r="I185" i="3"/>
  <c r="I261" i="3"/>
  <c r="I209" i="17"/>
  <c r="I211" i="17" s="1"/>
  <c r="I88" i="17"/>
  <c r="I100" i="17" s="1"/>
  <c r="K100" i="17" s="1"/>
  <c r="U19" i="3"/>
  <c r="G238" i="2"/>
  <c r="G241" i="2" s="1"/>
  <c r="T14" i="2"/>
  <c r="L21" i="23"/>
  <c r="E19" i="49"/>
  <c r="E60" i="49"/>
  <c r="I208" i="89"/>
  <c r="M32" i="34"/>
  <c r="H151" i="34"/>
  <c r="G208" i="89"/>
  <c r="G211" i="89" s="1"/>
  <c r="T14" i="89"/>
  <c r="G38" i="89" s="1"/>
  <c r="I208" i="15"/>
  <c r="I92" i="90"/>
  <c r="I104" i="90" s="1"/>
  <c r="I217" i="90"/>
  <c r="F142" i="9"/>
  <c r="I221" i="4"/>
  <c r="I223" i="4" s="1"/>
  <c r="I106" i="4"/>
  <c r="F10" i="49"/>
  <c r="I230" i="90"/>
  <c r="I157" i="90"/>
  <c r="V14" i="90"/>
  <c r="I165" i="90"/>
  <c r="I216" i="16"/>
  <c r="I91" i="16"/>
  <c r="I103" i="16" s="1"/>
  <c r="T8" i="3"/>
  <c r="G222" i="3" s="1"/>
  <c r="O9" i="95"/>
  <c r="E144" i="95" s="1"/>
  <c r="T8" i="16"/>
  <c r="G192" i="16" s="1"/>
  <c r="T8" i="90"/>
  <c r="G192" i="90" s="1"/>
  <c r="U9" i="17"/>
  <c r="I220" i="2"/>
  <c r="H151" i="37"/>
  <c r="M32" i="37"/>
  <c r="I89" i="90"/>
  <c r="I101" i="90" s="1"/>
  <c r="I198" i="90"/>
  <c r="I200" i="90" s="1"/>
  <c r="T9" i="89"/>
  <c r="G37" i="89" s="1"/>
  <c r="G190" i="89"/>
  <c r="G193" i="89" s="1"/>
  <c r="G208" i="12"/>
  <c r="G211" i="12" s="1"/>
  <c r="T14" i="12"/>
  <c r="G38" i="12" s="1"/>
  <c r="I38" i="12" s="1"/>
  <c r="H70" i="49"/>
  <c r="H72" i="49" s="1"/>
  <c r="U9" i="4"/>
  <c r="J95" i="20"/>
  <c r="C78" i="49"/>
  <c r="L21" i="21" s="1"/>
  <c r="I51" i="21" s="1"/>
  <c r="AG11" i="40"/>
  <c r="AF13" i="40"/>
  <c r="AI11" i="40"/>
  <c r="AJ11" i="40"/>
  <c r="AH11" i="40" s="1"/>
  <c r="AK11" i="40" s="1"/>
  <c r="U24" i="90"/>
  <c r="G220" i="2"/>
  <c r="G223" i="2" s="1"/>
  <c r="T9" i="2"/>
  <c r="G208" i="88"/>
  <c r="G211" i="88" s="1"/>
  <c r="T14" i="88"/>
  <c r="G38" i="88" s="1"/>
  <c r="I209" i="91"/>
  <c r="I211" i="91" s="1"/>
  <c r="I88" i="91"/>
  <c r="I100" i="91" s="1"/>
  <c r="K100" i="91" s="1"/>
  <c r="I220" i="1"/>
  <c r="P13" i="9"/>
  <c r="U12" i="15"/>
  <c r="U12" i="1"/>
  <c r="U12" i="88"/>
  <c r="U14" i="88" s="1"/>
  <c r="U7" i="2"/>
  <c r="U9" i="2" s="1"/>
  <c r="U7" i="12"/>
  <c r="U7" i="89"/>
  <c r="U9" i="89" s="1"/>
  <c r="P8" i="94"/>
  <c r="K15" i="49"/>
  <c r="B60" i="49"/>
  <c r="B19" i="49"/>
  <c r="T6" i="90"/>
  <c r="O7" i="95"/>
  <c r="T6" i="3"/>
  <c r="T6" i="16"/>
  <c r="B61" i="49"/>
  <c r="K16" i="49"/>
  <c r="U7" i="88"/>
  <c r="U7" i="15"/>
  <c r="U9" i="15" s="1"/>
  <c r="U7" i="1"/>
  <c r="U9" i="1" s="1"/>
  <c r="P8" i="9"/>
  <c r="P10" i="9" s="1"/>
  <c r="Z7" i="32"/>
  <c r="I78" i="49"/>
  <c r="W14" i="22"/>
  <c r="G42" i="4"/>
  <c r="W10" i="41"/>
  <c r="G190" i="12"/>
  <c r="G193" i="12" s="1"/>
  <c r="T9" i="12"/>
  <c r="G37" i="12" s="1"/>
  <c r="I37" i="12" s="1"/>
  <c r="O15" i="94"/>
  <c r="F82" i="94" s="1"/>
  <c r="E157" i="94"/>
  <c r="E160" i="94" s="1"/>
  <c r="F78" i="49"/>
  <c r="C70" i="49"/>
  <c r="C72" i="49" s="1"/>
  <c r="AE6" i="38"/>
  <c r="V12" i="20"/>
  <c r="V11" i="5"/>
  <c r="V12" i="5"/>
  <c r="B9" i="49"/>
  <c r="K9" i="49" s="1"/>
  <c r="T6" i="20"/>
  <c r="V11" i="20"/>
  <c r="V6" i="5"/>
  <c r="V7" i="5"/>
  <c r="T11" i="20"/>
  <c r="V6" i="20"/>
  <c r="T11" i="5"/>
  <c r="T12" i="5"/>
  <c r="N110" i="5" s="1"/>
  <c r="O110" i="5" s="1"/>
  <c r="T7" i="20"/>
  <c r="T12" i="20"/>
  <c r="V7" i="20"/>
  <c r="T7" i="5"/>
  <c r="N102" i="5" s="1"/>
  <c r="T6" i="5"/>
  <c r="AG11" i="38" l="1"/>
  <c r="AJ11" i="38" s="1"/>
  <c r="H161" i="37"/>
  <c r="I41" i="12"/>
  <c r="L41" i="12" s="1"/>
  <c r="M33" i="34"/>
  <c r="I230" i="3"/>
  <c r="I218" i="90"/>
  <c r="I41" i="15"/>
  <c r="L41" i="15" s="1"/>
  <c r="G208" i="90"/>
  <c r="G211" i="90" s="1"/>
  <c r="T14" i="90"/>
  <c r="G38" i="90" s="1"/>
  <c r="F158" i="9"/>
  <c r="F160" i="9" s="1"/>
  <c r="G103" i="9"/>
  <c r="G110" i="9" s="1"/>
  <c r="I110" i="9" s="1"/>
  <c r="I208" i="90"/>
  <c r="T14" i="3"/>
  <c r="G238" i="3"/>
  <c r="G241" i="3" s="1"/>
  <c r="I68" i="20"/>
  <c r="I76" i="20" s="1"/>
  <c r="I110" i="20"/>
  <c r="B62" i="49"/>
  <c r="K60" i="49"/>
  <c r="B65" i="49"/>
  <c r="B70" i="49" s="1"/>
  <c r="V14" i="5"/>
  <c r="I109" i="5"/>
  <c r="I67" i="5"/>
  <c r="I75" i="5" s="1"/>
  <c r="K61" i="49"/>
  <c r="B66" i="49"/>
  <c r="K66" i="49" s="1"/>
  <c r="G102" i="94"/>
  <c r="F143" i="94"/>
  <c r="F145" i="94" s="1"/>
  <c r="I108" i="20"/>
  <c r="J108" i="20"/>
  <c r="W15" i="38"/>
  <c r="Q14" i="38" s="1"/>
  <c r="G43" i="2"/>
  <c r="I189" i="3"/>
  <c r="I190" i="16"/>
  <c r="I238" i="3"/>
  <c r="I105" i="91"/>
  <c r="I107" i="91" s="1"/>
  <c r="E157" i="95"/>
  <c r="E160" i="95" s="1"/>
  <c r="O15" i="95"/>
  <c r="F82" i="95" s="1"/>
  <c r="G106" i="19"/>
  <c r="G109" i="19"/>
  <c r="G113" i="19" s="1"/>
  <c r="G115" i="19" s="1"/>
  <c r="U14" i="2"/>
  <c r="I239" i="2"/>
  <c r="I241" i="2" s="1"/>
  <c r="I108" i="2"/>
  <c r="I120" i="2" s="1"/>
  <c r="K120" i="2" s="1"/>
  <c r="I65" i="20"/>
  <c r="V9" i="20"/>
  <c r="U23" i="23" s="1"/>
  <c r="I101" i="20"/>
  <c r="I113" i="4"/>
  <c r="I118" i="4"/>
  <c r="I125" i="4" s="1"/>
  <c r="I127" i="4" s="1"/>
  <c r="F157" i="95"/>
  <c r="I68" i="5"/>
  <c r="I76" i="5" s="1"/>
  <c r="I110" i="5"/>
  <c r="N109" i="5"/>
  <c r="T14" i="5"/>
  <c r="G190" i="16"/>
  <c r="G193" i="16" s="1"/>
  <c r="T9" i="16"/>
  <c r="G37" i="16" s="1"/>
  <c r="I37" i="16" s="1"/>
  <c r="I191" i="89"/>
  <c r="I193" i="89" s="1"/>
  <c r="I86" i="89"/>
  <c r="I98" i="89" s="1"/>
  <c r="I220" i="3"/>
  <c r="I98" i="17"/>
  <c r="I105" i="17" s="1"/>
  <c r="I107" i="17" s="1"/>
  <c r="I93" i="17"/>
  <c r="I168" i="90"/>
  <c r="I170" i="90" s="1"/>
  <c r="G103" i="94"/>
  <c r="G110" i="94" s="1"/>
  <c r="I110" i="94" s="1"/>
  <c r="F158" i="94"/>
  <c r="F160" i="94" s="1"/>
  <c r="G42" i="2"/>
  <c r="W10" i="38"/>
  <c r="T9" i="5"/>
  <c r="N101" i="5"/>
  <c r="T9" i="20"/>
  <c r="H161" i="32"/>
  <c r="M33" i="32"/>
  <c r="G220" i="3"/>
  <c r="G223" i="3" s="1"/>
  <c r="T9" i="3"/>
  <c r="U9" i="12"/>
  <c r="I191" i="12"/>
  <c r="I193" i="12" s="1"/>
  <c r="I86" i="12"/>
  <c r="I190" i="90"/>
  <c r="I218" i="16"/>
  <c r="U14" i="12"/>
  <c r="I88" i="12"/>
  <c r="I100" i="12" s="1"/>
  <c r="K100" i="12" s="1"/>
  <c r="I209" i="12"/>
  <c r="I211" i="12" s="1"/>
  <c r="I86" i="88"/>
  <c r="I98" i="88" s="1"/>
  <c r="I191" i="88"/>
  <c r="I193" i="88" s="1"/>
  <c r="I88" i="15"/>
  <c r="I100" i="15" s="1"/>
  <c r="K100" i="15" s="1"/>
  <c r="I209" i="15"/>
  <c r="I211" i="15" s="1"/>
  <c r="I51" i="23"/>
  <c r="U9" i="88"/>
  <c r="V14" i="20"/>
  <c r="U28" i="23" s="1"/>
  <c r="I67" i="20"/>
  <c r="I75" i="20" s="1"/>
  <c r="I109" i="20"/>
  <c r="F143" i="9"/>
  <c r="F145" i="9" s="1"/>
  <c r="G102" i="9"/>
  <c r="E142" i="95"/>
  <c r="E145" i="95" s="1"/>
  <c r="O10" i="95"/>
  <c r="F81" i="95" s="1"/>
  <c r="I221" i="2"/>
  <c r="I223" i="2" s="1"/>
  <c r="I106" i="2"/>
  <c r="F142" i="95"/>
  <c r="P15" i="9"/>
  <c r="I88" i="89"/>
  <c r="I100" i="89" s="1"/>
  <c r="K100" i="89" s="1"/>
  <c r="I209" i="89"/>
  <c r="I211" i="89" s="1"/>
  <c r="I102" i="5"/>
  <c r="I66" i="5"/>
  <c r="I74" i="5" s="1"/>
  <c r="I65" i="5"/>
  <c r="V9" i="5"/>
  <c r="I101" i="5"/>
  <c r="T14" i="20"/>
  <c r="T28" i="23" s="1"/>
  <c r="U40" i="23" s="1"/>
  <c r="I144" i="23" s="1"/>
  <c r="J144" i="23" s="1"/>
  <c r="Q9" i="41"/>
  <c r="AH7" i="41"/>
  <c r="AH17" i="41" s="1"/>
  <c r="AF7" i="41"/>
  <c r="AI7" i="41"/>
  <c r="AI17" i="41" s="1"/>
  <c r="AF6" i="41"/>
  <c r="AI6" i="41"/>
  <c r="AI16" i="41" s="1"/>
  <c r="AE8" i="41"/>
  <c r="AH6" i="41"/>
  <c r="AH16" i="41" s="1"/>
  <c r="I106" i="1"/>
  <c r="I221" i="1"/>
  <c r="I223" i="1" s="1"/>
  <c r="G190" i="90"/>
  <c r="G193" i="90" s="1"/>
  <c r="T9" i="90"/>
  <c r="G37" i="90" s="1"/>
  <c r="I209" i="88"/>
  <c r="I211" i="88" s="1"/>
  <c r="I88" i="88"/>
  <c r="I100" i="88" s="1"/>
  <c r="K100" i="88" s="1"/>
  <c r="U14" i="15"/>
  <c r="E62" i="49"/>
  <c r="E76" i="49" s="1"/>
  <c r="E65" i="49"/>
  <c r="E67" i="49" s="1"/>
  <c r="E77" i="49" s="1"/>
  <c r="P10" i="94"/>
  <c r="Q24" i="40"/>
  <c r="I100" i="20"/>
  <c r="J100" i="20"/>
  <c r="G42" i="1"/>
  <c r="I102" i="20"/>
  <c r="I66" i="20"/>
  <c r="I74" i="20" s="1"/>
  <c r="AE16" i="38"/>
  <c r="I191" i="15"/>
  <c r="I193" i="15" s="1"/>
  <c r="I86" i="15"/>
  <c r="K19" i="49"/>
  <c r="I108" i="1"/>
  <c r="I120" i="1" s="1"/>
  <c r="K120" i="1" s="1"/>
  <c r="I239" i="1"/>
  <c r="I241" i="1" s="1"/>
  <c r="I208" i="16"/>
  <c r="G208" i="16"/>
  <c r="G211" i="16" s="1"/>
  <c r="T14" i="16"/>
  <c r="G38" i="16" s="1"/>
  <c r="I38" i="16" s="1"/>
  <c r="U14" i="1"/>
  <c r="Q19" i="40"/>
  <c r="E8" i="49"/>
  <c r="B71" i="49" l="1"/>
  <c r="K71" i="49" s="1"/>
  <c r="E78" i="49"/>
  <c r="I105" i="88"/>
  <c r="I107" i="88" s="1"/>
  <c r="AI6" i="38"/>
  <c r="AI16" i="38" s="1"/>
  <c r="I41" i="16"/>
  <c r="L41" i="16" s="1"/>
  <c r="I93" i="15"/>
  <c r="I98" i="15"/>
  <c r="I105" i="15" s="1"/>
  <c r="I107" i="15" s="1"/>
  <c r="AF17" i="41"/>
  <c r="AG7" i="41"/>
  <c r="AG17" i="41" s="1"/>
  <c r="O108" i="20"/>
  <c r="O111" i="20" s="1"/>
  <c r="G43" i="3"/>
  <c r="W15" i="40"/>
  <c r="I69" i="20"/>
  <c r="I73" i="20"/>
  <c r="I77" i="20" s="1"/>
  <c r="I79" i="20" s="1"/>
  <c r="E70" i="49"/>
  <c r="E72" i="49" s="1"/>
  <c r="I118" i="1"/>
  <c r="I125" i="1" s="1"/>
  <c r="I127" i="1" s="1"/>
  <c r="I113" i="1"/>
  <c r="I118" i="2"/>
  <c r="I125" i="2" s="1"/>
  <c r="I127" i="2" s="1"/>
  <c r="I113" i="2"/>
  <c r="I93" i="12"/>
  <c r="I98" i="12"/>
  <c r="I105" i="12" s="1"/>
  <c r="I107" i="12" s="1"/>
  <c r="O101" i="5"/>
  <c r="O100" i="5"/>
  <c r="O109" i="5"/>
  <c r="O108" i="5"/>
  <c r="U28" i="21"/>
  <c r="U28" i="22"/>
  <c r="T23" i="23"/>
  <c r="U35" i="23" s="1"/>
  <c r="I136" i="23" s="1"/>
  <c r="J136" i="23" s="1"/>
  <c r="M20" i="20"/>
  <c r="M35" i="41"/>
  <c r="L144" i="23"/>
  <c r="L147" i="23" s="1"/>
  <c r="T23" i="21"/>
  <c r="U35" i="21" s="1"/>
  <c r="I136" i="21" s="1"/>
  <c r="J136" i="21" s="1"/>
  <c r="T23" i="22"/>
  <c r="I100" i="5"/>
  <c r="J100" i="5" s="1"/>
  <c r="G106" i="94"/>
  <c r="G109" i="94"/>
  <c r="G113" i="94" s="1"/>
  <c r="G115" i="94" s="1"/>
  <c r="B72" i="49"/>
  <c r="E10" i="49"/>
  <c r="F87" i="49"/>
  <c r="G87" i="49"/>
  <c r="G100" i="49" s="1"/>
  <c r="G101" i="49" s="1"/>
  <c r="G102" i="49" s="1"/>
  <c r="O100" i="20"/>
  <c r="O103" i="20" s="1"/>
  <c r="O113" i="20" s="1"/>
  <c r="V25" i="23"/>
  <c r="V26" i="23"/>
  <c r="V38" i="23" s="1"/>
  <c r="K65" i="49"/>
  <c r="B67" i="49"/>
  <c r="L20" i="23"/>
  <c r="I50" i="23" s="1"/>
  <c r="M36" i="41"/>
  <c r="U23" i="21"/>
  <c r="U23" i="22"/>
  <c r="W10" i="40"/>
  <c r="G42" i="3"/>
  <c r="I105" i="89"/>
  <c r="I107" i="89" s="1"/>
  <c r="AF6" i="40"/>
  <c r="AH6" i="38"/>
  <c r="AH16" i="38" s="1"/>
  <c r="Q9" i="38"/>
  <c r="AE18" i="38" s="1"/>
  <c r="AH7" i="38"/>
  <c r="AH17" i="38" s="1"/>
  <c r="AF7" i="38"/>
  <c r="AI7" i="38"/>
  <c r="AI17" i="38" s="1"/>
  <c r="M36" i="38" s="1"/>
  <c r="T28" i="21"/>
  <c r="U40" i="21" s="1"/>
  <c r="I144" i="21" s="1"/>
  <c r="J144" i="21" s="1"/>
  <c r="I108" i="5"/>
  <c r="J108" i="5" s="1"/>
  <c r="Q108" i="5" s="1"/>
  <c r="T28" i="22"/>
  <c r="U40" i="22" s="1"/>
  <c r="I144" i="22" s="1"/>
  <c r="J144" i="22" s="1"/>
  <c r="AE8" i="38"/>
  <c r="AF6" i="38"/>
  <c r="AF16" i="41"/>
  <c r="M32" i="41" s="1"/>
  <c r="AG6" i="41"/>
  <c r="AG16" i="41" s="1"/>
  <c r="I69" i="5"/>
  <c r="I73" i="5"/>
  <c r="I77" i="5" s="1"/>
  <c r="I79" i="5" s="1"/>
  <c r="G106" i="9"/>
  <c r="G109" i="9"/>
  <c r="G113" i="9" s="1"/>
  <c r="G115" i="9" s="1"/>
  <c r="V21" i="23"/>
  <c r="V33" i="23" s="1"/>
  <c r="V20" i="23"/>
  <c r="B76" i="49"/>
  <c r="K76" i="49" s="1"/>
  <c r="K62" i="49"/>
  <c r="B8" i="49"/>
  <c r="O111" i="5" l="1"/>
  <c r="J52" i="23"/>
  <c r="Q108" i="20"/>
  <c r="M35" i="38"/>
  <c r="Q100" i="20"/>
  <c r="L144" i="21"/>
  <c r="L147" i="21" s="1"/>
  <c r="V28" i="23"/>
  <c r="V37" i="23"/>
  <c r="V25" i="21"/>
  <c r="V26" i="21"/>
  <c r="V38" i="21" s="1"/>
  <c r="I102" i="23"/>
  <c r="I110" i="23" s="1"/>
  <c r="I146" i="23"/>
  <c r="G73" i="23"/>
  <c r="I73" i="23" s="1"/>
  <c r="K67" i="49"/>
  <c r="B77" i="49"/>
  <c r="K77" i="49" s="1"/>
  <c r="K72" i="49"/>
  <c r="S248" i="40"/>
  <c r="Q9" i="40"/>
  <c r="AG7" i="40"/>
  <c r="AJ7" i="40"/>
  <c r="AJ17" i="40" s="1"/>
  <c r="AI7" i="40"/>
  <c r="AI17" i="40" s="1"/>
  <c r="K70" i="49"/>
  <c r="V21" i="21"/>
  <c r="V33" i="21" s="1"/>
  <c r="V20" i="21"/>
  <c r="M33" i="41"/>
  <c r="H186" i="41" s="1"/>
  <c r="Q100" i="5"/>
  <c r="AF16" i="38"/>
  <c r="AG6" i="38"/>
  <c r="AG16" i="38" s="1"/>
  <c r="H176" i="41"/>
  <c r="AF16" i="40"/>
  <c r="AG6" i="40"/>
  <c r="AG16" i="40" s="1"/>
  <c r="AF8" i="40"/>
  <c r="AI6" i="40"/>
  <c r="AI16" i="40" s="1"/>
  <c r="L28" i="22"/>
  <c r="U35" i="22"/>
  <c r="I136" i="22" s="1"/>
  <c r="J136" i="22" s="1"/>
  <c r="AF17" i="38"/>
  <c r="AG7" i="38"/>
  <c r="AG17" i="38" s="1"/>
  <c r="B78" i="49"/>
  <c r="L136" i="23"/>
  <c r="L139" i="23" s="1"/>
  <c r="L149" i="23" s="1"/>
  <c r="V23" i="23"/>
  <c r="V32" i="23"/>
  <c r="I100" i="23"/>
  <c r="I108" i="23" s="1"/>
  <c r="G71" i="23"/>
  <c r="I71" i="23" s="1"/>
  <c r="I138" i="23"/>
  <c r="E87" i="49"/>
  <c r="E100" i="49" s="1"/>
  <c r="E101" i="49" s="1"/>
  <c r="E102" i="49" s="1"/>
  <c r="F100" i="49"/>
  <c r="F101" i="49" s="1"/>
  <c r="F102" i="49" s="1"/>
  <c r="L136" i="21"/>
  <c r="L139" i="21" s="1"/>
  <c r="L149" i="21" s="1"/>
  <c r="AJ6" i="40"/>
  <c r="AJ16" i="40" s="1"/>
  <c r="S258" i="40"/>
  <c r="Q14" i="40"/>
  <c r="V26" i="22"/>
  <c r="V38" i="22" s="1"/>
  <c r="V25" i="22"/>
  <c r="K8" i="49"/>
  <c r="B10" i="49"/>
  <c r="L144" i="22"/>
  <c r="L147" i="22" s="1"/>
  <c r="V21" i="22"/>
  <c r="V33" i="22" s="1"/>
  <c r="V20" i="22"/>
  <c r="L16" i="23"/>
  <c r="I58" i="23" s="1"/>
  <c r="J60" i="23" s="1"/>
  <c r="J61" i="23" s="1"/>
  <c r="E20" i="49"/>
  <c r="N144" i="23"/>
  <c r="M37" i="41" l="1"/>
  <c r="E21" i="29"/>
  <c r="E85" i="29"/>
  <c r="N136" i="23"/>
  <c r="E107" i="29" s="1"/>
  <c r="N144" i="22"/>
  <c r="AH6" i="40"/>
  <c r="AH16" i="40" s="1"/>
  <c r="M36" i="40"/>
  <c r="N136" i="21"/>
  <c r="AJ7" i="38"/>
  <c r="N144" i="21"/>
  <c r="I100" i="21"/>
  <c r="I108" i="21" s="1"/>
  <c r="I138" i="21"/>
  <c r="G71" i="21"/>
  <c r="I71" i="21" s="1"/>
  <c r="L20" i="21"/>
  <c r="I50" i="21" s="1"/>
  <c r="J52" i="21" s="1"/>
  <c r="K78" i="49"/>
  <c r="V23" i="21"/>
  <c r="V32" i="21"/>
  <c r="AJ17" i="38"/>
  <c r="M33" i="38"/>
  <c r="H186" i="38" s="1"/>
  <c r="V28" i="22"/>
  <c r="V37" i="22"/>
  <c r="I146" i="22"/>
  <c r="I102" i="22"/>
  <c r="I110" i="22" s="1"/>
  <c r="G73" i="22"/>
  <c r="I73" i="22" s="1"/>
  <c r="G70" i="23"/>
  <c r="I137" i="23"/>
  <c r="V35" i="23"/>
  <c r="I99" i="23"/>
  <c r="AJ6" i="38"/>
  <c r="AG17" i="40"/>
  <c r="M32" i="40" s="1"/>
  <c r="AH7" i="40"/>
  <c r="AH17" i="40" s="1"/>
  <c r="M33" i="40" s="1"/>
  <c r="H186" i="40" s="1"/>
  <c r="M35" i="40"/>
  <c r="M32" i="38"/>
  <c r="H176" i="38" s="1"/>
  <c r="AJ16" i="38"/>
  <c r="I101" i="23"/>
  <c r="I109" i="23" s="1"/>
  <c r="V40" i="23"/>
  <c r="G72" i="23"/>
  <c r="I72" i="23" s="1"/>
  <c r="I145" i="23"/>
  <c r="V23" i="22"/>
  <c r="V32" i="22"/>
  <c r="G71" i="22"/>
  <c r="I71" i="22" s="1"/>
  <c r="I100" i="22"/>
  <c r="I108" i="22" s="1"/>
  <c r="I138" i="22"/>
  <c r="L136" i="22"/>
  <c r="L139" i="22" s="1"/>
  <c r="L149" i="22" s="1"/>
  <c r="AF273" i="40"/>
  <c r="AF275" i="40" s="1"/>
  <c r="I102" i="21"/>
  <c r="I110" i="21" s="1"/>
  <c r="I146" i="21"/>
  <c r="G73" i="21"/>
  <c r="I73" i="21" s="1"/>
  <c r="K10" i="49"/>
  <c r="L16" i="21"/>
  <c r="I58" i="21" s="1"/>
  <c r="J60" i="21" s="1"/>
  <c r="J61" i="21" s="1"/>
  <c r="L16" i="22"/>
  <c r="I58" i="22" s="1"/>
  <c r="J60" i="22" s="1"/>
  <c r="J61" i="22" s="1"/>
  <c r="D87" i="49"/>
  <c r="B20" i="49"/>
  <c r="L31" i="22"/>
  <c r="N28" i="22"/>
  <c r="N31" i="22" s="1"/>
  <c r="I50" i="22" s="1"/>
  <c r="J52" i="22" s="1"/>
  <c r="V28" i="21"/>
  <c r="V37" i="21"/>
  <c r="E44" i="29" l="1"/>
  <c r="H176" i="40"/>
  <c r="N136" i="22"/>
  <c r="E65" i="29" s="1"/>
  <c r="G74" i="23"/>
  <c r="I70" i="23"/>
  <c r="J74" i="23" s="1"/>
  <c r="I99" i="21"/>
  <c r="V35" i="21"/>
  <c r="G70" i="21"/>
  <c r="I137" i="21"/>
  <c r="B87" i="49"/>
  <c r="D100" i="49"/>
  <c r="D101" i="49" s="1"/>
  <c r="D102" i="49" s="1"/>
  <c r="I103" i="23"/>
  <c r="I107" i="23"/>
  <c r="I111" i="23" s="1"/>
  <c r="I113" i="23" s="1"/>
  <c r="I145" i="21"/>
  <c r="I101" i="21"/>
  <c r="I109" i="21" s="1"/>
  <c r="V40" i="21"/>
  <c r="G72" i="21"/>
  <c r="I72" i="21" s="1"/>
  <c r="V35" i="22"/>
  <c r="G70" i="22"/>
  <c r="I137" i="22"/>
  <c r="I99" i="22"/>
  <c r="V40" i="22"/>
  <c r="I145" i="22"/>
  <c r="I101" i="22"/>
  <c r="I109" i="22" s="1"/>
  <c r="G72" i="22"/>
  <c r="I72" i="22" s="1"/>
  <c r="G74" i="21" l="1"/>
  <c r="I70" i="21"/>
  <c r="J74" i="21" s="1"/>
  <c r="I103" i="22"/>
  <c r="I107" i="22"/>
  <c r="I111" i="22" s="1"/>
  <c r="I113" i="22" s="1"/>
  <c r="I107" i="21"/>
  <c r="I111" i="21" s="1"/>
  <c r="I113" i="21" s="1"/>
  <c r="I103" i="21"/>
  <c r="G74" i="22"/>
  <c r="I70" i="22"/>
  <c r="J74" i="22" s="1"/>
  <c r="K87" i="49"/>
  <c r="L87" i="49" s="1"/>
  <c r="B100" i="49"/>
  <c r="K100" i="49" l="1"/>
  <c r="B101" i="49"/>
  <c r="K101" i="49" s="1"/>
  <c r="B102" i="49" l="1"/>
  <c r="K102" i="49"/>
  <c r="U12" i="3" l="1"/>
  <c r="U12" i="16"/>
  <c r="U12" i="90"/>
  <c r="P13" i="95"/>
  <c r="U8" i="3"/>
  <c r="U8" i="90"/>
  <c r="P9" i="95"/>
  <c r="F144" i="95" s="1"/>
  <c r="U8" i="16"/>
  <c r="U13" i="90"/>
  <c r="P14" i="95"/>
  <c r="F159" i="95" s="1"/>
  <c r="U13" i="3"/>
  <c r="U13" i="16"/>
  <c r="U7" i="90"/>
  <c r="U7" i="3"/>
  <c r="U7" i="16"/>
  <c r="P8" i="95"/>
  <c r="I86" i="90" l="1"/>
  <c r="I98" i="90" s="1"/>
  <c r="I192" i="90"/>
  <c r="P27" i="95"/>
  <c r="G102" i="95"/>
  <c r="F143" i="95"/>
  <c r="F145" i="95" s="1"/>
  <c r="P10" i="95"/>
  <c r="I86" i="16"/>
  <c r="I192" i="16"/>
  <c r="G103" i="95"/>
  <c r="G110" i="95" s="1"/>
  <c r="I110" i="95" s="1"/>
  <c r="F158" i="95"/>
  <c r="F160" i="95" s="1"/>
  <c r="P15" i="95"/>
  <c r="I87" i="16"/>
  <c r="I99" i="16" s="1"/>
  <c r="I209" i="16"/>
  <c r="U14" i="16"/>
  <c r="I85" i="16"/>
  <c r="I97" i="16" s="1"/>
  <c r="I191" i="16"/>
  <c r="I193" i="16" s="1"/>
  <c r="U9" i="16"/>
  <c r="I221" i="3"/>
  <c r="I105" i="3"/>
  <c r="U9" i="3"/>
  <c r="I85" i="90"/>
  <c r="I97" i="90" s="1"/>
  <c r="I191" i="90"/>
  <c r="U9" i="90"/>
  <c r="I222" i="3"/>
  <c r="I106" i="3"/>
  <c r="I118" i="3" s="1"/>
  <c r="I210" i="16"/>
  <c r="I88" i="16"/>
  <c r="I100" i="16" s="1"/>
  <c r="K100" i="16" s="1"/>
  <c r="I108" i="3"/>
  <c r="I120" i="3" s="1"/>
  <c r="K120" i="3" s="1"/>
  <c r="I240" i="3"/>
  <c r="I209" i="90"/>
  <c r="I87" i="90"/>
  <c r="I99" i="90" s="1"/>
  <c r="U14" i="90"/>
  <c r="I88" i="90"/>
  <c r="I100" i="90" s="1"/>
  <c r="K100" i="90" s="1"/>
  <c r="I210" i="90"/>
  <c r="I107" i="3"/>
  <c r="I119" i="3" s="1"/>
  <c r="I239" i="3"/>
  <c r="U14" i="3"/>
  <c r="I193" i="90" l="1"/>
  <c r="I211" i="90"/>
  <c r="I105" i="90"/>
  <c r="I107" i="90" s="1"/>
  <c r="I211" i="16"/>
  <c r="I93" i="16"/>
  <c r="I98" i="16"/>
  <c r="I241" i="3"/>
  <c r="G109" i="95"/>
  <c r="G113" i="95" s="1"/>
  <c r="G115" i="95" s="1"/>
  <c r="G106" i="95"/>
  <c r="I105" i="16"/>
  <c r="I107" i="16" s="1"/>
  <c r="I117" i="3"/>
  <c r="I125" i="3" s="1"/>
  <c r="I127" i="3" s="1"/>
  <c r="I113" i="3"/>
  <c r="I223" i="3"/>
  <c r="S13" i="48" l="1"/>
  <c r="S8" i="48"/>
  <c r="S12" i="48"/>
  <c r="S7" i="48"/>
  <c r="S6" i="48"/>
  <c r="K21" i="96" l="1"/>
  <c r="M21" i="96" s="1"/>
  <c r="B76" i="96" s="1"/>
  <c r="I75" i="48"/>
  <c r="L21" i="96"/>
  <c r="N21" i="96" s="1"/>
  <c r="C76" i="96" s="1"/>
  <c r="I76" i="48"/>
  <c r="K17" i="96"/>
  <c r="M17" i="96" s="1"/>
  <c r="S9" i="48"/>
  <c r="K19" i="96"/>
  <c r="M19" i="96" s="1"/>
  <c r="S14" i="48"/>
  <c r="L19" i="96"/>
  <c r="N19" i="96" s="1"/>
  <c r="C82" i="96" l="1"/>
  <c r="C149" i="96"/>
  <c r="I167" i="48"/>
  <c r="I84" i="48"/>
  <c r="I85" i="48"/>
  <c r="I177" i="48"/>
  <c r="B149" i="96"/>
  <c r="C81" i="96"/>
  <c r="K149" i="96" l="1"/>
  <c r="B156" i="96"/>
  <c r="L149" i="96"/>
  <c r="C156" i="96"/>
  <c r="C165" i="96" s="1"/>
  <c r="C83" i="96"/>
  <c r="E85" i="96" s="1"/>
  <c r="E86" i="96" s="1"/>
  <c r="G85" i="96"/>
  <c r="E156" i="96" l="1"/>
  <c r="B165" i="96"/>
  <c r="E165" i="96" s="1"/>
  <c r="S17" i="48" l="1"/>
  <c r="S16" i="48"/>
  <c r="S22" i="48"/>
  <c r="L20" i="96" l="1"/>
  <c r="N20" i="96" s="1"/>
  <c r="C75" i="96" s="1"/>
  <c r="S24" i="48"/>
  <c r="I74" i="48"/>
  <c r="K18" i="96"/>
  <c r="M18" i="96" s="1"/>
  <c r="B74" i="96" s="1"/>
  <c r="S19" i="48"/>
  <c r="I71" i="48"/>
  <c r="K20" i="96"/>
  <c r="M20" i="96" s="1"/>
  <c r="B75" i="96" s="1"/>
  <c r="I73" i="48"/>
  <c r="S26" i="48" l="1"/>
  <c r="B148" i="96"/>
  <c r="C104" i="96"/>
  <c r="I165" i="48"/>
  <c r="I168" i="48" s="1"/>
  <c r="I80" i="48"/>
  <c r="I77" i="48"/>
  <c r="I83" i="48"/>
  <c r="K83" i="48" s="1"/>
  <c r="I176" i="48"/>
  <c r="I178" i="48" s="1"/>
  <c r="I82" i="48"/>
  <c r="I166" i="48"/>
  <c r="C93" i="96"/>
  <c r="G93" i="96" s="1"/>
  <c r="E100" i="96" s="1"/>
  <c r="B147" i="96"/>
  <c r="C105" i="96"/>
  <c r="C148" i="96"/>
  <c r="L148" i="96" l="1"/>
  <c r="C155" i="96"/>
  <c r="I86" i="48"/>
  <c r="I88" i="48" s="1"/>
  <c r="K147" i="96"/>
  <c r="K154" i="96" s="1"/>
  <c r="B154" i="96"/>
  <c r="C106" i="96"/>
  <c r="E108" i="96" s="1"/>
  <c r="E109" i="96" s="1"/>
  <c r="G108" i="96"/>
  <c r="K148" i="96"/>
  <c r="B155" i="96"/>
  <c r="N154" i="96" l="1"/>
  <c r="K163" i="96"/>
  <c r="N163" i="96" s="1"/>
  <c r="B157" i="96"/>
  <c r="E154" i="96"/>
  <c r="B163" i="96"/>
  <c r="C157" i="96"/>
  <c r="C164" i="96"/>
  <c r="C166" i="96" s="1"/>
  <c r="E155" i="96"/>
  <c r="B164" i="96"/>
  <c r="E163" i="96" l="1"/>
  <c r="B166" i="96"/>
  <c r="E157" i="96"/>
  <c r="E164" i="96"/>
  <c r="E166" i="96" l="1"/>
  <c r="L19" i="36" l="1"/>
  <c r="L19" i="37"/>
  <c r="L19" i="35"/>
  <c r="L29" i="3"/>
  <c r="I161" i="3" s="1"/>
  <c r="L19" i="34"/>
  <c r="L29" i="2"/>
  <c r="I161" i="2" s="1"/>
  <c r="L19" i="32"/>
  <c r="L29" i="1"/>
  <c r="I161" i="1" s="1"/>
  <c r="L21" i="91" l="1"/>
  <c r="L21" i="41"/>
  <c r="M21" i="41" s="1"/>
  <c r="I118" i="41" s="1"/>
  <c r="L29" i="4"/>
  <c r="I161" i="4" s="1"/>
  <c r="I122" i="41" l="1"/>
  <c r="L132" i="41" s="1"/>
  <c r="I120" i="41"/>
  <c r="G156" i="41" s="1"/>
  <c r="I44" i="41" s="1"/>
  <c r="N135" i="41" l="1"/>
  <c r="L136" i="41"/>
  <c r="L135" i="41"/>
  <c r="N136" i="41"/>
  <c r="K155" i="41" s="1"/>
  <c r="G135" i="41" l="1"/>
  <c r="K142" i="41" s="1"/>
  <c r="K152" i="41"/>
  <c r="G136" i="41"/>
  <c r="K143" i="41" s="1"/>
  <c r="K153" i="41"/>
  <c r="H135" i="41"/>
  <c r="K144" i="41" s="1"/>
  <c r="K154" i="41"/>
  <c r="K156" i="41" l="1"/>
  <c r="G158" i="41" s="1"/>
  <c r="I160" i="41" s="1"/>
  <c r="H167" i="41" l="1"/>
  <c r="J167" i="41"/>
  <c r="H168" i="41"/>
  <c r="J168" i="41"/>
  <c r="H17" i="41" l="1"/>
  <c r="H208" i="41"/>
  <c r="O168" i="41"/>
  <c r="H201" i="41"/>
  <c r="H15" i="41"/>
  <c r="M168" i="41"/>
  <c r="H16" i="41"/>
  <c r="H207" i="41"/>
  <c r="O167" i="41"/>
  <c r="H200" i="41"/>
  <c r="H14" i="41"/>
  <c r="M167" i="41"/>
  <c r="J207" i="41" l="1"/>
  <c r="H274" i="41"/>
  <c r="J274" i="41" s="1"/>
  <c r="E81" i="50"/>
  <c r="H18" i="41"/>
  <c r="E85" i="50" s="1"/>
  <c r="F85" i="50" s="1"/>
  <c r="H267" i="41"/>
  <c r="J267" i="41" s="1"/>
  <c r="J200" i="41"/>
  <c r="H275" i="41"/>
  <c r="J275" i="41" s="1"/>
  <c r="N275" i="41" s="1"/>
  <c r="J208" i="41"/>
  <c r="N208" i="41" s="1"/>
  <c r="H268" i="41"/>
  <c r="J268" i="41" s="1"/>
  <c r="N268" i="41" s="1"/>
  <c r="J201" i="41"/>
  <c r="N201" i="41" s="1"/>
  <c r="H20" i="41"/>
  <c r="E87" i="50" s="1"/>
  <c r="F87" i="50" s="1"/>
  <c r="E83" i="50"/>
  <c r="F83" i="50" s="1"/>
  <c r="H19" i="41"/>
  <c r="E86" i="50" s="1"/>
  <c r="F86" i="50" s="1"/>
  <c r="E82" i="50"/>
  <c r="F82" i="50" s="1"/>
  <c r="E84" i="50"/>
  <c r="F84" i="50" s="1"/>
  <c r="H21" i="41"/>
  <c r="E88" i="50" s="1"/>
  <c r="F88" i="50" s="1"/>
  <c r="F81" i="50" l="1"/>
  <c r="J202" i="41"/>
  <c r="N200" i="41"/>
  <c r="N202" i="41" s="1"/>
  <c r="N274" i="41"/>
  <c r="N276" i="41" s="1"/>
  <c r="J276" i="41"/>
  <c r="J269" i="41"/>
  <c r="N267" i="41"/>
  <c r="N269" i="41" s="1"/>
  <c r="N207" i="41"/>
  <c r="N209" i="41" s="1"/>
  <c r="J209" i="41"/>
  <c r="N278" i="41" l="1"/>
  <c r="M284" i="41" s="1"/>
  <c r="N211" i="41"/>
  <c r="M217" i="41" s="1"/>
  <c r="E94" i="50" s="1"/>
  <c r="J278" i="41"/>
  <c r="J211" i="41"/>
  <c r="L19" i="38" l="1"/>
  <c r="M19" i="38" s="1"/>
  <c r="I118" i="38" s="1"/>
  <c r="L19" i="40" l="1"/>
  <c r="M19" i="40" s="1"/>
  <c r="I118" i="40" s="1"/>
  <c r="M20" i="36" l="1"/>
  <c r="I109" i="36" s="1"/>
  <c r="M20" i="32" l="1"/>
  <c r="I96" i="32" s="1"/>
  <c r="M20" i="37"/>
  <c r="I96" i="37" s="1"/>
  <c r="M20" i="38"/>
  <c r="I119" i="38" s="1"/>
  <c r="L20" i="35"/>
  <c r="M20" i="35"/>
  <c r="I109" i="35" s="1"/>
  <c r="L20" i="32"/>
  <c r="M20" i="34"/>
  <c r="I96" i="34" s="1"/>
  <c r="L20" i="34"/>
  <c r="L20" i="36"/>
  <c r="L20" i="38"/>
  <c r="L20" i="37"/>
  <c r="L20" i="40" l="1"/>
  <c r="M20" i="40"/>
  <c r="I119" i="40" s="1"/>
  <c r="I122" i="40" s="1"/>
  <c r="L132" i="40" s="1"/>
  <c r="I122" i="38"/>
  <c r="L132" i="38" s="1"/>
  <c r="I120" i="38"/>
  <c r="I120" i="40"/>
  <c r="G156" i="40" s="1"/>
  <c r="I44" i="40" s="1"/>
  <c r="N136" i="40" l="1"/>
  <c r="K155" i="40" s="1"/>
  <c r="L135" i="40"/>
  <c r="L136" i="40"/>
  <c r="N135" i="40"/>
  <c r="I44" i="38"/>
  <c r="G156" i="38"/>
  <c r="N136" i="38"/>
  <c r="K155" i="38" s="1"/>
  <c r="L135" i="38"/>
  <c r="L136" i="38"/>
  <c r="N135" i="38"/>
  <c r="K152" i="38" l="1"/>
  <c r="G135" i="38"/>
  <c r="K142" i="38" s="1"/>
  <c r="K154" i="40"/>
  <c r="H135" i="40"/>
  <c r="K144" i="40" s="1"/>
  <c r="G136" i="40"/>
  <c r="K143" i="40" s="1"/>
  <c r="K153" i="40"/>
  <c r="H135" i="38"/>
  <c r="K144" i="38" s="1"/>
  <c r="K154" i="38"/>
  <c r="G135" i="40"/>
  <c r="K142" i="40" s="1"/>
  <c r="K152" i="40"/>
  <c r="K156" i="40" s="1"/>
  <c r="G158" i="40" s="1"/>
  <c r="I160" i="40" s="1"/>
  <c r="K153" i="38"/>
  <c r="G136" i="38"/>
  <c r="K143" i="38" s="1"/>
  <c r="J168" i="40" l="1"/>
  <c r="J167" i="40"/>
  <c r="H168" i="40"/>
  <c r="H167" i="40"/>
  <c r="K156" i="38"/>
  <c r="G158" i="38" s="1"/>
  <c r="I160" i="38" s="1"/>
  <c r="M168" i="40" l="1"/>
  <c r="H201" i="40"/>
  <c r="H15" i="40"/>
  <c r="M167" i="40"/>
  <c r="H200" i="40"/>
  <c r="H14" i="40"/>
  <c r="H16" i="40"/>
  <c r="O167" i="40"/>
  <c r="H207" i="40"/>
  <c r="J167" i="38"/>
  <c r="H167" i="38"/>
  <c r="H168" i="38"/>
  <c r="J168" i="38"/>
  <c r="H17" i="40"/>
  <c r="O168" i="40"/>
  <c r="H208" i="40"/>
  <c r="H201" i="38" l="1"/>
  <c r="M168" i="38"/>
  <c r="H15" i="38"/>
  <c r="E49" i="50"/>
  <c r="F49" i="50" s="1"/>
  <c r="H19" i="40"/>
  <c r="E53" i="50" s="1"/>
  <c r="F53" i="50" s="1"/>
  <c r="H200" i="38"/>
  <c r="H14" i="38"/>
  <c r="M167" i="38"/>
  <c r="H21" i="40"/>
  <c r="E55" i="50" s="1"/>
  <c r="F55" i="50" s="1"/>
  <c r="E51" i="50"/>
  <c r="F51" i="50" s="1"/>
  <c r="H16" i="38"/>
  <c r="O167" i="38"/>
  <c r="H207" i="38"/>
  <c r="H18" i="40"/>
  <c r="E52" i="50" s="1"/>
  <c r="F52" i="50" s="1"/>
  <c r="E48" i="50"/>
  <c r="H273" i="40"/>
  <c r="J273" i="40" s="1"/>
  <c r="N273" i="40" s="1"/>
  <c r="J201" i="40"/>
  <c r="N201" i="40" s="1"/>
  <c r="H280" i="40"/>
  <c r="J280" i="40" s="1"/>
  <c r="N280" i="40" s="1"/>
  <c r="J208" i="40"/>
  <c r="N208" i="40" s="1"/>
  <c r="H20" i="40"/>
  <c r="E54" i="50" s="1"/>
  <c r="F54" i="50" s="1"/>
  <c r="E50" i="50"/>
  <c r="F50" i="50" s="1"/>
  <c r="O168" i="38"/>
  <c r="H208" i="38"/>
  <c r="H17" i="38"/>
  <c r="J207" i="40"/>
  <c r="H279" i="40"/>
  <c r="J279" i="40" s="1"/>
  <c r="H272" i="40"/>
  <c r="J272" i="40" s="1"/>
  <c r="J200" i="40"/>
  <c r="F48" i="50" l="1"/>
  <c r="H21" i="38"/>
  <c r="E24" i="50" s="1"/>
  <c r="F24" i="50" s="1"/>
  <c r="E20" i="50"/>
  <c r="F20" i="50" s="1"/>
  <c r="N200" i="40"/>
  <c r="N202" i="40" s="1"/>
  <c r="J202" i="40"/>
  <c r="N272" i="40"/>
  <c r="N274" i="40" s="1"/>
  <c r="J274" i="40"/>
  <c r="H275" i="38"/>
  <c r="J275" i="38" s="1"/>
  <c r="N275" i="38" s="1"/>
  <c r="J208" i="38"/>
  <c r="N208" i="38" s="1"/>
  <c r="H20" i="38"/>
  <c r="E23" i="50" s="1"/>
  <c r="F23" i="50" s="1"/>
  <c r="E19" i="50"/>
  <c r="F19" i="50" s="1"/>
  <c r="H18" i="38"/>
  <c r="E21" i="50" s="1"/>
  <c r="F21" i="50" s="1"/>
  <c r="E17" i="50"/>
  <c r="H19" i="38"/>
  <c r="E22" i="50" s="1"/>
  <c r="F22" i="50" s="1"/>
  <c r="E18" i="50"/>
  <c r="F18" i="50" s="1"/>
  <c r="J281" i="40"/>
  <c r="N279" i="40"/>
  <c r="N281" i="40" s="1"/>
  <c r="H267" i="38"/>
  <c r="J267" i="38" s="1"/>
  <c r="J200" i="38"/>
  <c r="N207" i="40"/>
  <c r="N209" i="40" s="1"/>
  <c r="J209" i="40"/>
  <c r="J207" i="38"/>
  <c r="H274" i="38"/>
  <c r="J274" i="38" s="1"/>
  <c r="H268" i="38"/>
  <c r="J268" i="38" s="1"/>
  <c r="N268" i="38" s="1"/>
  <c r="J201" i="38"/>
  <c r="N201" i="38" s="1"/>
  <c r="F17" i="50" l="1"/>
  <c r="J211" i="40"/>
  <c r="N211" i="40"/>
  <c r="M222" i="40" s="1"/>
  <c r="E61" i="50" s="1"/>
  <c r="N274" i="38"/>
  <c r="N276" i="38" s="1"/>
  <c r="J276" i="38"/>
  <c r="N200" i="38"/>
  <c r="N202" i="38" s="1"/>
  <c r="J202" i="38"/>
  <c r="J283" i="40"/>
  <c r="N207" i="38"/>
  <c r="N209" i="38" s="1"/>
  <c r="J209" i="38"/>
  <c r="J269" i="38"/>
  <c r="N267" i="38"/>
  <c r="N269" i="38" s="1"/>
  <c r="N283" i="40"/>
  <c r="M289" i="40" s="1"/>
  <c r="J211" i="38" l="1"/>
  <c r="N278" i="38"/>
  <c r="M284" i="38" s="1"/>
  <c r="J278" i="38"/>
  <c r="N211" i="38"/>
  <c r="M217" i="38" s="1"/>
  <c r="E30" i="50" s="1"/>
  <c r="H12" i="49" l="1"/>
  <c r="G24" i="3"/>
  <c r="G25" i="3"/>
  <c r="B12" i="49"/>
  <c r="G24" i="2"/>
  <c r="G24" i="4"/>
  <c r="G25" i="2"/>
  <c r="G25" i="4"/>
  <c r="C12" i="49"/>
  <c r="I12" i="49"/>
  <c r="G24" i="1"/>
  <c r="G25" i="1"/>
  <c r="G11" i="98"/>
  <c r="G13" i="98" s="1"/>
  <c r="D12" i="49"/>
  <c r="H11" i="98" l="1"/>
  <c r="H13" i="98" s="1"/>
  <c r="G23" i="2"/>
  <c r="G26" i="2" s="1"/>
  <c r="I40" i="2" s="1"/>
  <c r="I49" i="2" s="1"/>
  <c r="I11" i="98"/>
  <c r="G23" i="3"/>
  <c r="G26" i="3" s="1"/>
  <c r="I40" i="3" s="1"/>
  <c r="I49" i="3" s="1"/>
  <c r="J11" i="98"/>
  <c r="E11" i="98"/>
  <c r="E13" i="98" s="1"/>
  <c r="F11" i="98"/>
  <c r="F13" i="98" s="1"/>
  <c r="G15" i="98"/>
  <c r="H24" i="37" s="1"/>
  <c r="D11" i="98"/>
  <c r="D13" i="98" s="1"/>
  <c r="H15" i="98"/>
  <c r="H24" i="36" s="1"/>
  <c r="K11" i="98"/>
  <c r="G23" i="4"/>
  <c r="G26" i="4" s="1"/>
  <c r="I40" i="4" s="1"/>
  <c r="I49" i="4" s="1"/>
  <c r="G23" i="1"/>
  <c r="G26" i="1" s="1"/>
  <c r="I40" i="1" s="1"/>
  <c r="I49" i="1" s="1"/>
  <c r="I92" i="49"/>
  <c r="I93" i="49" s="1"/>
  <c r="I94" i="49" s="1"/>
  <c r="I95" i="49" s="1"/>
  <c r="I103" i="49" s="1"/>
  <c r="I26" i="49"/>
  <c r="I27" i="49"/>
  <c r="I32" i="49" s="1"/>
  <c r="I37" i="49" s="1"/>
  <c r="C26" i="49"/>
  <c r="C27" i="49"/>
  <c r="C32" i="49" s="1"/>
  <c r="C37" i="49" s="1"/>
  <c r="C92" i="49"/>
  <c r="C93" i="49" s="1"/>
  <c r="C94" i="49" s="1"/>
  <c r="C95" i="49" s="1"/>
  <c r="C103" i="49" s="1"/>
  <c r="D26" i="49"/>
  <c r="D92" i="49"/>
  <c r="D93" i="49" s="1"/>
  <c r="D94" i="49" s="1"/>
  <c r="D95" i="49" s="1"/>
  <c r="D103" i="49" s="1"/>
  <c r="D27" i="49"/>
  <c r="D32" i="49" s="1"/>
  <c r="D37" i="49" s="1"/>
  <c r="B92" i="49"/>
  <c r="B93" i="49" s="1"/>
  <c r="B94" i="49" s="1"/>
  <c r="B95" i="49" s="1"/>
  <c r="B26" i="49"/>
  <c r="B27" i="49"/>
  <c r="H27" i="49"/>
  <c r="H32" i="49" s="1"/>
  <c r="H37" i="49" s="1"/>
  <c r="H92" i="49"/>
  <c r="H93" i="49" s="1"/>
  <c r="H94" i="49" s="1"/>
  <c r="H95" i="49" s="1"/>
  <c r="H103" i="49" s="1"/>
  <c r="H26" i="49"/>
  <c r="E12" i="49"/>
  <c r="L25" i="21" l="1"/>
  <c r="M30" i="37"/>
  <c r="M38" i="37" s="1"/>
  <c r="E118" i="6"/>
  <c r="H89" i="37"/>
  <c r="E15" i="98"/>
  <c r="H24" i="34" s="1"/>
  <c r="D15" i="98"/>
  <c r="H24" i="32" s="1"/>
  <c r="M21" i="47"/>
  <c r="M30" i="36"/>
  <c r="M38" i="36" s="1"/>
  <c r="H102" i="36"/>
  <c r="E148" i="6"/>
  <c r="L23" i="22"/>
  <c r="F15" i="98"/>
  <c r="H24" i="35" s="1"/>
  <c r="B32" i="49"/>
  <c r="B37" i="49" s="1"/>
  <c r="C31" i="49"/>
  <c r="C33" i="49" s="1"/>
  <c r="C43" i="49" s="1"/>
  <c r="C28" i="49"/>
  <c r="C42" i="49" s="1"/>
  <c r="C44" i="49" s="1"/>
  <c r="C79" i="49" s="1"/>
  <c r="L26" i="23"/>
  <c r="H31" i="49"/>
  <c r="H33" i="49" s="1"/>
  <c r="H43" i="49" s="1"/>
  <c r="H28" i="49"/>
  <c r="H42" i="49" s="1"/>
  <c r="H44" i="49" s="1"/>
  <c r="H79" i="49" s="1"/>
  <c r="B28" i="49"/>
  <c r="B31" i="49"/>
  <c r="B36" i="49" s="1"/>
  <c r="D31" i="49"/>
  <c r="D33" i="49" s="1"/>
  <c r="D43" i="49" s="1"/>
  <c r="D28" i="49"/>
  <c r="D42" i="49" s="1"/>
  <c r="D36" i="49"/>
  <c r="D38" i="49" s="1"/>
  <c r="B103" i="49"/>
  <c r="I31" i="49"/>
  <c r="I33" i="49" s="1"/>
  <c r="I43" i="49" s="1"/>
  <c r="I28" i="49"/>
  <c r="I42" i="49" s="1"/>
  <c r="E27" i="49"/>
  <c r="E32" i="49" s="1"/>
  <c r="E37" i="49" s="1"/>
  <c r="E26" i="49"/>
  <c r="E92" i="49"/>
  <c r="E93" i="49" s="1"/>
  <c r="E94" i="49" s="1"/>
  <c r="E95" i="49" s="1"/>
  <c r="E103" i="49" s="1"/>
  <c r="L22" i="24"/>
  <c r="J34" i="24" s="1"/>
  <c r="L20" i="26"/>
  <c r="F12" i="49"/>
  <c r="G12" i="49"/>
  <c r="L23" i="1"/>
  <c r="I159" i="1" s="1"/>
  <c r="L21" i="2"/>
  <c r="I159" i="2" s="1"/>
  <c r="L21" i="4"/>
  <c r="I159" i="4" s="1"/>
  <c r="D40" i="18"/>
  <c r="L18" i="5"/>
  <c r="L21" i="47" l="1"/>
  <c r="I159" i="47" s="1"/>
  <c r="K164" i="36"/>
  <c r="M164" i="36" s="1"/>
  <c r="J102" i="36"/>
  <c r="K174" i="36" s="1"/>
  <c r="M174" i="36" s="1"/>
  <c r="M30" i="32"/>
  <c r="M38" i="32" s="1"/>
  <c r="E25" i="6"/>
  <c r="H89" i="32"/>
  <c r="K151" i="37"/>
  <c r="M151" i="37" s="1"/>
  <c r="J89" i="37"/>
  <c r="K161" i="37" s="1"/>
  <c r="M161" i="37" s="1"/>
  <c r="E85" i="6"/>
  <c r="H102" i="35"/>
  <c r="M30" i="35"/>
  <c r="M38" i="35" s="1"/>
  <c r="E55" i="6"/>
  <c r="H89" i="34"/>
  <c r="M30" i="34"/>
  <c r="M38" i="34" s="1"/>
  <c r="E28" i="96"/>
  <c r="G69" i="96" s="1"/>
  <c r="I44" i="49"/>
  <c r="I79" i="49" s="1"/>
  <c r="D44" i="49"/>
  <c r="D79" i="49" s="1"/>
  <c r="F27" i="49"/>
  <c r="F26" i="49"/>
  <c r="F92" i="49"/>
  <c r="F93" i="49" s="1"/>
  <c r="E16" i="20"/>
  <c r="E17" i="20" s="1"/>
  <c r="B38" i="49"/>
  <c r="D13" i="18"/>
  <c r="L24" i="22"/>
  <c r="E28" i="49"/>
  <c r="E42" i="49" s="1"/>
  <c r="E31" i="49"/>
  <c r="E33" i="49" s="1"/>
  <c r="E43" i="49" s="1"/>
  <c r="B33" i="49"/>
  <c r="D22" i="18"/>
  <c r="G27" i="49"/>
  <c r="G32" i="49" s="1"/>
  <c r="G37" i="49" s="1"/>
  <c r="G92" i="49"/>
  <c r="G93" i="49" s="1"/>
  <c r="G94" i="49" s="1"/>
  <c r="G95" i="49" s="1"/>
  <c r="G103" i="49" s="1"/>
  <c r="G26" i="49"/>
  <c r="K26" i="49" s="1"/>
  <c r="B42" i="49"/>
  <c r="M16" i="17"/>
  <c r="I134" i="17" s="1"/>
  <c r="M16" i="91"/>
  <c r="I134" i="91" s="1"/>
  <c r="D67" i="18"/>
  <c r="I36" i="49"/>
  <c r="I38" i="49" s="1"/>
  <c r="H36" i="49"/>
  <c r="H38" i="49" s="1"/>
  <c r="C36" i="49"/>
  <c r="C38" i="49" s="1"/>
  <c r="L19" i="26"/>
  <c r="J34" i="26" s="1"/>
  <c r="D31" i="18"/>
  <c r="L21" i="3"/>
  <c r="I159" i="3" s="1"/>
  <c r="L17" i="5"/>
  <c r="L19" i="5" s="1"/>
  <c r="D18" i="18"/>
  <c r="E28" i="8"/>
  <c r="G69" i="8" s="1"/>
  <c r="L21" i="24"/>
  <c r="K13" i="98" l="1"/>
  <c r="I13" i="98"/>
  <c r="J13" i="98"/>
  <c r="K151" i="34"/>
  <c r="M151" i="34" s="1"/>
  <c r="J89" i="34"/>
  <c r="K161" i="34" s="1"/>
  <c r="M161" i="34" s="1"/>
  <c r="J102" i="35"/>
  <c r="K174" i="35" s="1"/>
  <c r="M174" i="35" s="1"/>
  <c r="K164" i="35"/>
  <c r="M164" i="35" s="1"/>
  <c r="K151" i="32"/>
  <c r="M151" i="32" s="1"/>
  <c r="J89" i="32"/>
  <c r="K161" i="32" s="1"/>
  <c r="M161" i="32" s="1"/>
  <c r="E28" i="7"/>
  <c r="G69" i="7" s="1"/>
  <c r="E28" i="57"/>
  <c r="G69" i="57" s="1"/>
  <c r="E28" i="56"/>
  <c r="G69" i="56" s="1"/>
  <c r="E27" i="96"/>
  <c r="G68" i="96" s="1"/>
  <c r="E98" i="96" s="1"/>
  <c r="M16" i="88"/>
  <c r="I134" i="88" s="1"/>
  <c r="M16" i="15"/>
  <c r="I134" i="15" s="1"/>
  <c r="D58" i="18"/>
  <c r="D60" i="18"/>
  <c r="M15" i="89"/>
  <c r="I32" i="89" s="1"/>
  <c r="L51" i="89" s="1"/>
  <c r="N51" i="89" s="1"/>
  <c r="M15" i="12"/>
  <c r="I32" i="12" s="1"/>
  <c r="M16" i="90"/>
  <c r="I134" i="90" s="1"/>
  <c r="M16" i="16"/>
  <c r="I134" i="16" s="1"/>
  <c r="D64" i="18"/>
  <c r="M16" i="12"/>
  <c r="I134" i="12" s="1"/>
  <c r="M16" i="89"/>
  <c r="I134" i="89" s="1"/>
  <c r="D61" i="18"/>
  <c r="E44" i="49"/>
  <c r="E79" i="49" s="1"/>
  <c r="K93" i="49"/>
  <c r="F94" i="49"/>
  <c r="K94" i="49" s="1"/>
  <c r="I39" i="49"/>
  <c r="K27" i="49"/>
  <c r="G31" i="49"/>
  <c r="G33" i="49" s="1"/>
  <c r="G43" i="49" s="1"/>
  <c r="G28" i="49"/>
  <c r="G42" i="49" s="1"/>
  <c r="E36" i="49"/>
  <c r="E38" i="49" s="1"/>
  <c r="F31" i="49"/>
  <c r="F28" i="49"/>
  <c r="D36" i="18"/>
  <c r="J37" i="5"/>
  <c r="D9" i="18"/>
  <c r="H27" i="45"/>
  <c r="H92" i="45" s="1"/>
  <c r="I94" i="45" s="1"/>
  <c r="I96" i="45" s="1"/>
  <c r="E109" i="45" s="1"/>
  <c r="E113" i="45" s="1"/>
  <c r="E115" i="45" s="1"/>
  <c r="G117" i="45" s="1"/>
  <c r="M19" i="47"/>
  <c r="L56" i="47" s="1"/>
  <c r="B43" i="49"/>
  <c r="B44" i="49" s="1"/>
  <c r="F32" i="49"/>
  <c r="K32" i="49" s="1"/>
  <c r="D27" i="18"/>
  <c r="L21" i="26"/>
  <c r="J33" i="26" s="1"/>
  <c r="J35" i="26" s="1"/>
  <c r="E27" i="56"/>
  <c r="G68" i="56" s="1"/>
  <c r="E98" i="56" s="1"/>
  <c r="J15" i="98" l="1"/>
  <c r="I15" i="98"/>
  <c r="H24" i="38" s="1"/>
  <c r="K15" i="98"/>
  <c r="H24" i="41" s="1"/>
  <c r="E27" i="7"/>
  <c r="G68" i="7" s="1"/>
  <c r="E98" i="7" s="1"/>
  <c r="F37" i="49"/>
  <c r="K37" i="49" s="1"/>
  <c r="F33" i="49"/>
  <c r="F43" i="49" s="1"/>
  <c r="F95" i="49"/>
  <c r="K95" i="49" s="1"/>
  <c r="N96" i="49" s="1"/>
  <c r="M15" i="90"/>
  <c r="I32" i="90" s="1"/>
  <c r="L51" i="90" s="1"/>
  <c r="N51" i="90" s="1"/>
  <c r="D63" i="18"/>
  <c r="M15" i="16"/>
  <c r="I32" i="16" s="1"/>
  <c r="B79" i="49"/>
  <c r="L59" i="47"/>
  <c r="K43" i="49"/>
  <c r="K31" i="49"/>
  <c r="G44" i="49"/>
  <c r="G79" i="49" s="1"/>
  <c r="E134" i="45"/>
  <c r="F134" i="45"/>
  <c r="E131" i="45"/>
  <c r="F131" i="45"/>
  <c r="M15" i="91"/>
  <c r="I32" i="91" s="1"/>
  <c r="L51" i="91" s="1"/>
  <c r="N51" i="91" s="1"/>
  <c r="M15" i="17"/>
  <c r="I32" i="17" s="1"/>
  <c r="D66" i="18"/>
  <c r="E27" i="57"/>
  <c r="G68" i="57" s="1"/>
  <c r="E98" i="57" s="1"/>
  <c r="L22" i="20"/>
  <c r="L25" i="23"/>
  <c r="L27" i="23" s="1"/>
  <c r="J47" i="23" s="1"/>
  <c r="M15" i="15"/>
  <c r="I32" i="15" s="1"/>
  <c r="M15" i="88"/>
  <c r="I32" i="88" s="1"/>
  <c r="L51" i="88" s="1"/>
  <c r="N51" i="88" s="1"/>
  <c r="D57" i="18"/>
  <c r="F36" i="49"/>
  <c r="F38" i="49" s="1"/>
  <c r="E27" i="8"/>
  <c r="G68" i="8" s="1"/>
  <c r="E98" i="8" s="1"/>
  <c r="K33" i="49"/>
  <c r="F42" i="49"/>
  <c r="K28" i="49"/>
  <c r="G36" i="49"/>
  <c r="G38" i="49" s="1"/>
  <c r="M19" i="2"/>
  <c r="L56" i="2" s="1"/>
  <c r="H27" i="94"/>
  <c r="H92" i="94" s="1"/>
  <c r="M18" i="36"/>
  <c r="I45" i="36" s="1"/>
  <c r="M18" i="34"/>
  <c r="I33" i="34" s="1"/>
  <c r="M18" i="37"/>
  <c r="I33" i="37" s="1"/>
  <c r="M18" i="35"/>
  <c r="I45" i="35" s="1"/>
  <c r="M18" i="32"/>
  <c r="I33" i="32" s="1"/>
  <c r="H112" i="41" l="1"/>
  <c r="M30" i="41"/>
  <c r="M38" i="41" s="1"/>
  <c r="E89" i="50"/>
  <c r="M30" i="38"/>
  <c r="M38" i="38" s="1"/>
  <c r="H112" i="38"/>
  <c r="E25" i="50"/>
  <c r="H24" i="40"/>
  <c r="F103" i="49"/>
  <c r="K103" i="49" s="1"/>
  <c r="M18" i="48"/>
  <c r="I45" i="48" s="1"/>
  <c r="H27" i="19"/>
  <c r="H92" i="19" s="1"/>
  <c r="M19" i="4"/>
  <c r="L56" i="4" s="1"/>
  <c r="G143" i="45"/>
  <c r="I143" i="45" s="1"/>
  <c r="I145" i="45" s="1"/>
  <c r="I146" i="45" s="1"/>
  <c r="I147" i="45" s="1"/>
  <c r="H134" i="45"/>
  <c r="H13" i="45"/>
  <c r="H19" i="45"/>
  <c r="G165" i="45"/>
  <c r="I165" i="45" s="1"/>
  <c r="I167" i="45" s="1"/>
  <c r="I168" i="45" s="1"/>
  <c r="I169" i="45" s="1"/>
  <c r="K38" i="49"/>
  <c r="H17" i="45"/>
  <c r="G150" i="45"/>
  <c r="I150" i="45" s="1"/>
  <c r="I152" i="45" s="1"/>
  <c r="I153" i="45" s="1"/>
  <c r="I154" i="45" s="1"/>
  <c r="M19" i="3"/>
  <c r="L56" i="3" s="1"/>
  <c r="H27" i="95"/>
  <c r="H92" i="95" s="1"/>
  <c r="K36" i="49"/>
  <c r="F44" i="49"/>
  <c r="K42" i="49"/>
  <c r="H27" i="9"/>
  <c r="H92" i="9" s="1"/>
  <c r="M21" i="1"/>
  <c r="L56" i="1" s="1"/>
  <c r="J37" i="20"/>
  <c r="M25" i="20"/>
  <c r="I39" i="20" s="1"/>
  <c r="H15" i="45"/>
  <c r="G158" i="45"/>
  <c r="I158" i="45" s="1"/>
  <c r="I160" i="45" s="1"/>
  <c r="I161" i="45" s="1"/>
  <c r="I162" i="45" s="1"/>
  <c r="I134" i="45"/>
  <c r="I17" i="45" l="1"/>
  <c r="K176" i="38"/>
  <c r="J112" i="38"/>
  <c r="K186" i="38" s="1"/>
  <c r="H112" i="40"/>
  <c r="E56" i="50"/>
  <c r="M30" i="40"/>
  <c r="M38" i="40" s="1"/>
  <c r="K176" i="41"/>
  <c r="M176" i="41" s="1"/>
  <c r="J112" i="41"/>
  <c r="K243" i="41"/>
  <c r="M243" i="41" s="1"/>
  <c r="I171" i="45"/>
  <c r="K175" i="45" s="1"/>
  <c r="K178" i="45" s="1"/>
  <c r="I13" i="45"/>
  <c r="F79" i="49"/>
  <c r="K79" i="49" s="1"/>
  <c r="K44" i="49"/>
  <c r="J17" i="45" l="1"/>
  <c r="K253" i="41"/>
  <c r="M253" i="41" s="1"/>
  <c r="K186" i="41"/>
  <c r="M186" i="41" s="1"/>
  <c r="K253" i="38"/>
  <c r="M253" i="38" s="1"/>
  <c r="M186" i="38"/>
  <c r="K176" i="40"/>
  <c r="J112" i="40"/>
  <c r="K186" i="40" s="1"/>
  <c r="M176" i="38"/>
  <c r="K243" i="38"/>
  <c r="M243" i="38" s="1"/>
  <c r="M176" i="40" l="1"/>
  <c r="K248" i="40"/>
  <c r="K258" i="40"/>
  <c r="M186" i="40"/>
  <c r="T248" i="40" l="1"/>
  <c r="M248" i="40"/>
  <c r="M258" i="40"/>
  <c r="T258" i="40"/>
  <c r="AF258" i="40" s="1"/>
  <c r="AF248" i="40" l="1"/>
  <c r="T268" i="40"/>
  <c r="U258" i="40"/>
  <c r="U248" i="40"/>
  <c r="V258" i="40" l="1"/>
  <c r="AC258" i="40" s="1"/>
  <c r="AG258" i="40"/>
  <c r="AH258" i="40" s="1"/>
  <c r="AF268" i="40"/>
  <c r="U268" i="40"/>
  <c r="AG248" i="40"/>
  <c r="AG268" i="40" s="1"/>
  <c r="V248" i="40"/>
  <c r="V268" i="40" l="1"/>
  <c r="AC268" i="40" s="1"/>
  <c r="AC248" i="40"/>
  <c r="AH248" i="40"/>
  <c r="AH268" i="40" s="1"/>
  <c r="C39" i="49" l="1"/>
  <c r="L17" i="26"/>
  <c r="H39" i="26" s="1"/>
  <c r="H39" i="49"/>
  <c r="L21" i="5"/>
  <c r="L20" i="5"/>
  <c r="L22" i="5" l="1"/>
  <c r="L24" i="21" s="1"/>
  <c r="M21" i="4"/>
  <c r="M23" i="1"/>
  <c r="D39" i="49"/>
  <c r="M21" i="2"/>
  <c r="M22" i="5" l="1"/>
  <c r="I39" i="5" s="1"/>
  <c r="M13" i="52"/>
  <c r="L26" i="21"/>
  <c r="J47" i="21" s="1"/>
  <c r="L22" i="22"/>
  <c r="L25" i="22" s="1"/>
  <c r="J47" i="22" s="1"/>
  <c r="E22" i="18"/>
  <c r="E13" i="18"/>
  <c r="L18" i="41"/>
  <c r="L17" i="41"/>
  <c r="E40" i="18"/>
  <c r="N13" i="52" l="1"/>
  <c r="B39" i="49"/>
  <c r="B45" i="49"/>
  <c r="L16" i="91"/>
  <c r="I37" i="18"/>
  <c r="I68" i="18" s="1"/>
  <c r="K37" i="18"/>
  <c r="K68" i="18" s="1"/>
  <c r="H37" i="18"/>
  <c r="H68" i="18" s="1"/>
  <c r="E67" i="18"/>
  <c r="J37" i="18"/>
  <c r="J68" i="18" s="1"/>
  <c r="F16" i="11"/>
  <c r="G37" i="18"/>
  <c r="G40" i="18" s="1"/>
  <c r="L16" i="17"/>
  <c r="E18" i="18"/>
  <c r="G10" i="18"/>
  <c r="K10" i="18"/>
  <c r="K59" i="18" s="1"/>
  <c r="L16" i="88"/>
  <c r="H10" i="18"/>
  <c r="H59" i="18" s="1"/>
  <c r="I10" i="18"/>
  <c r="I59" i="18" s="1"/>
  <c r="F10" i="11"/>
  <c r="L16" i="15"/>
  <c r="J10" i="18"/>
  <c r="J59" i="18" s="1"/>
  <c r="E58" i="18"/>
  <c r="K13" i="18"/>
  <c r="K58" i="18" s="1"/>
  <c r="I19" i="18"/>
  <c r="I62" i="18" s="1"/>
  <c r="K19" i="18"/>
  <c r="K62" i="18" s="1"/>
  <c r="L16" i="89"/>
  <c r="J19" i="18"/>
  <c r="J62" i="18" s="1"/>
  <c r="H19" i="18"/>
  <c r="H62" i="18" s="1"/>
  <c r="E61" i="18"/>
  <c r="L16" i="12"/>
  <c r="F12" i="11"/>
  <c r="G19" i="18"/>
  <c r="G22" i="18" s="1"/>
  <c r="K22" i="18"/>
  <c r="K61" i="18" s="1"/>
  <c r="M21" i="3"/>
  <c r="E31" i="18"/>
  <c r="E36" i="18"/>
  <c r="E9" i="18"/>
  <c r="E27" i="18"/>
  <c r="H22" i="18" l="1"/>
  <c r="H61" i="18" s="1"/>
  <c r="K40" i="18"/>
  <c r="K67" i="18" s="1"/>
  <c r="H13" i="18"/>
  <c r="H58" i="18" s="1"/>
  <c r="J22" i="18"/>
  <c r="J61" i="18" s="1"/>
  <c r="I13" i="18"/>
  <c r="I58" i="18" s="1"/>
  <c r="I22" i="18"/>
  <c r="I61" i="18" s="1"/>
  <c r="H40" i="18"/>
  <c r="H67" i="18" s="1"/>
  <c r="G61" i="18"/>
  <c r="J12" i="11"/>
  <c r="J16" i="11"/>
  <c r="G67" i="18"/>
  <c r="E33" i="18"/>
  <c r="J27" i="18"/>
  <c r="I27" i="18"/>
  <c r="E63" i="18"/>
  <c r="G27" i="18"/>
  <c r="E14" i="11"/>
  <c r="H27" i="18"/>
  <c r="L15" i="90"/>
  <c r="K27" i="18"/>
  <c r="L15" i="16"/>
  <c r="G45" i="49"/>
  <c r="E39" i="49"/>
  <c r="F14" i="11"/>
  <c r="L16" i="90"/>
  <c r="L16" i="16"/>
  <c r="I28" i="18"/>
  <c r="I65" i="18" s="1"/>
  <c r="G28" i="18"/>
  <c r="E64" i="18"/>
  <c r="H28" i="18"/>
  <c r="H65" i="18" s="1"/>
  <c r="K28" i="18"/>
  <c r="K65" i="18" s="1"/>
  <c r="J28" i="18"/>
  <c r="J65" i="18" s="1"/>
  <c r="G62" i="18"/>
  <c r="L17" i="89"/>
  <c r="L17" i="12"/>
  <c r="I40" i="18"/>
  <c r="I67" i="18" s="1"/>
  <c r="J13" i="18"/>
  <c r="J58" i="18" s="1"/>
  <c r="G13" i="18"/>
  <c r="G59" i="18"/>
  <c r="L17" i="88"/>
  <c r="L17" i="15"/>
  <c r="G68" i="18"/>
  <c r="L17" i="91"/>
  <c r="L17" i="17"/>
  <c r="I9" i="18"/>
  <c r="I11" i="18" s="1"/>
  <c r="E15" i="18"/>
  <c r="L15" i="15"/>
  <c r="E10" i="11"/>
  <c r="G10" i="11" s="1"/>
  <c r="J9" i="18"/>
  <c r="J11" i="18" s="1"/>
  <c r="H9" i="18"/>
  <c r="H11" i="18" s="1"/>
  <c r="E57" i="18"/>
  <c r="L15" i="88"/>
  <c r="L19" i="88" s="1"/>
  <c r="M245" i="88" s="1"/>
  <c r="E27" i="87" s="1"/>
  <c r="D48" i="93" s="1"/>
  <c r="K9" i="18"/>
  <c r="K11" i="18" s="1"/>
  <c r="G9" i="18"/>
  <c r="G11" i="18" s="1"/>
  <c r="G29" i="45"/>
  <c r="K180" i="45" s="1"/>
  <c r="L19" i="47"/>
  <c r="I37" i="47" s="1"/>
  <c r="G27" i="45"/>
  <c r="L15" i="91"/>
  <c r="L19" i="91" s="1"/>
  <c r="M245" i="91" s="1"/>
  <c r="E88" i="87" s="1"/>
  <c r="D51" i="93" s="1"/>
  <c r="I36" i="18"/>
  <c r="I38" i="18" s="1"/>
  <c r="K36" i="18"/>
  <c r="K38" i="18" s="1"/>
  <c r="E42" i="18"/>
  <c r="L15" i="17"/>
  <c r="G36" i="18"/>
  <c r="G38" i="18" s="1"/>
  <c r="E16" i="11"/>
  <c r="G16" i="11" s="1"/>
  <c r="E66" i="18"/>
  <c r="H36" i="18"/>
  <c r="H38" i="18" s="1"/>
  <c r="J36" i="18"/>
  <c r="J38" i="18" s="1"/>
  <c r="K18" i="18"/>
  <c r="K20" i="18" s="1"/>
  <c r="E12" i="11"/>
  <c r="G12" i="11" s="1"/>
  <c r="I18" i="18"/>
  <c r="I20" i="18" s="1"/>
  <c r="E24" i="18"/>
  <c r="L15" i="89"/>
  <c r="L19" i="89" s="1"/>
  <c r="M245" i="89" s="1"/>
  <c r="E48" i="87" s="1"/>
  <c r="D49" i="93" s="1"/>
  <c r="J18" i="18"/>
  <c r="J20" i="18" s="1"/>
  <c r="E60" i="18"/>
  <c r="L15" i="12"/>
  <c r="H18" i="18"/>
  <c r="H20" i="18" s="1"/>
  <c r="G18" i="18"/>
  <c r="G20" i="18" s="1"/>
  <c r="J40" i="18"/>
  <c r="J67" i="18" s="1"/>
  <c r="J31" i="18" l="1"/>
  <c r="J64" i="18" s="1"/>
  <c r="G14" i="11"/>
  <c r="J29" i="18"/>
  <c r="J33" i="18" s="1"/>
  <c r="J34" i="18" s="1"/>
  <c r="L13" i="52"/>
  <c r="K13" i="52" s="1"/>
  <c r="I31" i="18"/>
  <c r="I64" i="18" s="1"/>
  <c r="G27" i="94"/>
  <c r="L19" i="2"/>
  <c r="I37" i="2" s="1"/>
  <c r="I24" i="18"/>
  <c r="I25" i="18" s="1"/>
  <c r="I60" i="18"/>
  <c r="H42" i="18"/>
  <c r="H43" i="18" s="1"/>
  <c r="H66" i="18"/>
  <c r="L19" i="17"/>
  <c r="M245" i="17" s="1"/>
  <c r="E100" i="11" s="1"/>
  <c r="D7" i="93" s="1"/>
  <c r="L51" i="17"/>
  <c r="G57" i="18"/>
  <c r="G29" i="9" s="1"/>
  <c r="K180" i="9" s="1"/>
  <c r="I10" i="11"/>
  <c r="G15" i="18"/>
  <c r="G16" i="18" s="1"/>
  <c r="H57" i="18"/>
  <c r="H15" i="18"/>
  <c r="H16" i="18" s="1"/>
  <c r="G28" i="19"/>
  <c r="H28" i="19" s="1"/>
  <c r="H93" i="19" s="1"/>
  <c r="I94" i="19" s="1"/>
  <c r="L20" i="4"/>
  <c r="J10" i="11"/>
  <c r="G58" i="18"/>
  <c r="M17" i="12"/>
  <c r="I33" i="12" s="1"/>
  <c r="I34" i="12" s="1"/>
  <c r="I135" i="12"/>
  <c r="I138" i="12" s="1"/>
  <c r="G168" i="12" s="1"/>
  <c r="G170" i="12" s="1"/>
  <c r="I172" i="12" s="1"/>
  <c r="L52" i="12"/>
  <c r="L19" i="90"/>
  <c r="M245" i="90" s="1"/>
  <c r="E68" i="87" s="1"/>
  <c r="D50" i="93" s="1"/>
  <c r="L19" i="3"/>
  <c r="I37" i="3" s="1"/>
  <c r="G27" i="95"/>
  <c r="G24" i="18"/>
  <c r="G25" i="18" s="1"/>
  <c r="G60" i="18"/>
  <c r="G29" i="94" s="1"/>
  <c r="K180" i="94" s="1"/>
  <c r="I12" i="11"/>
  <c r="J60" i="18"/>
  <c r="J24" i="18"/>
  <c r="J25" i="18" s="1"/>
  <c r="L19" i="4"/>
  <c r="I37" i="4" s="1"/>
  <c r="G27" i="19"/>
  <c r="K57" i="18"/>
  <c r="K15" i="18"/>
  <c r="K16" i="18" s="1"/>
  <c r="J15" i="18"/>
  <c r="J16" i="18" s="1"/>
  <c r="J57" i="18"/>
  <c r="I15" i="18"/>
  <c r="I16" i="18" s="1"/>
  <c r="I57" i="18"/>
  <c r="M17" i="15"/>
  <c r="I33" i="15" s="1"/>
  <c r="I34" i="15" s="1"/>
  <c r="L52" i="15"/>
  <c r="I135" i="15"/>
  <c r="I138" i="15" s="1"/>
  <c r="G168" i="15" s="1"/>
  <c r="G170" i="15" s="1"/>
  <c r="I172" i="15" s="1"/>
  <c r="I135" i="89"/>
  <c r="I138" i="89" s="1"/>
  <c r="G168" i="89" s="1"/>
  <c r="G170" i="89" s="1"/>
  <c r="I172" i="89" s="1"/>
  <c r="M17" i="89"/>
  <c r="I33" i="89" s="1"/>
  <c r="L52" i="89" s="1"/>
  <c r="N52" i="89" s="1"/>
  <c r="H29" i="18"/>
  <c r="I29" i="18"/>
  <c r="H60" i="18"/>
  <c r="H24" i="18"/>
  <c r="H25" i="18" s="1"/>
  <c r="K60" i="18"/>
  <c r="K24" i="18"/>
  <c r="K25" i="18" s="1"/>
  <c r="K42" i="18"/>
  <c r="K43" i="18" s="1"/>
  <c r="K66" i="18"/>
  <c r="I135" i="17"/>
  <c r="I138" i="17" s="1"/>
  <c r="G168" i="17" s="1"/>
  <c r="G170" i="17" s="1"/>
  <c r="I172" i="17" s="1"/>
  <c r="M17" i="17"/>
  <c r="I33" i="17" s="1"/>
  <c r="I34" i="17" s="1"/>
  <c r="L52" i="17"/>
  <c r="M17" i="88"/>
  <c r="I33" i="88" s="1"/>
  <c r="L52" i="88" s="1"/>
  <c r="N52" i="88" s="1"/>
  <c r="I135" i="88"/>
  <c r="I138" i="88" s="1"/>
  <c r="G168" i="88" s="1"/>
  <c r="G170" i="88" s="1"/>
  <c r="I172" i="88" s="1"/>
  <c r="L20" i="2"/>
  <c r="G28" i="94"/>
  <c r="H28" i="94" s="1"/>
  <c r="H93" i="94" s="1"/>
  <c r="I94" i="94" s="1"/>
  <c r="K31" i="18"/>
  <c r="K64" i="18" s="1"/>
  <c r="L51" i="16"/>
  <c r="L19" i="16"/>
  <c r="M245" i="16" s="1"/>
  <c r="E80" i="11" s="1"/>
  <c r="D6" i="93" s="1"/>
  <c r="L51" i="12"/>
  <c r="L19" i="12"/>
  <c r="M245" i="12" s="1"/>
  <c r="E60" i="11" s="1"/>
  <c r="D5" i="93" s="1"/>
  <c r="J66" i="18"/>
  <c r="J42" i="18"/>
  <c r="J43" i="18" s="1"/>
  <c r="I16" i="11"/>
  <c r="G66" i="18"/>
  <c r="G29" i="19" s="1"/>
  <c r="K180" i="19" s="1"/>
  <c r="G42" i="18"/>
  <c r="G43" i="18" s="1"/>
  <c r="I66" i="18"/>
  <c r="I42" i="18"/>
  <c r="I43" i="18" s="1"/>
  <c r="K182" i="45"/>
  <c r="K181" i="45"/>
  <c r="G27" i="9"/>
  <c r="L21" i="1"/>
  <c r="I37" i="1" s="1"/>
  <c r="L19" i="15"/>
  <c r="M245" i="15" s="1"/>
  <c r="E39" i="11" s="1"/>
  <c r="D4" i="93" s="1"/>
  <c r="L51" i="15"/>
  <c r="I135" i="91"/>
  <c r="I138" i="91" s="1"/>
  <c r="G168" i="91" s="1"/>
  <c r="G170" i="91" s="1"/>
  <c r="I172" i="91" s="1"/>
  <c r="M17" i="91"/>
  <c r="I33" i="91" s="1"/>
  <c r="L52" i="91" s="1"/>
  <c r="N52" i="91" s="1"/>
  <c r="G28" i="9"/>
  <c r="H28" i="9" s="1"/>
  <c r="H93" i="9" s="1"/>
  <c r="I94" i="9" s="1"/>
  <c r="L22" i="1"/>
  <c r="H31" i="18"/>
  <c r="H64" i="18" s="1"/>
  <c r="G31" i="18"/>
  <c r="L17" i="16"/>
  <c r="L17" i="90"/>
  <c r="G65" i="18"/>
  <c r="K29" i="18"/>
  <c r="G29" i="18"/>
  <c r="J63" i="18" l="1"/>
  <c r="K33" i="18"/>
  <c r="K34" i="18" s="1"/>
  <c r="K63" i="18"/>
  <c r="G64" i="18"/>
  <c r="J14" i="11"/>
  <c r="M16" i="11"/>
  <c r="K16" i="11"/>
  <c r="L16" i="11" s="1"/>
  <c r="K178" i="88"/>
  <c r="I178" i="17"/>
  <c r="K178" i="17"/>
  <c r="K180" i="17"/>
  <c r="I180" i="17"/>
  <c r="K178" i="89"/>
  <c r="G28" i="95"/>
  <c r="H28" i="95" s="1"/>
  <c r="H93" i="95" s="1"/>
  <c r="I94" i="95" s="1"/>
  <c r="L20" i="3"/>
  <c r="K178" i="91"/>
  <c r="I33" i="18"/>
  <c r="I34" i="18" s="1"/>
  <c r="I63" i="18"/>
  <c r="K178" i="15"/>
  <c r="K180" i="15"/>
  <c r="I178" i="15"/>
  <c r="I180" i="15"/>
  <c r="I178" i="12"/>
  <c r="K180" i="12"/>
  <c r="K178" i="12"/>
  <c r="I180" i="12"/>
  <c r="M20" i="4"/>
  <c r="L57" i="4" s="1"/>
  <c r="L70" i="4" s="1"/>
  <c r="I38" i="4"/>
  <c r="I160" i="4"/>
  <c r="I163" i="4" s="1"/>
  <c r="G197" i="4" s="1"/>
  <c r="G199" i="4" s="1"/>
  <c r="I135" i="90"/>
  <c r="I138" i="90" s="1"/>
  <c r="G168" i="90" s="1"/>
  <c r="G170" i="90" s="1"/>
  <c r="I172" i="90" s="1"/>
  <c r="M17" i="90"/>
  <c r="I33" i="90" s="1"/>
  <c r="L52" i="90" s="1"/>
  <c r="N52" i="90" s="1"/>
  <c r="I160" i="1"/>
  <c r="I163" i="1" s="1"/>
  <c r="G197" i="1" s="1"/>
  <c r="G199" i="1" s="1"/>
  <c r="I38" i="1"/>
  <c r="M22" i="1"/>
  <c r="L57" i="1" s="1"/>
  <c r="L70" i="1" s="1"/>
  <c r="H33" i="18"/>
  <c r="H34" i="18" s="1"/>
  <c r="H63" i="18"/>
  <c r="M12" i="11"/>
  <c r="K12" i="11"/>
  <c r="L12" i="11" s="1"/>
  <c r="J120" i="12"/>
  <c r="H120" i="12"/>
  <c r="J124" i="12"/>
  <c r="I42" i="12"/>
  <c r="I43" i="12" s="1"/>
  <c r="H124" i="12"/>
  <c r="L56" i="12"/>
  <c r="K10" i="11"/>
  <c r="L10" i="11" s="1"/>
  <c r="M10" i="11"/>
  <c r="I14" i="11"/>
  <c r="G33" i="18"/>
  <c r="G34" i="18" s="1"/>
  <c r="G63" i="18"/>
  <c r="G29" i="95" s="1"/>
  <c r="K180" i="95" s="1"/>
  <c r="I135" i="16"/>
  <c r="I138" i="16" s="1"/>
  <c r="G168" i="16" s="1"/>
  <c r="G170" i="16" s="1"/>
  <c r="I172" i="16" s="1"/>
  <c r="L52" i="16"/>
  <c r="M17" i="16"/>
  <c r="I33" i="16" s="1"/>
  <c r="I34" i="16" s="1"/>
  <c r="I38" i="2"/>
  <c r="I160" i="2"/>
  <c r="I163" i="2" s="1"/>
  <c r="G197" i="2" s="1"/>
  <c r="G199" i="2" s="1"/>
  <c r="M20" i="2"/>
  <c r="L57" i="2" s="1"/>
  <c r="L70" i="2" s="1"/>
  <c r="J120" i="17"/>
  <c r="H124" i="17"/>
  <c r="J124" i="17"/>
  <c r="I42" i="17"/>
  <c r="I43" i="17" s="1"/>
  <c r="L56" i="17"/>
  <c r="H120" i="17"/>
  <c r="H124" i="15"/>
  <c r="I42" i="15"/>
  <c r="I43" i="15" s="1"/>
  <c r="J124" i="15"/>
  <c r="L56" i="15"/>
  <c r="J120" i="15"/>
  <c r="H120" i="15"/>
  <c r="L18" i="36"/>
  <c r="H18" i="15" l="1"/>
  <c r="F34" i="11" s="1"/>
  <c r="E18" i="97" s="1"/>
  <c r="K215" i="15"/>
  <c r="M215" i="15" s="1"/>
  <c r="N124" i="15"/>
  <c r="N80" i="17"/>
  <c r="L76" i="17"/>
  <c r="L80" i="17"/>
  <c r="K208" i="17"/>
  <c r="M208" i="17" s="1"/>
  <c r="N120" i="17"/>
  <c r="H12" i="17"/>
  <c r="F89" i="11" s="1"/>
  <c r="E105" i="97" s="1"/>
  <c r="J120" i="16"/>
  <c r="H120" i="16"/>
  <c r="I42" i="16"/>
  <c r="I43" i="16" s="1"/>
  <c r="H124" i="16"/>
  <c r="L56" i="16"/>
  <c r="J124" i="16"/>
  <c r="N80" i="12"/>
  <c r="L80" i="12"/>
  <c r="L76" i="12"/>
  <c r="H10" i="12"/>
  <c r="F47" i="11" s="1"/>
  <c r="E41" i="97" s="1"/>
  <c r="M120" i="12"/>
  <c r="K190" i="12"/>
  <c r="M190" i="12" s="1"/>
  <c r="K232" i="12"/>
  <c r="M232" i="12" s="1"/>
  <c r="H15" i="12"/>
  <c r="F52" i="11" s="1"/>
  <c r="E46" i="97" s="1"/>
  <c r="G46" i="97" s="1"/>
  <c r="H15" i="15"/>
  <c r="F31" i="11" s="1"/>
  <c r="E15" i="97" s="1"/>
  <c r="G15" i="97" s="1"/>
  <c r="K232" i="15"/>
  <c r="M232" i="15" s="1"/>
  <c r="I38" i="3"/>
  <c r="I160" i="3"/>
  <c r="I163" i="3" s="1"/>
  <c r="G197" i="3" s="1"/>
  <c r="G199" i="3" s="1"/>
  <c r="M20" i="3"/>
  <c r="L57" i="3" s="1"/>
  <c r="L70" i="3" s="1"/>
  <c r="K230" i="89"/>
  <c r="M230" i="89" s="1"/>
  <c r="H9" i="89"/>
  <c r="F34" i="87" s="1"/>
  <c r="H8" i="17"/>
  <c r="F85" i="11" s="1"/>
  <c r="E101" i="97" s="1"/>
  <c r="G101" i="97" s="1"/>
  <c r="K226" i="17"/>
  <c r="M226" i="17" s="1"/>
  <c r="K230" i="88"/>
  <c r="M230" i="88" s="1"/>
  <c r="H9" i="88"/>
  <c r="F13" i="87" s="1"/>
  <c r="E29" i="8"/>
  <c r="E168" i="8" s="1"/>
  <c r="L18" i="37"/>
  <c r="M19" i="37" s="1"/>
  <c r="I95" i="37" s="1"/>
  <c r="K190" i="15"/>
  <c r="M190" i="15" s="1"/>
  <c r="H10" i="15"/>
  <c r="F26" i="11" s="1"/>
  <c r="E10" i="97" s="1"/>
  <c r="M120" i="15"/>
  <c r="I45" i="15"/>
  <c r="L45" i="15" s="1"/>
  <c r="L53" i="15" s="1"/>
  <c r="L54" i="15" s="1"/>
  <c r="G105" i="15" s="1"/>
  <c r="L43" i="15"/>
  <c r="I45" i="17"/>
  <c r="L45" i="17" s="1"/>
  <c r="L53" i="17" s="1"/>
  <c r="L54" i="17" s="1"/>
  <c r="G105" i="17" s="1"/>
  <c r="L43" i="17"/>
  <c r="K14" i="11"/>
  <c r="L14" i="11" s="1"/>
  <c r="M14" i="11"/>
  <c r="K197" i="12"/>
  <c r="M197" i="12" s="1"/>
  <c r="H16" i="12"/>
  <c r="F53" i="11" s="1"/>
  <c r="E47" i="97" s="1"/>
  <c r="M124" i="12"/>
  <c r="K208" i="12"/>
  <c r="M208" i="12" s="1"/>
  <c r="H12" i="12"/>
  <c r="F49" i="11" s="1"/>
  <c r="E43" i="97" s="1"/>
  <c r="N120" i="12"/>
  <c r="H8" i="12"/>
  <c r="F45" i="11" s="1"/>
  <c r="E39" i="97" s="1"/>
  <c r="G39" i="97" s="1"/>
  <c r="K226" i="12"/>
  <c r="M226" i="12" s="1"/>
  <c r="H9" i="15"/>
  <c r="F25" i="11" s="1"/>
  <c r="E9" i="97" s="1"/>
  <c r="G9" i="97" s="1"/>
  <c r="K230" i="15"/>
  <c r="M230" i="15" s="1"/>
  <c r="K228" i="17"/>
  <c r="M228" i="17" s="1"/>
  <c r="H14" i="17"/>
  <c r="F91" i="11" s="1"/>
  <c r="E107" i="97" s="1"/>
  <c r="G107" i="97" s="1"/>
  <c r="L18" i="34"/>
  <c r="M19" i="34" s="1"/>
  <c r="I95" i="34" s="1"/>
  <c r="E29" i="7"/>
  <c r="E168" i="7" s="1"/>
  <c r="L18" i="35"/>
  <c r="E29" i="57"/>
  <c r="E168" i="57" s="1"/>
  <c r="L18" i="32"/>
  <c r="M19" i="32" s="1"/>
  <c r="I95" i="32" s="1"/>
  <c r="E29" i="56"/>
  <c r="E168" i="56" s="1"/>
  <c r="H12" i="15"/>
  <c r="F28" i="11" s="1"/>
  <c r="E12" i="97" s="1"/>
  <c r="N120" i="15"/>
  <c r="K208" i="15"/>
  <c r="M208" i="15" s="1"/>
  <c r="K197" i="15"/>
  <c r="M197" i="15" s="1"/>
  <c r="H16" i="15"/>
  <c r="F32" i="11" s="1"/>
  <c r="E16" i="97" s="1"/>
  <c r="M124" i="15"/>
  <c r="N124" i="17"/>
  <c r="K215" i="17"/>
  <c r="M215" i="17" s="1"/>
  <c r="H18" i="17"/>
  <c r="F95" i="11" s="1"/>
  <c r="E111" i="97" s="1"/>
  <c r="I181" i="16"/>
  <c r="I180" i="16"/>
  <c r="K181" i="16"/>
  <c r="K180" i="16"/>
  <c r="K178" i="16"/>
  <c r="I179" i="16"/>
  <c r="I178" i="16"/>
  <c r="K179" i="16"/>
  <c r="I45" i="12"/>
  <c r="L45" i="12" s="1"/>
  <c r="L53" i="12" s="1"/>
  <c r="L54" i="12" s="1"/>
  <c r="G105" i="12" s="1"/>
  <c r="L43" i="12"/>
  <c r="K178" i="90"/>
  <c r="H14" i="12"/>
  <c r="F51" i="11" s="1"/>
  <c r="E45" i="97" s="1"/>
  <c r="G45" i="97" s="1"/>
  <c r="K228" i="12"/>
  <c r="M228" i="12" s="1"/>
  <c r="K228" i="15"/>
  <c r="M228" i="15" s="1"/>
  <c r="H14" i="15"/>
  <c r="F30" i="11" s="1"/>
  <c r="E14" i="97" s="1"/>
  <c r="G14" i="97" s="1"/>
  <c r="H15" i="17"/>
  <c r="F92" i="11" s="1"/>
  <c r="E108" i="97" s="1"/>
  <c r="G108" i="97" s="1"/>
  <c r="K232" i="17"/>
  <c r="M232" i="17" s="1"/>
  <c r="H41" i="36"/>
  <c r="M19" i="36"/>
  <c r="I108" i="36" s="1"/>
  <c r="E29" i="96"/>
  <c r="E168" i="96" s="1"/>
  <c r="L76" i="15"/>
  <c r="L80" i="15"/>
  <c r="N80" i="15"/>
  <c r="M120" i="17"/>
  <c r="H10" i="17"/>
  <c r="F87" i="11" s="1"/>
  <c r="E103" i="97" s="1"/>
  <c r="K190" i="17"/>
  <c r="M190" i="17" s="1"/>
  <c r="K197" i="17"/>
  <c r="M197" i="17" s="1"/>
  <c r="H16" i="17"/>
  <c r="F93" i="11" s="1"/>
  <c r="E109" i="97" s="1"/>
  <c r="M124" i="17"/>
  <c r="H18" i="12"/>
  <c r="F55" i="11" s="1"/>
  <c r="E49" i="97" s="1"/>
  <c r="N124" i="12"/>
  <c r="K215" i="12"/>
  <c r="M215" i="12" s="1"/>
  <c r="H9" i="12"/>
  <c r="F46" i="11" s="1"/>
  <c r="E40" i="97" s="1"/>
  <c r="G40" i="97" s="1"/>
  <c r="K230" i="12"/>
  <c r="M230" i="12" s="1"/>
  <c r="H8" i="15"/>
  <c r="F24" i="11" s="1"/>
  <c r="E8" i="97" s="1"/>
  <c r="G8" i="97" s="1"/>
  <c r="K226" i="15"/>
  <c r="M226" i="15" s="1"/>
  <c r="H9" i="91"/>
  <c r="F74" i="87" s="1"/>
  <c r="K230" i="91"/>
  <c r="M230" i="91" s="1"/>
  <c r="H9" i="17"/>
  <c r="F86" i="11" s="1"/>
  <c r="E102" i="97" s="1"/>
  <c r="G102" i="97" s="1"/>
  <c r="K230" i="17"/>
  <c r="M230" i="17" s="1"/>
  <c r="L18" i="48"/>
  <c r="M234" i="15" l="1"/>
  <c r="K102" i="15"/>
  <c r="G77" i="15"/>
  <c r="K90" i="15" s="1"/>
  <c r="H15" i="16"/>
  <c r="F72" i="11" s="1"/>
  <c r="E77" i="97" s="1"/>
  <c r="G77" i="97" s="1"/>
  <c r="K232" i="16"/>
  <c r="M232" i="16" s="1"/>
  <c r="H41" i="35"/>
  <c r="M19" i="35"/>
  <c r="I108" i="35" s="1"/>
  <c r="I97" i="37"/>
  <c r="G131" i="37" s="1"/>
  <c r="I99" i="37"/>
  <c r="L109" i="37" s="1"/>
  <c r="M234" i="17"/>
  <c r="K104" i="12"/>
  <c r="H77" i="12"/>
  <c r="K92" i="12" s="1"/>
  <c r="L43" i="16"/>
  <c r="I45" i="16"/>
  <c r="L45" i="16" s="1"/>
  <c r="L53" i="16" s="1"/>
  <c r="L54" i="16" s="1"/>
  <c r="G105" i="16" s="1"/>
  <c r="K104" i="17"/>
  <c r="H77" i="17"/>
  <c r="K92" i="17" s="1"/>
  <c r="K98" i="15"/>
  <c r="G75" i="15"/>
  <c r="K86" i="15" s="1"/>
  <c r="K230" i="90"/>
  <c r="M230" i="90" s="1"/>
  <c r="K179" i="90"/>
  <c r="H9" i="90"/>
  <c r="F54" i="87" s="1"/>
  <c r="H8" i="16"/>
  <c r="F65" i="11" s="1"/>
  <c r="E70" i="97" s="1"/>
  <c r="G70" i="97" s="1"/>
  <c r="K226" i="16"/>
  <c r="M226" i="16" s="1"/>
  <c r="N168" i="56"/>
  <c r="E170" i="56"/>
  <c r="E169" i="56"/>
  <c r="E169" i="7"/>
  <c r="E170" i="7"/>
  <c r="N168" i="7"/>
  <c r="E169" i="8"/>
  <c r="E170" i="8"/>
  <c r="N168" i="8"/>
  <c r="N124" i="16"/>
  <c r="K215" i="16"/>
  <c r="M215" i="16" s="1"/>
  <c r="H18" i="16"/>
  <c r="F75" i="11" s="1"/>
  <c r="E80" i="97" s="1"/>
  <c r="K190" i="16"/>
  <c r="M190" i="16" s="1"/>
  <c r="H10" i="16"/>
  <c r="F67" i="11" s="1"/>
  <c r="E72" i="97" s="1"/>
  <c r="M120" i="16"/>
  <c r="H41" i="48"/>
  <c r="E169" i="96"/>
  <c r="N168" i="96"/>
  <c r="E170" i="96"/>
  <c r="H14" i="16"/>
  <c r="F71" i="11" s="1"/>
  <c r="E76" i="97" s="1"/>
  <c r="G76" i="97" s="1"/>
  <c r="K228" i="16"/>
  <c r="M228" i="16" s="1"/>
  <c r="I99" i="32"/>
  <c r="L109" i="32" s="1"/>
  <c r="I97" i="32"/>
  <c r="G131" i="32" s="1"/>
  <c r="I97" i="34"/>
  <c r="G131" i="34" s="1"/>
  <c r="I99" i="34"/>
  <c r="L109" i="34" s="1"/>
  <c r="G75" i="12"/>
  <c r="K86" i="12" s="1"/>
  <c r="K98" i="12"/>
  <c r="L76" i="16"/>
  <c r="N80" i="16"/>
  <c r="N75" i="16"/>
  <c r="L75" i="16"/>
  <c r="L80" i="16"/>
  <c r="L79" i="16"/>
  <c r="N79" i="16"/>
  <c r="N120" i="16"/>
  <c r="K208" i="16"/>
  <c r="M208" i="16" s="1"/>
  <c r="H12" i="16"/>
  <c r="F69" i="11" s="1"/>
  <c r="E74" i="97" s="1"/>
  <c r="K102" i="17"/>
  <c r="G77" i="17"/>
  <c r="K90" i="17" s="1"/>
  <c r="H77" i="15"/>
  <c r="K92" i="15" s="1"/>
  <c r="K104" i="15"/>
  <c r="I110" i="36"/>
  <c r="G144" i="36" s="1"/>
  <c r="I112" i="36"/>
  <c r="L122" i="36" s="1"/>
  <c r="K230" i="16"/>
  <c r="M230" i="16" s="1"/>
  <c r="H9" i="16"/>
  <c r="F66" i="11" s="1"/>
  <c r="E71" i="97" s="1"/>
  <c r="G71" i="97" s="1"/>
  <c r="N168" i="57"/>
  <c r="E169" i="57"/>
  <c r="E170" i="57"/>
  <c r="M234" i="12"/>
  <c r="K102" i="12"/>
  <c r="G77" i="12"/>
  <c r="K90" i="12" s="1"/>
  <c r="M124" i="16"/>
  <c r="K197" i="16"/>
  <c r="M197" i="16" s="1"/>
  <c r="H16" i="16"/>
  <c r="F73" i="11" s="1"/>
  <c r="E78" i="97" s="1"/>
  <c r="G75" i="17"/>
  <c r="K86" i="17" s="1"/>
  <c r="K98" i="17"/>
  <c r="K105" i="17" s="1"/>
  <c r="G107" i="17" s="1"/>
  <c r="I109" i="17" s="1"/>
  <c r="G76" i="16" l="1"/>
  <c r="K89" i="16" s="1"/>
  <c r="K101" i="16"/>
  <c r="K104" i="16"/>
  <c r="H77" i="16"/>
  <c r="K92" i="16" s="1"/>
  <c r="L113" i="34"/>
  <c r="L112" i="34"/>
  <c r="N113" i="34"/>
  <c r="K130" i="34" s="1"/>
  <c r="N112" i="34"/>
  <c r="K105" i="15"/>
  <c r="G107" i="15" s="1"/>
  <c r="I109" i="15" s="1"/>
  <c r="N113" i="37"/>
  <c r="K130" i="37" s="1"/>
  <c r="L112" i="37"/>
  <c r="N112" i="37"/>
  <c r="L113" i="37"/>
  <c r="H122" i="17"/>
  <c r="H126" i="17"/>
  <c r="J126" i="17"/>
  <c r="J122" i="17"/>
  <c r="K102" i="16"/>
  <c r="G77" i="16"/>
  <c r="K90" i="16" s="1"/>
  <c r="G75" i="16"/>
  <c r="K86" i="16" s="1"/>
  <c r="K98" i="16"/>
  <c r="L126" i="36"/>
  <c r="N125" i="36"/>
  <c r="N126" i="36"/>
  <c r="K143" i="36" s="1"/>
  <c r="L125" i="36"/>
  <c r="G74" i="16"/>
  <c r="K85" i="16" s="1"/>
  <c r="K97" i="16"/>
  <c r="K105" i="12"/>
  <c r="G107" i="12" s="1"/>
  <c r="I109" i="12" s="1"/>
  <c r="M234" i="16"/>
  <c r="I112" i="35"/>
  <c r="L122" i="35" s="1"/>
  <c r="I110" i="35"/>
  <c r="G144" i="35" s="1"/>
  <c r="K103" i="16"/>
  <c r="H76" i="16"/>
  <c r="K91" i="16" s="1"/>
  <c r="K99" i="16"/>
  <c r="H74" i="16"/>
  <c r="K87" i="16" s="1"/>
  <c r="L112" i="32"/>
  <c r="L113" i="32"/>
  <c r="N113" i="32"/>
  <c r="K130" i="32" s="1"/>
  <c r="N112" i="32"/>
  <c r="L18" i="38"/>
  <c r="I43" i="38" s="1"/>
  <c r="L18" i="40" l="1"/>
  <c r="I43" i="40" s="1"/>
  <c r="L125" i="35"/>
  <c r="N125" i="35"/>
  <c r="N126" i="35"/>
  <c r="K143" i="35" s="1"/>
  <c r="L126" i="35"/>
  <c r="G126" i="36"/>
  <c r="K133" i="36" s="1"/>
  <c r="K141" i="36"/>
  <c r="N126" i="17"/>
  <c r="K216" i="17"/>
  <c r="M216" i="17" s="1"/>
  <c r="M218" i="17" s="1"/>
  <c r="M219" i="17" s="1"/>
  <c r="M220" i="17" s="1"/>
  <c r="H19" i="17"/>
  <c r="F96" i="11" s="1"/>
  <c r="E112" i="97" s="1"/>
  <c r="H112" i="37"/>
  <c r="K121" i="37" s="1"/>
  <c r="K129" i="37"/>
  <c r="K129" i="34"/>
  <c r="H112" i="34"/>
  <c r="K121" i="34" s="1"/>
  <c r="G113" i="32"/>
  <c r="K120" i="32" s="1"/>
  <c r="K128" i="32"/>
  <c r="G125" i="36"/>
  <c r="K132" i="36" s="1"/>
  <c r="K140" i="36"/>
  <c r="M126" i="17"/>
  <c r="K198" i="17"/>
  <c r="M198" i="17" s="1"/>
  <c r="M200" i="17" s="1"/>
  <c r="M201" i="17" s="1"/>
  <c r="M202" i="17" s="1"/>
  <c r="H17" i="17"/>
  <c r="F94" i="11" s="1"/>
  <c r="E110" i="97" s="1"/>
  <c r="G112" i="37"/>
  <c r="K119" i="37" s="1"/>
  <c r="K127" i="37"/>
  <c r="K127" i="32"/>
  <c r="G112" i="32"/>
  <c r="K119" i="32" s="1"/>
  <c r="H122" i="12"/>
  <c r="J126" i="12"/>
  <c r="H126" i="12"/>
  <c r="J122" i="12"/>
  <c r="H11" i="17"/>
  <c r="F88" i="11" s="1"/>
  <c r="E104" i="97" s="1"/>
  <c r="M122" i="17"/>
  <c r="K191" i="17"/>
  <c r="M191" i="17" s="1"/>
  <c r="M193" i="17" s="1"/>
  <c r="M194" i="17" s="1"/>
  <c r="M195" i="17" s="1"/>
  <c r="G112" i="34"/>
  <c r="K119" i="34" s="1"/>
  <c r="K127" i="34"/>
  <c r="H112" i="32"/>
  <c r="K121" i="32" s="1"/>
  <c r="K129" i="32"/>
  <c r="K105" i="16"/>
  <c r="G107" i="16" s="1"/>
  <c r="I109" i="16" s="1"/>
  <c r="K142" i="36"/>
  <c r="H125" i="36"/>
  <c r="K134" i="36" s="1"/>
  <c r="K209" i="17"/>
  <c r="M209" i="17" s="1"/>
  <c r="M211" i="17" s="1"/>
  <c r="M212" i="17" s="1"/>
  <c r="M213" i="17" s="1"/>
  <c r="H13" i="17"/>
  <c r="F90" i="11" s="1"/>
  <c r="E106" i="97" s="1"/>
  <c r="N122" i="17"/>
  <c r="K128" i="37"/>
  <c r="G113" i="37"/>
  <c r="K120" i="37" s="1"/>
  <c r="H126" i="15"/>
  <c r="J126" i="15"/>
  <c r="J122" i="15"/>
  <c r="H122" i="15"/>
  <c r="K128" i="34"/>
  <c r="G113" i="34"/>
  <c r="K120" i="34" s="1"/>
  <c r="H17" i="15" l="1"/>
  <c r="F33" i="11" s="1"/>
  <c r="E17" i="97" s="1"/>
  <c r="K198" i="15"/>
  <c r="M198" i="15" s="1"/>
  <c r="M200" i="15" s="1"/>
  <c r="M201" i="15" s="1"/>
  <c r="M202" i="15" s="1"/>
  <c r="M126" i="15"/>
  <c r="H126" i="16"/>
  <c r="J126" i="16"/>
  <c r="J122" i="16"/>
  <c r="J121" i="16"/>
  <c r="K209" i="16" s="1"/>
  <c r="M209" i="16" s="1"/>
  <c r="H121" i="16"/>
  <c r="K191" i="16" s="1"/>
  <c r="M191" i="16" s="1"/>
  <c r="H122" i="16"/>
  <c r="J125" i="16"/>
  <c r="K216" i="16" s="1"/>
  <c r="M216" i="16" s="1"/>
  <c r="H125" i="16"/>
  <c r="K198" i="16" s="1"/>
  <c r="M198" i="16" s="1"/>
  <c r="N122" i="12"/>
  <c r="H13" i="12"/>
  <c r="F50" i="11" s="1"/>
  <c r="E44" i="97" s="1"/>
  <c r="K209" i="12"/>
  <c r="M209" i="12" s="1"/>
  <c r="M211" i="12" s="1"/>
  <c r="M212" i="12" s="1"/>
  <c r="M213" i="12" s="1"/>
  <c r="G126" i="35"/>
  <c r="K133" i="35" s="1"/>
  <c r="K141" i="35"/>
  <c r="M122" i="15"/>
  <c r="K191" i="15"/>
  <c r="M191" i="15" s="1"/>
  <c r="M193" i="15" s="1"/>
  <c r="M194" i="15" s="1"/>
  <c r="M195" i="15" s="1"/>
  <c r="H11" i="15"/>
  <c r="F27" i="11" s="1"/>
  <c r="E11" i="97" s="1"/>
  <c r="M222" i="17"/>
  <c r="M236" i="17" s="1"/>
  <c r="M240" i="17" s="1"/>
  <c r="K198" i="12"/>
  <c r="M198" i="12" s="1"/>
  <c r="M200" i="12" s="1"/>
  <c r="M201" i="12" s="1"/>
  <c r="M202" i="12" s="1"/>
  <c r="H17" i="12"/>
  <c r="F54" i="11" s="1"/>
  <c r="E48" i="97" s="1"/>
  <c r="M126" i="12"/>
  <c r="K131" i="32"/>
  <c r="G133" i="32" s="1"/>
  <c r="I135" i="32" s="1"/>
  <c r="N122" i="15"/>
  <c r="K209" i="15"/>
  <c r="M209" i="15" s="1"/>
  <c r="M211" i="15" s="1"/>
  <c r="M212" i="15" s="1"/>
  <c r="M213" i="15" s="1"/>
  <c r="H13" i="15"/>
  <c r="F29" i="11" s="1"/>
  <c r="E13" i="97" s="1"/>
  <c r="K216" i="12"/>
  <c r="M216" i="12" s="1"/>
  <c r="M218" i="12" s="1"/>
  <c r="M219" i="12" s="1"/>
  <c r="M220" i="12" s="1"/>
  <c r="N126" i="12"/>
  <c r="H19" i="12"/>
  <c r="F56" i="11" s="1"/>
  <c r="E50" i="97" s="1"/>
  <c r="K131" i="37"/>
  <c r="G133" i="37" s="1"/>
  <c r="I135" i="37" s="1"/>
  <c r="K142" i="35"/>
  <c r="H125" i="35"/>
  <c r="K134" i="35" s="1"/>
  <c r="N126" i="15"/>
  <c r="H19" i="15"/>
  <c r="F35" i="11" s="1"/>
  <c r="E19" i="97" s="1"/>
  <c r="K216" i="15"/>
  <c r="M216" i="15" s="1"/>
  <c r="M218" i="15" s="1"/>
  <c r="M219" i="15" s="1"/>
  <c r="M220" i="15" s="1"/>
  <c r="K131" i="34"/>
  <c r="G133" i="34" s="1"/>
  <c r="I135" i="34" s="1"/>
  <c r="H11" i="12"/>
  <c r="F48" i="11" s="1"/>
  <c r="E42" i="97" s="1"/>
  <c r="K191" i="12"/>
  <c r="M191" i="12" s="1"/>
  <c r="M193" i="12" s="1"/>
  <c r="M194" i="12" s="1"/>
  <c r="M195" i="12" s="1"/>
  <c r="M122" i="12"/>
  <c r="K144" i="36"/>
  <c r="G146" i="36" s="1"/>
  <c r="I148" i="36" s="1"/>
  <c r="K140" i="35"/>
  <c r="K144" i="35" s="1"/>
  <c r="G146" i="35" s="1"/>
  <c r="I148" i="35" s="1"/>
  <c r="G125" i="35"/>
  <c r="K132" i="35" s="1"/>
  <c r="M222" i="12" l="1"/>
  <c r="M236" i="12" s="1"/>
  <c r="M240" i="12" s="1"/>
  <c r="J142" i="32"/>
  <c r="H143" i="32"/>
  <c r="H142" i="32"/>
  <c r="J143" i="32"/>
  <c r="M243" i="17"/>
  <c r="F98" i="11"/>
  <c r="F100" i="11" s="1"/>
  <c r="M126" i="16"/>
  <c r="H17" i="16"/>
  <c r="F74" i="11" s="1"/>
  <c r="E79" i="97" s="1"/>
  <c r="K199" i="16"/>
  <c r="M199" i="16" s="1"/>
  <c r="M200" i="16" s="1"/>
  <c r="M201" i="16" s="1"/>
  <c r="M202" i="16" s="1"/>
  <c r="M243" i="12"/>
  <c r="F58" i="11"/>
  <c r="F60" i="11" s="1"/>
  <c r="H143" i="37"/>
  <c r="J142" i="37"/>
  <c r="J143" i="37"/>
  <c r="H142" i="37"/>
  <c r="J155" i="35"/>
  <c r="J156" i="35"/>
  <c r="H155" i="35"/>
  <c r="H156" i="35"/>
  <c r="M222" i="15"/>
  <c r="M236" i="15" s="1"/>
  <c r="M240" i="15" s="1"/>
  <c r="K210" i="16"/>
  <c r="M210" i="16" s="1"/>
  <c r="M211" i="16" s="1"/>
  <c r="M212" i="16" s="1"/>
  <c r="M213" i="16" s="1"/>
  <c r="H13" i="16"/>
  <c r="F70" i="11" s="1"/>
  <c r="E75" i="97" s="1"/>
  <c r="N122" i="16"/>
  <c r="J155" i="36"/>
  <c r="J156" i="36"/>
  <c r="H156" i="36"/>
  <c r="H155" i="36"/>
  <c r="H143" i="34"/>
  <c r="J142" i="34"/>
  <c r="J143" i="34"/>
  <c r="H142" i="34"/>
  <c r="H11" i="16"/>
  <c r="F68" i="11" s="1"/>
  <c r="E73" i="97" s="1"/>
  <c r="M122" i="16"/>
  <c r="K192" i="16"/>
  <c r="M192" i="16" s="1"/>
  <c r="M193" i="16" s="1"/>
  <c r="M194" i="16" s="1"/>
  <c r="M195" i="16" s="1"/>
  <c r="K217" i="16"/>
  <c r="M217" i="16" s="1"/>
  <c r="M218" i="16" s="1"/>
  <c r="M219" i="16" s="1"/>
  <c r="M220" i="16" s="1"/>
  <c r="H19" i="16"/>
  <c r="F76" i="11" s="1"/>
  <c r="E81" i="97" s="1"/>
  <c r="N126" i="16"/>
  <c r="M222" i="16" l="1"/>
  <c r="M236" i="16" s="1"/>
  <c r="M240" i="16" s="1"/>
  <c r="H15" i="34"/>
  <c r="M143" i="34"/>
  <c r="H176" i="34"/>
  <c r="J176" i="34" s="1"/>
  <c r="N176" i="34" s="1"/>
  <c r="H195" i="36"/>
  <c r="J195" i="36" s="1"/>
  <c r="H16" i="36"/>
  <c r="O155" i="36"/>
  <c r="H14" i="34"/>
  <c r="M142" i="34"/>
  <c r="H175" i="34"/>
  <c r="J175" i="34" s="1"/>
  <c r="H188" i="36"/>
  <c r="J188" i="36" s="1"/>
  <c r="M155" i="36"/>
  <c r="H14" i="36"/>
  <c r="H189" i="35"/>
  <c r="J189" i="35" s="1"/>
  <c r="N189" i="35" s="1"/>
  <c r="H15" i="35"/>
  <c r="M156" i="35"/>
  <c r="H175" i="37"/>
  <c r="J175" i="37" s="1"/>
  <c r="H14" i="37"/>
  <c r="M142" i="37"/>
  <c r="G60" i="11"/>
  <c r="E5" i="93"/>
  <c r="M142" i="32"/>
  <c r="H175" i="32"/>
  <c r="J175" i="32" s="1"/>
  <c r="H14" i="32"/>
  <c r="M243" i="15"/>
  <c r="F37" i="11"/>
  <c r="F39" i="11" s="1"/>
  <c r="H16" i="35"/>
  <c r="H195" i="35"/>
  <c r="J195" i="35" s="1"/>
  <c r="O155" i="35"/>
  <c r="H15" i="37"/>
  <c r="M143" i="37"/>
  <c r="H176" i="37"/>
  <c r="J176" i="37" s="1"/>
  <c r="N176" i="37" s="1"/>
  <c r="H17" i="32"/>
  <c r="O143" i="32"/>
  <c r="H183" i="32"/>
  <c r="J183" i="32" s="1"/>
  <c r="N183" i="32" s="1"/>
  <c r="M156" i="36"/>
  <c r="H15" i="36"/>
  <c r="H189" i="36"/>
  <c r="J189" i="36" s="1"/>
  <c r="N189" i="36" s="1"/>
  <c r="H188" i="35"/>
  <c r="J188" i="35" s="1"/>
  <c r="H14" i="35"/>
  <c r="M155" i="35"/>
  <c r="H183" i="37"/>
  <c r="J183" i="37" s="1"/>
  <c r="N183" i="37" s="1"/>
  <c r="O143" i="37"/>
  <c r="H17" i="37"/>
  <c r="M247" i="12"/>
  <c r="M246" i="12"/>
  <c r="G100" i="11"/>
  <c r="E7" i="93"/>
  <c r="H176" i="32"/>
  <c r="J176" i="32" s="1"/>
  <c r="N176" i="32" s="1"/>
  <c r="H15" i="32"/>
  <c r="M143" i="32"/>
  <c r="M243" i="16"/>
  <c r="F78" i="11"/>
  <c r="F80" i="11" s="1"/>
  <c r="O143" i="34"/>
  <c r="H183" i="34"/>
  <c r="J183" i="34" s="1"/>
  <c r="N183" i="34" s="1"/>
  <c r="H17" i="34"/>
  <c r="H16" i="34"/>
  <c r="H182" i="34"/>
  <c r="J182" i="34" s="1"/>
  <c r="O142" i="34"/>
  <c r="H17" i="36"/>
  <c r="O156" i="36"/>
  <c r="H196" i="36"/>
  <c r="J196" i="36" s="1"/>
  <c r="N196" i="36" s="1"/>
  <c r="H17" i="35"/>
  <c r="O156" i="35"/>
  <c r="H196" i="35"/>
  <c r="J196" i="35" s="1"/>
  <c r="N196" i="35" s="1"/>
  <c r="H182" i="37"/>
  <c r="J182" i="37" s="1"/>
  <c r="H16" i="37"/>
  <c r="O142" i="37"/>
  <c r="M247" i="17"/>
  <c r="M246" i="17"/>
  <c r="H16" i="32"/>
  <c r="O142" i="32"/>
  <c r="H182" i="32"/>
  <c r="J182" i="32" s="1"/>
  <c r="G80" i="11" l="1"/>
  <c r="E6" i="93"/>
  <c r="E141" i="6"/>
  <c r="F141" i="6" s="1"/>
  <c r="H19" i="36"/>
  <c r="E145" i="6" s="1"/>
  <c r="F145" i="6" s="1"/>
  <c r="J177" i="37"/>
  <c r="N175" i="37"/>
  <c r="N177" i="37" s="1"/>
  <c r="E140" i="6"/>
  <c r="H18" i="36"/>
  <c r="E144" i="6" s="1"/>
  <c r="F144" i="6" s="1"/>
  <c r="E143" i="6"/>
  <c r="F143" i="6" s="1"/>
  <c r="H21" i="36"/>
  <c r="E147" i="6" s="1"/>
  <c r="F147" i="6" s="1"/>
  <c r="H21" i="34"/>
  <c r="E54" i="6" s="1"/>
  <c r="F54" i="6" s="1"/>
  <c r="E50" i="6"/>
  <c r="F50" i="6" s="1"/>
  <c r="M246" i="16"/>
  <c r="M247" i="16"/>
  <c r="G7" i="93"/>
  <c r="F7" i="93"/>
  <c r="H21" i="37"/>
  <c r="E117" i="6" s="1"/>
  <c r="F117" i="6" s="1"/>
  <c r="E113" i="6"/>
  <c r="F113" i="6" s="1"/>
  <c r="H18" i="35"/>
  <c r="E81" i="6" s="1"/>
  <c r="F81" i="6" s="1"/>
  <c r="E77" i="6"/>
  <c r="J197" i="35"/>
  <c r="N195" i="35"/>
  <c r="N197" i="35" s="1"/>
  <c r="H18" i="32"/>
  <c r="E21" i="6" s="1"/>
  <c r="F21" i="6" s="1"/>
  <c r="E17" i="6"/>
  <c r="H18" i="34"/>
  <c r="E51" i="6" s="1"/>
  <c r="F51" i="6" s="1"/>
  <c r="E47" i="6"/>
  <c r="H21" i="32"/>
  <c r="E24" i="6" s="1"/>
  <c r="F24" i="6" s="1"/>
  <c r="E20" i="6"/>
  <c r="F20" i="6" s="1"/>
  <c r="G5" i="93"/>
  <c r="F5" i="93"/>
  <c r="E19" i="6"/>
  <c r="F19" i="6" s="1"/>
  <c r="H20" i="32"/>
  <c r="E23" i="6" s="1"/>
  <c r="F23" i="6" s="1"/>
  <c r="E112" i="6"/>
  <c r="F112" i="6" s="1"/>
  <c r="H20" i="37"/>
  <c r="E116" i="6" s="1"/>
  <c r="F116" i="6" s="1"/>
  <c r="E80" i="6"/>
  <c r="F80" i="6" s="1"/>
  <c r="H21" i="35"/>
  <c r="E84" i="6" s="1"/>
  <c r="F84" i="6" s="1"/>
  <c r="N188" i="35"/>
  <c r="N190" i="35" s="1"/>
  <c r="J190" i="35"/>
  <c r="J199" i="35" s="1"/>
  <c r="H20" i="35"/>
  <c r="E83" i="6" s="1"/>
  <c r="F83" i="6" s="1"/>
  <c r="E79" i="6"/>
  <c r="J177" i="32"/>
  <c r="N175" i="32"/>
  <c r="N177" i="32" s="1"/>
  <c r="E78" i="6"/>
  <c r="F78" i="6" s="1"/>
  <c r="H19" i="35"/>
  <c r="E82" i="6" s="1"/>
  <c r="F82" i="6" s="1"/>
  <c r="N188" i="36"/>
  <c r="N190" i="36" s="1"/>
  <c r="J190" i="36"/>
  <c r="N182" i="32"/>
  <c r="N184" i="32" s="1"/>
  <c r="J184" i="32"/>
  <c r="E49" i="6"/>
  <c r="F49" i="6" s="1"/>
  <c r="H20" i="34"/>
  <c r="E53" i="6" s="1"/>
  <c r="F53" i="6" s="1"/>
  <c r="M246" i="15"/>
  <c r="M247" i="15"/>
  <c r="N195" i="36"/>
  <c r="N197" i="36" s="1"/>
  <c r="J197" i="36"/>
  <c r="J184" i="37"/>
  <c r="N182" i="37"/>
  <c r="N184" i="37" s="1"/>
  <c r="N182" i="34"/>
  <c r="N184" i="34" s="1"/>
  <c r="J184" i="34"/>
  <c r="H19" i="32"/>
  <c r="E22" i="6" s="1"/>
  <c r="F22" i="6" s="1"/>
  <c r="E18" i="6"/>
  <c r="F18" i="6" s="1"/>
  <c r="E111" i="6"/>
  <c r="F111" i="6" s="1"/>
  <c r="H19" i="37"/>
  <c r="E115" i="6" s="1"/>
  <c r="F115" i="6" s="1"/>
  <c r="E4" i="93"/>
  <c r="G39" i="11"/>
  <c r="H18" i="37"/>
  <c r="E114" i="6" s="1"/>
  <c r="F114" i="6" s="1"/>
  <c r="E110" i="6"/>
  <c r="J177" i="34"/>
  <c r="N175" i="34"/>
  <c r="N177" i="34" s="1"/>
  <c r="E142" i="6"/>
  <c r="F142" i="6" s="1"/>
  <c r="H20" i="36"/>
  <c r="E146" i="6" s="1"/>
  <c r="F146" i="6" s="1"/>
  <c r="E48" i="6"/>
  <c r="F48" i="6" s="1"/>
  <c r="H19" i="34"/>
  <c r="E52" i="6" s="1"/>
  <c r="F52" i="6" s="1"/>
  <c r="N186" i="32" l="1"/>
  <c r="M192" i="32" s="1"/>
  <c r="J186" i="34"/>
  <c r="N186" i="34"/>
  <c r="M192" i="34" s="1"/>
  <c r="F79" i="6"/>
  <c r="E30" i="6"/>
  <c r="N199" i="35"/>
  <c r="M210" i="35" s="1"/>
  <c r="H32" i="97"/>
  <c r="F17" i="6"/>
  <c r="F140" i="6"/>
  <c r="H164" i="97"/>
  <c r="H94" i="97"/>
  <c r="F77" i="6"/>
  <c r="H125" i="97"/>
  <c r="F110" i="6"/>
  <c r="J199" i="36"/>
  <c r="H63" i="97"/>
  <c r="F47" i="6"/>
  <c r="N186" i="37"/>
  <c r="M192" i="37" s="1"/>
  <c r="F6" i="93"/>
  <c r="G6" i="93"/>
  <c r="G4" i="93"/>
  <c r="F4" i="93"/>
  <c r="N199" i="36"/>
  <c r="M208" i="36" s="1"/>
  <c r="J186" i="32"/>
  <c r="J186" i="37"/>
  <c r="E153" i="6" l="1"/>
  <c r="E90" i="6"/>
  <c r="E123" i="6"/>
  <c r="E60" i="6"/>
  <c r="G8" i="45" l="1"/>
  <c r="K44" i="45" s="1"/>
  <c r="J35" i="10"/>
  <c r="I35" i="10"/>
  <c r="G9" i="45"/>
  <c r="J44" i="45" s="1"/>
  <c r="L35" i="10" l="1"/>
  <c r="N35" i="10" s="1"/>
  <c r="O35" i="10" s="1"/>
  <c r="A100" i="27" s="1"/>
  <c r="M44" i="45"/>
  <c r="N44" i="45" s="1"/>
  <c r="D110" i="27"/>
  <c r="K35" i="10"/>
  <c r="L44" i="45"/>
  <c r="D68" i="10" l="1"/>
  <c r="G131" i="97"/>
  <c r="E116" i="27"/>
  <c r="E14" i="93" s="1"/>
  <c r="C114" i="27"/>
  <c r="E105" i="27"/>
  <c r="E107" i="27"/>
  <c r="C115" i="27"/>
  <c r="D116" i="27"/>
  <c r="D14" i="93" s="1"/>
  <c r="F116" i="27"/>
  <c r="E106" i="27"/>
  <c r="E108" i="27"/>
  <c r="F105" i="27" l="1"/>
  <c r="G134" i="97"/>
  <c r="F108" i="27"/>
  <c r="G139" i="97"/>
  <c r="F106" i="27"/>
  <c r="G135" i="97"/>
  <c r="G138" i="97"/>
  <c r="F107" i="27"/>
  <c r="I32" i="10" l="1"/>
  <c r="K32" i="10" s="1"/>
  <c r="E13" i="57"/>
  <c r="I40" i="57" s="1"/>
  <c r="I22" i="10"/>
  <c r="E13" i="96"/>
  <c r="I40" i="96" s="1"/>
  <c r="I37" i="10"/>
  <c r="E11" i="57"/>
  <c r="J40" i="57" s="1"/>
  <c r="K40" i="57" s="1"/>
  <c r="E51" i="57" s="1"/>
  <c r="J22" i="10"/>
  <c r="J12" i="10"/>
  <c r="E11" i="56"/>
  <c r="J40" i="56" s="1"/>
  <c r="J37" i="10"/>
  <c r="E11" i="96"/>
  <c r="J40" i="96" s="1"/>
  <c r="K40" i="96" s="1"/>
  <c r="E51" i="96" s="1"/>
  <c r="L32" i="10" l="1"/>
  <c r="N32" i="10" s="1"/>
  <c r="O32" i="10" s="1"/>
  <c r="D66" i="10" s="1"/>
  <c r="K22" i="10"/>
  <c r="K37" i="10"/>
  <c r="L37" i="10"/>
  <c r="N37" i="10" s="1"/>
  <c r="O37" i="10" s="1"/>
  <c r="L40" i="96"/>
  <c r="L22" i="10"/>
  <c r="N22" i="10" s="1"/>
  <c r="O22" i="10" s="1"/>
  <c r="I12" i="10"/>
  <c r="L12" i="10" s="1"/>
  <c r="N12" i="10" s="1"/>
  <c r="O12" i="10" s="1"/>
  <c r="E13" i="56"/>
  <c r="I40" i="56" s="1"/>
  <c r="L40" i="56" s="1"/>
  <c r="L40" i="57"/>
  <c r="C51" i="57" l="1"/>
  <c r="I51" i="57" s="1"/>
  <c r="M40" i="57"/>
  <c r="D155" i="27"/>
  <c r="A143" i="27"/>
  <c r="D60" i="10"/>
  <c r="K12" i="10"/>
  <c r="K40" i="56"/>
  <c r="E51" i="56" s="1"/>
  <c r="M40" i="56"/>
  <c r="C51" i="56"/>
  <c r="I51" i="56" s="1"/>
  <c r="D131" i="27"/>
  <c r="C51" i="96"/>
  <c r="I51" i="96" s="1"/>
  <c r="D227" i="27"/>
  <c r="M40" i="96"/>
  <c r="D54" i="10"/>
  <c r="A119" i="27"/>
  <c r="A215" i="27"/>
  <c r="D69" i="10"/>
  <c r="C232" i="27" l="1"/>
  <c r="C231" i="27"/>
  <c r="G145" i="97"/>
  <c r="D233" i="27"/>
  <c r="D234" i="27"/>
  <c r="D236" i="27"/>
  <c r="E151" i="27"/>
  <c r="C160" i="27"/>
  <c r="D164" i="27"/>
  <c r="D16" i="93" s="1"/>
  <c r="E148" i="27"/>
  <c r="G87" i="97"/>
  <c r="E220" i="27"/>
  <c r="C159" i="27"/>
  <c r="E223" i="27"/>
  <c r="D162" i="27"/>
  <c r="D161" i="27"/>
  <c r="G25" i="97"/>
  <c r="C135" i="27"/>
  <c r="E127" i="27"/>
  <c r="C136" i="27"/>
  <c r="D138" i="27"/>
  <c r="E124" i="27"/>
  <c r="D137" i="27"/>
  <c r="D140" i="27"/>
  <c r="D15" i="93" s="1"/>
  <c r="L51" i="96"/>
  <c r="L50" i="96" s="1"/>
  <c r="G70" i="96" s="1"/>
  <c r="D229" i="27"/>
  <c r="D133" i="27"/>
  <c r="L51" i="56"/>
  <c r="L50" i="56" s="1"/>
  <c r="G70" i="56" s="1"/>
  <c r="L51" i="57"/>
  <c r="L50" i="57" s="1"/>
  <c r="G70" i="57" s="1"/>
  <c r="D157" i="27"/>
  <c r="E99" i="56" l="1"/>
  <c r="E101" i="56" s="1"/>
  <c r="C108" i="56" s="1"/>
  <c r="C109" i="56" s="1"/>
  <c r="E110" i="56" s="1"/>
  <c r="C85" i="56"/>
  <c r="C86" i="56" s="1"/>
  <c r="E87" i="56" s="1"/>
  <c r="G29" i="97"/>
  <c r="F127" i="27"/>
  <c r="F223" i="27"/>
  <c r="G149" i="97"/>
  <c r="F148" i="27"/>
  <c r="G88" i="97"/>
  <c r="G26" i="97"/>
  <c r="F124" i="27"/>
  <c r="G146" i="97"/>
  <c r="F220" i="27"/>
  <c r="C85" i="57"/>
  <c r="C86" i="57" s="1"/>
  <c r="E87" i="57" s="1"/>
  <c r="E99" i="57"/>
  <c r="E101" i="57" s="1"/>
  <c r="C108" i="57" s="1"/>
  <c r="C109" i="57" s="1"/>
  <c r="E110" i="57" s="1"/>
  <c r="C85" i="96"/>
  <c r="C86" i="96" s="1"/>
  <c r="E87" i="96" s="1"/>
  <c r="E99" i="96"/>
  <c r="E101" i="96" s="1"/>
  <c r="C108" i="96" s="1"/>
  <c r="C109" i="96" s="1"/>
  <c r="E110" i="96" s="1"/>
  <c r="G91" i="97"/>
  <c r="F151" i="27"/>
  <c r="E111" i="96" l="1"/>
  <c r="B118" i="96" s="1"/>
  <c r="C118" i="96"/>
  <c r="C118" i="56"/>
  <c r="E111" i="56"/>
  <c r="B118" i="56" s="1"/>
  <c r="C119" i="96"/>
  <c r="E88" i="96"/>
  <c r="B119" i="96" s="1"/>
  <c r="E88" i="57"/>
  <c r="B119" i="57" s="1"/>
  <c r="K133" i="57" s="1"/>
  <c r="C119" i="57"/>
  <c r="L133" i="57" s="1"/>
  <c r="E111" i="57"/>
  <c r="B118" i="57" s="1"/>
  <c r="C118" i="57"/>
  <c r="C119" i="56"/>
  <c r="L133" i="56" s="1"/>
  <c r="E88" i="56"/>
  <c r="B119" i="56" s="1"/>
  <c r="K133" i="56" s="1"/>
  <c r="L142" i="56" l="1"/>
  <c r="L156" i="56"/>
  <c r="L165" i="56" s="1"/>
  <c r="G18" i="56"/>
  <c r="G21" i="56"/>
  <c r="P133" i="56"/>
  <c r="P136" i="56" s="1"/>
  <c r="K156" i="56"/>
  <c r="N133" i="56"/>
  <c r="K142" i="56"/>
  <c r="L156" i="57"/>
  <c r="L165" i="57" s="1"/>
  <c r="G18" i="57"/>
  <c r="L142" i="57"/>
  <c r="K132" i="56"/>
  <c r="B120" i="56"/>
  <c r="G21" i="57"/>
  <c r="N133" i="57"/>
  <c r="P133" i="57"/>
  <c r="P136" i="57" s="1"/>
  <c r="K156" i="57"/>
  <c r="K142" i="57"/>
  <c r="L132" i="56"/>
  <c r="C120" i="56"/>
  <c r="C120" i="57"/>
  <c r="L132" i="57"/>
  <c r="G21" i="96"/>
  <c r="K133" i="96"/>
  <c r="L132" i="96"/>
  <c r="G17" i="96"/>
  <c r="C120" i="96"/>
  <c r="K132" i="57"/>
  <c r="B120" i="57"/>
  <c r="L133" i="96"/>
  <c r="G18" i="96"/>
  <c r="B120" i="96"/>
  <c r="K132" i="96"/>
  <c r="G20" i="96"/>
  <c r="E129" i="27" l="1"/>
  <c r="E225" i="27"/>
  <c r="E224" i="27"/>
  <c r="E153" i="27"/>
  <c r="F153" i="27" s="1"/>
  <c r="K134" i="96"/>
  <c r="K141" i="96"/>
  <c r="P132" i="96"/>
  <c r="K155" i="96"/>
  <c r="N132" i="96"/>
  <c r="L134" i="96"/>
  <c r="L155" i="96"/>
  <c r="L141" i="96"/>
  <c r="N156" i="57"/>
  <c r="K165" i="57"/>
  <c r="N165" i="57" s="1"/>
  <c r="K155" i="57"/>
  <c r="K134" i="57"/>
  <c r="N132" i="57"/>
  <c r="P132" i="57"/>
  <c r="P134" i="57" s="1"/>
  <c r="P137" i="57" s="1"/>
  <c r="Q136" i="57" s="1"/>
  <c r="G20" i="57"/>
  <c r="K141" i="57"/>
  <c r="P133" i="96"/>
  <c r="P136" i="96" s="1"/>
  <c r="K142" i="96"/>
  <c r="N133" i="96"/>
  <c r="K156" i="96"/>
  <c r="G20" i="56"/>
  <c r="K155" i="56"/>
  <c r="K141" i="56"/>
  <c r="P132" i="56"/>
  <c r="P134" i="56" s="1"/>
  <c r="P137" i="56" s="1"/>
  <c r="Q136" i="56" s="1"/>
  <c r="K134" i="56"/>
  <c r="N132" i="56"/>
  <c r="F129" i="27"/>
  <c r="G31" i="97"/>
  <c r="H18" i="96"/>
  <c r="E222" i="27"/>
  <c r="G151" i="97"/>
  <c r="F225" i="27"/>
  <c r="L141" i="56"/>
  <c r="G17" i="56"/>
  <c r="L155" i="56"/>
  <c r="L134" i="56"/>
  <c r="H18" i="56"/>
  <c r="E126" i="27"/>
  <c r="F224" i="27"/>
  <c r="G150" i="97"/>
  <c r="L142" i="96"/>
  <c r="L156" i="96"/>
  <c r="L165" i="96" s="1"/>
  <c r="H17" i="96"/>
  <c r="E221" i="27"/>
  <c r="G17" i="57"/>
  <c r="L141" i="57"/>
  <c r="L134" i="57"/>
  <c r="L155" i="57"/>
  <c r="H18" i="57"/>
  <c r="E150" i="27"/>
  <c r="N156" i="56"/>
  <c r="K165" i="56"/>
  <c r="N165" i="56" s="1"/>
  <c r="H22" i="96" l="1"/>
  <c r="G93" i="97"/>
  <c r="E152" i="27"/>
  <c r="F152" i="27" s="1"/>
  <c r="E128" i="27"/>
  <c r="P134" i="96"/>
  <c r="P137" i="96" s="1"/>
  <c r="Q136" i="96" s="1"/>
  <c r="L164" i="57"/>
  <c r="L166" i="57" s="1"/>
  <c r="L157" i="57"/>
  <c r="L164" i="96"/>
  <c r="L166" i="96" s="1"/>
  <c r="L157" i="96"/>
  <c r="F221" i="27"/>
  <c r="G147" i="97"/>
  <c r="N156" i="96"/>
  <c r="K165" i="96"/>
  <c r="N165" i="96" s="1"/>
  <c r="N155" i="96"/>
  <c r="K164" i="96"/>
  <c r="K157" i="96"/>
  <c r="N155" i="57"/>
  <c r="N157" i="57" s="1"/>
  <c r="K157" i="57"/>
  <c r="K164" i="57"/>
  <c r="F126" i="27"/>
  <c r="G28" i="97"/>
  <c r="H17" i="56"/>
  <c r="H22" i="56" s="1"/>
  <c r="E125" i="27"/>
  <c r="F222" i="27"/>
  <c r="G148" i="97"/>
  <c r="K157" i="56"/>
  <c r="N155" i="56"/>
  <c r="N157" i="56" s="1"/>
  <c r="K164" i="56"/>
  <c r="Q137" i="57"/>
  <c r="E162" i="27" s="1"/>
  <c r="E161" i="27"/>
  <c r="F150" i="27"/>
  <c r="G90" i="97"/>
  <c r="Q137" i="56"/>
  <c r="E138" i="27" s="1"/>
  <c r="E137" i="27"/>
  <c r="L164" i="56"/>
  <c r="L166" i="56" s="1"/>
  <c r="L157" i="56"/>
  <c r="Q137" i="96"/>
  <c r="E234" i="27" s="1"/>
  <c r="E233" i="27"/>
  <c r="H17" i="57"/>
  <c r="H22" i="57" s="1"/>
  <c r="E149" i="27"/>
  <c r="F128" i="27"/>
  <c r="G30" i="97"/>
  <c r="G92" i="97" l="1"/>
  <c r="G27" i="97"/>
  <c r="F125" i="27"/>
  <c r="N164" i="57"/>
  <c r="N166" i="57" s="1"/>
  <c r="K166" i="57"/>
  <c r="K166" i="96"/>
  <c r="N164" i="96"/>
  <c r="N166" i="96" s="1"/>
  <c r="G89" i="97"/>
  <c r="F149" i="27"/>
  <c r="N164" i="56"/>
  <c r="N166" i="56" s="1"/>
  <c r="K166" i="56"/>
  <c r="N157" i="96"/>
  <c r="N170" i="57" l="1"/>
  <c r="N169" i="57"/>
  <c r="E164" i="27"/>
  <c r="N169" i="96"/>
  <c r="N170" i="96"/>
  <c r="E236" i="27"/>
  <c r="F236" i="27" s="1"/>
  <c r="N169" i="56"/>
  <c r="N170" i="56"/>
  <c r="E140" i="27"/>
  <c r="E16" i="93" l="1"/>
  <c r="F164" i="27"/>
  <c r="E15" i="93"/>
  <c r="F140" i="27"/>
  <c r="M20" i="53" l="1"/>
  <c r="M21" i="53"/>
  <c r="L20" i="53" l="1"/>
  <c r="K20" i="53" s="1"/>
  <c r="L21" i="53" l="1"/>
  <c r="K21" i="53" s="1"/>
  <c r="E147" i="5" l="1"/>
  <c r="E151" i="5" l="1"/>
  <c r="G147" i="5"/>
  <c r="E148" i="5"/>
  <c r="G148" i="5" l="1"/>
  <c r="I148" i="5" s="1"/>
  <c r="G151" i="5"/>
  <c r="I151" i="5" s="1"/>
  <c r="L20" i="41" l="1"/>
  <c r="L19" i="41" l="1"/>
  <c r="I43" i="41" s="1"/>
  <c r="E13" i="8" l="1"/>
  <c r="I40" i="8" s="1"/>
  <c r="I27" i="10"/>
  <c r="J27" i="10"/>
  <c r="E11" i="8"/>
  <c r="J40" i="8" s="1"/>
  <c r="K40" i="8" l="1"/>
  <c r="E51" i="8" s="1"/>
  <c r="K27" i="10"/>
  <c r="J17" i="10"/>
  <c r="E11" i="7"/>
  <c r="J40" i="7" s="1"/>
  <c r="L27" i="10"/>
  <c r="N27" i="10" s="1"/>
  <c r="O27" i="10" s="1"/>
  <c r="I17" i="10"/>
  <c r="E13" i="7"/>
  <c r="I40" i="7" s="1"/>
  <c r="L40" i="8"/>
  <c r="L17" i="10" l="1"/>
  <c r="N17" i="10" s="1"/>
  <c r="O17" i="10" s="1"/>
  <c r="A6" i="27" s="1"/>
  <c r="L40" i="7"/>
  <c r="D63" i="10"/>
  <c r="A30" i="27"/>
  <c r="C51" i="8"/>
  <c r="I51" i="8" s="1"/>
  <c r="M40" i="8"/>
  <c r="D42" i="27"/>
  <c r="K40" i="7"/>
  <c r="E51" i="7" s="1"/>
  <c r="M40" i="7"/>
  <c r="C51" i="7"/>
  <c r="I51" i="7" s="1"/>
  <c r="D18" i="27"/>
  <c r="K17" i="10"/>
  <c r="D57" i="10" l="1"/>
  <c r="D51" i="27"/>
  <c r="D11" i="93" s="1"/>
  <c r="D49" i="27"/>
  <c r="E51" i="27"/>
  <c r="E11" i="93" s="1"/>
  <c r="C46" i="27"/>
  <c r="E36" i="27"/>
  <c r="F51" i="27"/>
  <c r="C47" i="27"/>
  <c r="E37" i="27"/>
  <c r="E38" i="27"/>
  <c r="E48" i="27"/>
  <c r="E35" i="27"/>
  <c r="D48" i="27"/>
  <c r="D20" i="27"/>
  <c r="L51" i="7"/>
  <c r="L50" i="7" s="1"/>
  <c r="G70" i="7" s="1"/>
  <c r="L51" i="8"/>
  <c r="L50" i="8" s="1"/>
  <c r="G70" i="8" s="1"/>
  <c r="D44" i="27"/>
  <c r="E11" i="27"/>
  <c r="E13" i="27"/>
  <c r="F27" i="27"/>
  <c r="E12" i="27"/>
  <c r="E14" i="27"/>
  <c r="D25" i="27"/>
  <c r="E24" i="27"/>
  <c r="C22" i="27"/>
  <c r="D24" i="27"/>
  <c r="C23" i="27"/>
  <c r="E27" i="27"/>
  <c r="E10" i="93" s="1"/>
  <c r="G56" i="97"/>
  <c r="D27" i="27"/>
  <c r="D10" i="93" s="1"/>
  <c r="F12" i="27" l="1"/>
  <c r="G58" i="97"/>
  <c r="G121" i="97"/>
  <c r="F37" i="27"/>
  <c r="C85" i="8"/>
  <c r="C86" i="8" s="1"/>
  <c r="E87" i="8" s="1"/>
  <c r="E99" i="8"/>
  <c r="E101" i="8" s="1"/>
  <c r="C108" i="8" s="1"/>
  <c r="C109" i="8" s="1"/>
  <c r="E110" i="8" s="1"/>
  <c r="G119" i="97"/>
  <c r="F35" i="27"/>
  <c r="G59" i="97"/>
  <c r="F13" i="27"/>
  <c r="E99" i="7"/>
  <c r="E101" i="7" s="1"/>
  <c r="C108" i="7" s="1"/>
  <c r="C109" i="7" s="1"/>
  <c r="E110" i="7" s="1"/>
  <c r="C85" i="7"/>
  <c r="C86" i="7" s="1"/>
  <c r="E87" i="7" s="1"/>
  <c r="G60" i="97"/>
  <c r="F14" i="27"/>
  <c r="F11" i="27"/>
  <c r="G57" i="97"/>
  <c r="G122" i="97"/>
  <c r="F38" i="27"/>
  <c r="G120" i="97"/>
  <c r="F36" i="27"/>
  <c r="C119" i="7" l="1"/>
  <c r="L133" i="7" s="1"/>
  <c r="E88" i="7"/>
  <c r="B119" i="7" s="1"/>
  <c r="K133" i="7" s="1"/>
  <c r="E111" i="7"/>
  <c r="B118" i="7" s="1"/>
  <c r="C118" i="7"/>
  <c r="C118" i="8"/>
  <c r="E111" i="8"/>
  <c r="B118" i="8" s="1"/>
  <c r="E88" i="8"/>
  <c r="B119" i="8" s="1"/>
  <c r="K133" i="8" s="1"/>
  <c r="C119" i="8"/>
  <c r="L133" i="8" s="1"/>
  <c r="C120" i="7" l="1"/>
  <c r="L132" i="7"/>
  <c r="B120" i="7"/>
  <c r="K132" i="7"/>
  <c r="K132" i="8"/>
  <c r="B120" i="8"/>
  <c r="P133" i="7"/>
  <c r="P136" i="7" s="1"/>
  <c r="G21" i="7"/>
  <c r="E16" i="27" s="1"/>
  <c r="K142" i="7"/>
  <c r="N133" i="7"/>
  <c r="K156" i="7"/>
  <c r="L142" i="8"/>
  <c r="G18" i="8"/>
  <c r="L156" i="8"/>
  <c r="L165" i="8" s="1"/>
  <c r="N133" i="8"/>
  <c r="G21" i="8"/>
  <c r="E40" i="27" s="1"/>
  <c r="K142" i="8"/>
  <c r="K156" i="8"/>
  <c r="P133" i="8"/>
  <c r="P136" i="8" s="1"/>
  <c r="L132" i="8"/>
  <c r="C120" i="8"/>
  <c r="L156" i="7"/>
  <c r="L165" i="7" s="1"/>
  <c r="G18" i="7"/>
  <c r="L142" i="7"/>
  <c r="H18" i="7" l="1"/>
  <c r="L134" i="8"/>
  <c r="L141" i="8"/>
  <c r="G17" i="8"/>
  <c r="L155" i="8"/>
  <c r="G124" i="97"/>
  <c r="F40" i="27"/>
  <c r="F16" i="27"/>
  <c r="G62" i="97"/>
  <c r="G20" i="7"/>
  <c r="E15" i="27" s="1"/>
  <c r="K155" i="7"/>
  <c r="N132" i="7"/>
  <c r="P132" i="7"/>
  <c r="P134" i="7" s="1"/>
  <c r="P137" i="7" s="1"/>
  <c r="Q136" i="7" s="1"/>
  <c r="Q137" i="7" s="1"/>
  <c r="E25" i="27" s="1"/>
  <c r="K141" i="7"/>
  <c r="K134" i="7"/>
  <c r="K165" i="7"/>
  <c r="N165" i="7" s="1"/>
  <c r="N156" i="7"/>
  <c r="N156" i="8"/>
  <c r="K165" i="8"/>
  <c r="N165" i="8" s="1"/>
  <c r="L134" i="7"/>
  <c r="G17" i="7"/>
  <c r="L141" i="7"/>
  <c r="L155" i="7"/>
  <c r="H18" i="8"/>
  <c r="K134" i="8"/>
  <c r="N132" i="8"/>
  <c r="K141" i="8"/>
  <c r="K155" i="8"/>
  <c r="P132" i="8"/>
  <c r="P134" i="8" s="1"/>
  <c r="P137" i="8" s="1"/>
  <c r="Q136" i="8" s="1"/>
  <c r="Q137" i="8" s="1"/>
  <c r="E49" i="27" s="1"/>
  <c r="G20" i="8"/>
  <c r="E39" i="27" s="1"/>
  <c r="H17" i="7" l="1"/>
  <c r="H22" i="7" s="1"/>
  <c r="L157" i="8"/>
  <c r="L164" i="8"/>
  <c r="L166" i="8" s="1"/>
  <c r="H17" i="8"/>
  <c r="H22" i="8" s="1"/>
  <c r="F39" i="27"/>
  <c r="G123" i="97"/>
  <c r="L157" i="7"/>
  <c r="L164" i="7"/>
  <c r="L166" i="7" s="1"/>
  <c r="N155" i="7"/>
  <c r="N157" i="7" s="1"/>
  <c r="K164" i="7"/>
  <c r="K157" i="7"/>
  <c r="K157" i="8"/>
  <c r="N155" i="8"/>
  <c r="N157" i="8" s="1"/>
  <c r="K164" i="8"/>
  <c r="G61" i="97"/>
  <c r="F15" i="27"/>
  <c r="K166" i="8" l="1"/>
  <c r="N164" i="8"/>
  <c r="N166" i="8" s="1"/>
  <c r="N164" i="7"/>
  <c r="N166" i="7" s="1"/>
  <c r="K166" i="7"/>
  <c r="N169" i="7" l="1"/>
  <c r="N170" i="7"/>
  <c r="N170" i="8"/>
  <c r="N169" i="8"/>
  <c r="D128" i="28" l="1"/>
  <c r="G19" i="47" l="1"/>
  <c r="J89" i="47" s="1"/>
  <c r="D124" i="28"/>
  <c r="D127" i="28"/>
  <c r="D123" i="28"/>
  <c r="G13" i="47" l="1"/>
  <c r="J85" i="47" s="1"/>
  <c r="N89" i="47" s="1"/>
  <c r="G11" i="47"/>
  <c r="H85" i="47" s="1"/>
  <c r="L85" i="47" s="1"/>
  <c r="G17" i="47"/>
  <c r="H89" i="47" s="1"/>
  <c r="L89" i="47" s="1"/>
  <c r="D74" i="6" l="1"/>
  <c r="G11" i="35" s="1"/>
  <c r="H56" i="35" s="1"/>
  <c r="D71" i="6"/>
  <c r="D165" i="6"/>
  <c r="D168" i="6"/>
  <c r="G11" i="48" s="1"/>
  <c r="H56" i="48" s="1"/>
  <c r="D14" i="6"/>
  <c r="G11" i="32" s="1"/>
  <c r="H43" i="32" s="1"/>
  <c r="D11" i="6"/>
  <c r="G8" i="48" l="1"/>
  <c r="J56" i="48" s="1"/>
  <c r="F165" i="6"/>
  <c r="G8" i="32"/>
  <c r="J43" i="32" s="1"/>
  <c r="F11" i="6"/>
  <c r="G8" i="35"/>
  <c r="J56" i="35" s="1"/>
  <c r="F71" i="6"/>
  <c r="D106" i="6" l="1"/>
  <c r="G10" i="37" s="1"/>
  <c r="J45" i="37" s="1"/>
  <c r="D105" i="6"/>
  <c r="G9" i="37" s="1"/>
  <c r="J44" i="37" s="1"/>
  <c r="D107" i="6"/>
  <c r="G11" i="37" s="1"/>
  <c r="H43" i="37" s="1"/>
  <c r="D104" i="6"/>
  <c r="N45" i="37" l="1"/>
  <c r="G8" i="37"/>
  <c r="J43" i="37" s="1"/>
  <c r="F104" i="6"/>
  <c r="L43" i="37"/>
  <c r="D44" i="6"/>
  <c r="G11" i="34" s="1"/>
  <c r="H43" i="34" s="1"/>
  <c r="D41" i="6"/>
  <c r="D42" i="6"/>
  <c r="G9" i="34" s="1"/>
  <c r="J44" i="34" s="1"/>
  <c r="D43" i="6"/>
  <c r="G10" i="34" s="1"/>
  <c r="J45" i="34" s="1"/>
  <c r="G8" i="34" l="1"/>
  <c r="J43" i="34" s="1"/>
  <c r="F41" i="6"/>
  <c r="L43" i="34"/>
  <c r="N45" i="34"/>
  <c r="D170" i="6" l="1"/>
  <c r="G13" i="48" s="1"/>
  <c r="H58" i="48" s="1"/>
  <c r="D169" i="6" l="1"/>
  <c r="G12" i="48" s="1"/>
  <c r="H57" i="48" s="1"/>
  <c r="D76" i="6"/>
  <c r="G13" i="35" s="1"/>
  <c r="H58" i="35" s="1"/>
  <c r="D16" i="6"/>
  <c r="G13" i="32" s="1"/>
  <c r="H45" i="32" s="1"/>
  <c r="D167" i="6"/>
  <c r="G10" i="48" s="1"/>
  <c r="J58" i="48" s="1"/>
  <c r="D109" i="6"/>
  <c r="G13" i="37" s="1"/>
  <c r="H45" i="37" s="1"/>
  <c r="L45" i="37" s="1"/>
  <c r="D46" i="6"/>
  <c r="G13" i="34" s="1"/>
  <c r="H45" i="34" s="1"/>
  <c r="L45" i="34" s="1"/>
  <c r="D166" i="6" l="1"/>
  <c r="G9" i="48" s="1"/>
  <c r="J57" i="48" s="1"/>
  <c r="D13" i="6"/>
  <c r="G10" i="32" s="1"/>
  <c r="J45" i="32" s="1"/>
  <c r="D73" i="6"/>
  <c r="G10" i="35" s="1"/>
  <c r="J58" i="35" s="1"/>
  <c r="N58" i="48" l="1"/>
  <c r="L56" i="48"/>
  <c r="L58" i="48"/>
  <c r="L57" i="48"/>
  <c r="D15" i="6"/>
  <c r="G12" i="32" s="1"/>
  <c r="H44" i="32" s="1"/>
  <c r="D108" i="6"/>
  <c r="G12" i="37" s="1"/>
  <c r="H44" i="37" s="1"/>
  <c r="L44" i="37" s="1"/>
  <c r="D45" i="6"/>
  <c r="G12" i="34" s="1"/>
  <c r="H44" i="34" s="1"/>
  <c r="L44" i="34" s="1"/>
  <c r="D75" i="6"/>
  <c r="G12" i="35" s="1"/>
  <c r="H57" i="35" s="1"/>
  <c r="D12" i="6" l="1"/>
  <c r="G9" i="32" s="1"/>
  <c r="J44" i="32" s="1"/>
  <c r="D72" i="6"/>
  <c r="G9" i="35" s="1"/>
  <c r="J57" i="35" s="1"/>
  <c r="L57" i="35" l="1"/>
  <c r="L56" i="35"/>
  <c r="L58" i="35"/>
  <c r="N58" i="35"/>
  <c r="L43" i="32"/>
  <c r="L45" i="32"/>
  <c r="N45" i="32"/>
  <c r="L44" i="32"/>
  <c r="E79" i="87" l="1"/>
  <c r="G14" i="91" s="1"/>
  <c r="H146" i="91" s="1"/>
  <c r="E12" i="87"/>
  <c r="G8" i="88" s="1"/>
  <c r="H144" i="88" s="1"/>
  <c r="E80" i="87"/>
  <c r="G15" i="91" s="1"/>
  <c r="J146" i="91" s="1"/>
  <c r="E39" i="87"/>
  <c r="G14" i="89" s="1"/>
  <c r="H146" i="89" s="1"/>
  <c r="E73" i="87"/>
  <c r="G8" i="91" s="1"/>
  <c r="H144" i="91" s="1"/>
  <c r="D65" i="27" l="1"/>
  <c r="G18" i="9" s="1"/>
  <c r="F55" i="9" s="1"/>
  <c r="D178" i="27"/>
  <c r="G18" i="94" s="1"/>
  <c r="D174" i="27"/>
  <c r="G14" i="94" s="1"/>
  <c r="D61" i="27"/>
  <c r="G14" i="9" s="1"/>
  <c r="F52" i="9" s="1"/>
  <c r="D88" i="27"/>
  <c r="G18" i="19" s="1"/>
  <c r="D176" i="27"/>
  <c r="G16" i="94" s="1"/>
  <c r="D84" i="27"/>
  <c r="G14" i="19" s="1"/>
  <c r="D172" i="27"/>
  <c r="G12" i="94" s="1"/>
  <c r="E52" i="94" s="1"/>
  <c r="D86" i="27"/>
  <c r="G16" i="19" s="1"/>
  <c r="E68" i="19" s="1"/>
  <c r="D59" i="27"/>
  <c r="G12" i="9" s="1"/>
  <c r="D82" i="27"/>
  <c r="G12" i="19" s="1"/>
  <c r="G81" i="19" s="1"/>
  <c r="D63" i="27"/>
  <c r="G16" i="9" s="1"/>
  <c r="E68" i="9" s="1"/>
  <c r="E18" i="87"/>
  <c r="G14" i="88" s="1"/>
  <c r="H146" i="88" s="1"/>
  <c r="D17" i="28"/>
  <c r="G14" i="1" s="1"/>
  <c r="H173" i="1" s="1"/>
  <c r="E33" i="87"/>
  <c r="G8" i="89" s="1"/>
  <c r="H144" i="89" s="1"/>
  <c r="D37" i="28"/>
  <c r="G8" i="2" s="1"/>
  <c r="H170" i="2" s="1"/>
  <c r="E65" i="19"/>
  <c r="D44" i="28"/>
  <c r="G15" i="2" s="1"/>
  <c r="J173" i="2" s="1"/>
  <c r="E40" i="87"/>
  <c r="G15" i="89" s="1"/>
  <c r="J146" i="89" s="1"/>
  <c r="D94" i="28"/>
  <c r="G9" i="4" s="1"/>
  <c r="J170" i="4" s="1"/>
  <c r="E74" i="87"/>
  <c r="G9" i="91" s="1"/>
  <c r="J144" i="91" s="1"/>
  <c r="L146" i="91" s="1"/>
  <c r="E19" i="87"/>
  <c r="G15" i="88" s="1"/>
  <c r="J146" i="88" s="1"/>
  <c r="D18" i="28"/>
  <c r="G15" i="1" s="1"/>
  <c r="J173" i="1" s="1"/>
  <c r="G82" i="9"/>
  <c r="F65" i="9"/>
  <c r="O60" i="9" s="1"/>
  <c r="E52" i="9"/>
  <c r="G81" i="9"/>
  <c r="E65" i="9"/>
  <c r="D12" i="28"/>
  <c r="G9" i="1" s="1"/>
  <c r="J170" i="1" s="1"/>
  <c r="E13" i="87"/>
  <c r="G9" i="88" s="1"/>
  <c r="J144" i="88" s="1"/>
  <c r="L144" i="88" s="1"/>
  <c r="F65" i="19"/>
  <c r="O60" i="19" s="1"/>
  <c r="G82" i="19"/>
  <c r="F52" i="19"/>
  <c r="F55" i="19"/>
  <c r="F68" i="19"/>
  <c r="F68" i="94"/>
  <c r="F55" i="94"/>
  <c r="E68" i="94"/>
  <c r="E55" i="94"/>
  <c r="E34" i="87"/>
  <c r="G9" i="89" s="1"/>
  <c r="J144" i="89" s="1"/>
  <c r="L146" i="89" s="1"/>
  <c r="D38" i="28"/>
  <c r="G9" i="2" s="1"/>
  <c r="J170" i="2" s="1"/>
  <c r="F65" i="94"/>
  <c r="O60" i="94" s="1"/>
  <c r="F52" i="94"/>
  <c r="G82" i="94"/>
  <c r="E59" i="87"/>
  <c r="G14" i="90" s="1"/>
  <c r="E53" i="87"/>
  <c r="G8" i="90" s="1"/>
  <c r="E60" i="87"/>
  <c r="G15" i="90" s="1"/>
  <c r="E55" i="19" l="1"/>
  <c r="G55" i="19" s="1"/>
  <c r="F68" i="9"/>
  <c r="I68" i="9" s="1"/>
  <c r="E65" i="94"/>
  <c r="I68" i="19"/>
  <c r="G81" i="94"/>
  <c r="E55" i="9"/>
  <c r="H65" i="9"/>
  <c r="J65" i="9" s="1"/>
  <c r="L65" i="9" s="1"/>
  <c r="E52" i="19"/>
  <c r="G52" i="19" s="1"/>
  <c r="D196" i="27"/>
  <c r="G12" i="95" s="1"/>
  <c r="E52" i="95" s="1"/>
  <c r="D198" i="27"/>
  <c r="G14" i="95" s="1"/>
  <c r="G82" i="95" s="1"/>
  <c r="D202" i="27"/>
  <c r="G18" i="95" s="1"/>
  <c r="G52" i="94"/>
  <c r="D200" i="27"/>
  <c r="G16" i="95" s="1"/>
  <c r="G55" i="9"/>
  <c r="F130" i="9"/>
  <c r="H82" i="9"/>
  <c r="E130" i="9"/>
  <c r="H81" i="9"/>
  <c r="N173" i="1"/>
  <c r="N146" i="89"/>
  <c r="H68" i="9"/>
  <c r="L170" i="2"/>
  <c r="O65" i="94"/>
  <c r="H68" i="94"/>
  <c r="H81" i="19"/>
  <c r="E130" i="19"/>
  <c r="H144" i="90"/>
  <c r="H145" i="90"/>
  <c r="F130" i="94"/>
  <c r="H82" i="94"/>
  <c r="H150" i="89"/>
  <c r="K158" i="89" s="1"/>
  <c r="I180" i="89"/>
  <c r="I68" i="94"/>
  <c r="H82" i="19"/>
  <c r="F130" i="19"/>
  <c r="G52" i="9"/>
  <c r="H55" i="9" s="1"/>
  <c r="H65" i="94"/>
  <c r="J65" i="94" s="1"/>
  <c r="L65" i="94" s="1"/>
  <c r="N146" i="88"/>
  <c r="N173" i="2"/>
  <c r="H65" i="19"/>
  <c r="J65" i="19" s="1"/>
  <c r="L65" i="19" s="1"/>
  <c r="L144" i="89"/>
  <c r="H68" i="19"/>
  <c r="E54" i="87"/>
  <c r="G9" i="90" s="1"/>
  <c r="D66" i="28"/>
  <c r="G9" i="3" s="1"/>
  <c r="H148" i="88"/>
  <c r="K156" i="88" s="1"/>
  <c r="I178" i="88"/>
  <c r="L146" i="88"/>
  <c r="J146" i="90"/>
  <c r="J147" i="90"/>
  <c r="H146" i="90"/>
  <c r="H147" i="90"/>
  <c r="G55" i="94"/>
  <c r="O65" i="19"/>
  <c r="O65" i="9"/>
  <c r="N65" i="9"/>
  <c r="E130" i="94"/>
  <c r="H81" i="94"/>
  <c r="H150" i="91"/>
  <c r="K158" i="91" s="1"/>
  <c r="I180" i="91"/>
  <c r="N146" i="91"/>
  <c r="L173" i="1"/>
  <c r="L144" i="91"/>
  <c r="F52" i="95" l="1"/>
  <c r="F65" i="95"/>
  <c r="O60" i="95" s="1"/>
  <c r="O65" i="95" s="1"/>
  <c r="E65" i="95"/>
  <c r="G81" i="95"/>
  <c r="E55" i="95"/>
  <c r="G55" i="95" s="1"/>
  <c r="E68" i="95"/>
  <c r="H55" i="19"/>
  <c r="F68" i="95"/>
  <c r="I55" i="94"/>
  <c r="K55" i="94" s="1"/>
  <c r="F55" i="95"/>
  <c r="N65" i="19"/>
  <c r="H55" i="94"/>
  <c r="L55" i="94" s="1"/>
  <c r="M55" i="94" s="1"/>
  <c r="J64" i="94" s="1"/>
  <c r="I55" i="9"/>
  <c r="K55" i="9" s="1"/>
  <c r="K228" i="91"/>
  <c r="M228" i="91" s="1"/>
  <c r="H14" i="91"/>
  <c r="F79" i="87" s="1"/>
  <c r="D99" i="28" s="1"/>
  <c r="G14" i="4" s="1"/>
  <c r="H173" i="4" s="1"/>
  <c r="L173" i="4" s="1"/>
  <c r="H12" i="9"/>
  <c r="G142" i="9"/>
  <c r="I142" i="9" s="1"/>
  <c r="H179" i="1"/>
  <c r="K187" i="1" s="1"/>
  <c r="I195" i="1"/>
  <c r="L55" i="9"/>
  <c r="M55" i="9" s="1"/>
  <c r="J64" i="9" s="1"/>
  <c r="H14" i="94"/>
  <c r="G157" i="94"/>
  <c r="I157" i="94" s="1"/>
  <c r="J150" i="89"/>
  <c r="K159" i="89" s="1"/>
  <c r="K180" i="89"/>
  <c r="H81" i="95"/>
  <c r="E130" i="95"/>
  <c r="G157" i="9"/>
  <c r="I157" i="9" s="1"/>
  <c r="H14" i="9"/>
  <c r="H148" i="91"/>
  <c r="K156" i="91" s="1"/>
  <c r="I178" i="91"/>
  <c r="H8" i="88"/>
  <c r="F12" i="87" s="1"/>
  <c r="D11" i="28" s="1"/>
  <c r="G8" i="1" s="1"/>
  <c r="H170" i="1" s="1"/>
  <c r="L170" i="1" s="1"/>
  <c r="K226" i="88"/>
  <c r="M226" i="88" s="1"/>
  <c r="I178" i="89"/>
  <c r="H148" i="89"/>
  <c r="K156" i="89" s="1"/>
  <c r="H150" i="88"/>
  <c r="K158" i="88" s="1"/>
  <c r="I180" i="88"/>
  <c r="J170" i="3"/>
  <c r="J169" i="3"/>
  <c r="F130" i="95"/>
  <c r="H82" i="95"/>
  <c r="I196" i="2"/>
  <c r="J179" i="2"/>
  <c r="K188" i="2" s="1"/>
  <c r="H14" i="89"/>
  <c r="F39" i="87" s="1"/>
  <c r="D43" i="28" s="1"/>
  <c r="G14" i="2" s="1"/>
  <c r="H173" i="2" s="1"/>
  <c r="L173" i="2" s="1"/>
  <c r="K228" i="89"/>
  <c r="M228" i="89" s="1"/>
  <c r="H12" i="19"/>
  <c r="G142" i="19"/>
  <c r="I142" i="19" s="1"/>
  <c r="I55" i="19"/>
  <c r="K55" i="19" s="1"/>
  <c r="I196" i="1"/>
  <c r="J179" i="1"/>
  <c r="K188" i="1" s="1"/>
  <c r="G52" i="95"/>
  <c r="I68" i="95"/>
  <c r="N65" i="94"/>
  <c r="J150" i="91"/>
  <c r="K159" i="91" s="1"/>
  <c r="K180" i="91"/>
  <c r="H12" i="94"/>
  <c r="G142" i="94"/>
  <c r="I142" i="94" s="1"/>
  <c r="J145" i="90"/>
  <c r="J144" i="90"/>
  <c r="N146" i="90" s="1"/>
  <c r="J150" i="88"/>
  <c r="K159" i="88" s="1"/>
  <c r="K180" i="88"/>
  <c r="G157" i="19"/>
  <c r="I157" i="19" s="1"/>
  <c r="H14" i="19"/>
  <c r="H176" i="2"/>
  <c r="K185" i="2" s="1"/>
  <c r="I193" i="2"/>
  <c r="H55" i="95" l="1"/>
  <c r="H65" i="95"/>
  <c r="J65" i="95" s="1"/>
  <c r="L65" i="95" s="1"/>
  <c r="H68" i="95"/>
  <c r="K68" i="94"/>
  <c r="J68" i="94"/>
  <c r="I12" i="94"/>
  <c r="D177" i="27"/>
  <c r="G17" i="94" s="1"/>
  <c r="E69" i="94" s="1"/>
  <c r="D173" i="27"/>
  <c r="G13" i="94" s="1"/>
  <c r="D179" i="27"/>
  <c r="G19" i="94" s="1"/>
  <c r="F69" i="94" s="1"/>
  <c r="N169" i="3"/>
  <c r="D175" i="27"/>
  <c r="G15" i="94" s="1"/>
  <c r="F53" i="94" s="1"/>
  <c r="L146" i="90"/>
  <c r="H15" i="91"/>
  <c r="F80" i="87" s="1"/>
  <c r="D100" i="28" s="1"/>
  <c r="G15" i="4" s="1"/>
  <c r="J173" i="4" s="1"/>
  <c r="N173" i="4" s="1"/>
  <c r="K232" i="91"/>
  <c r="M232" i="91" s="1"/>
  <c r="H14" i="88"/>
  <c r="F18" i="87" s="1"/>
  <c r="K228" i="88"/>
  <c r="M228" i="88" s="1"/>
  <c r="L55" i="19"/>
  <c r="M55" i="19" s="1"/>
  <c r="J64" i="19" s="1"/>
  <c r="H8" i="91"/>
  <c r="F73" i="87" s="1"/>
  <c r="D93" i="28" s="1"/>
  <c r="G8" i="4" s="1"/>
  <c r="H170" i="4" s="1"/>
  <c r="L170" i="4" s="1"/>
  <c r="K226" i="91"/>
  <c r="M226" i="91" s="1"/>
  <c r="I12" i="9"/>
  <c r="I195" i="2"/>
  <c r="I197" i="2" s="1"/>
  <c r="I199" i="2" s="1"/>
  <c r="I201" i="2" s="1"/>
  <c r="H179" i="2"/>
  <c r="K187" i="2" s="1"/>
  <c r="H14" i="95"/>
  <c r="G157" i="95"/>
  <c r="I157" i="95" s="1"/>
  <c r="K226" i="89"/>
  <c r="M226" i="89" s="1"/>
  <c r="H8" i="89"/>
  <c r="F33" i="87" s="1"/>
  <c r="G142" i="95"/>
  <c r="I142" i="95" s="1"/>
  <c r="H12" i="95"/>
  <c r="L68" i="94"/>
  <c r="N68" i="94"/>
  <c r="G83" i="94" s="1"/>
  <c r="N147" i="90"/>
  <c r="J150" i="90"/>
  <c r="K159" i="90" s="1"/>
  <c r="K180" i="90"/>
  <c r="I12" i="19"/>
  <c r="J175" i="3"/>
  <c r="K186" i="3" s="1"/>
  <c r="I194" i="3"/>
  <c r="L147" i="90"/>
  <c r="M68" i="94"/>
  <c r="O68" i="94"/>
  <c r="G84" i="94" s="1"/>
  <c r="N65" i="95"/>
  <c r="H179" i="4"/>
  <c r="K187" i="4" s="1"/>
  <c r="I195" i="4"/>
  <c r="E66" i="94"/>
  <c r="E53" i="94"/>
  <c r="L144" i="90"/>
  <c r="K232" i="88"/>
  <c r="M232" i="88" s="1"/>
  <c r="H15" i="88"/>
  <c r="F19" i="87" s="1"/>
  <c r="N145" i="90"/>
  <c r="J149" i="90" s="1"/>
  <c r="L145" i="90"/>
  <c r="I55" i="95"/>
  <c r="K55" i="95" s="1"/>
  <c r="I193" i="1"/>
  <c r="I197" i="1" s="1"/>
  <c r="I199" i="1" s="1"/>
  <c r="I201" i="1" s="1"/>
  <c r="H176" i="1"/>
  <c r="K185" i="1" s="1"/>
  <c r="K232" i="89"/>
  <c r="M232" i="89" s="1"/>
  <c r="M234" i="89" s="1"/>
  <c r="H15" i="89"/>
  <c r="F40" i="87" s="1"/>
  <c r="J68" i="9"/>
  <c r="K68" i="9"/>
  <c r="F66" i="94" l="1"/>
  <c r="O70" i="94" s="1"/>
  <c r="M234" i="91"/>
  <c r="F56" i="94"/>
  <c r="H75" i="94"/>
  <c r="J75" i="94" s="1"/>
  <c r="E56" i="94"/>
  <c r="G56" i="94" s="1"/>
  <c r="G53" i="94"/>
  <c r="M234" i="88"/>
  <c r="D83" i="27"/>
  <c r="G13" i="19" s="1"/>
  <c r="E66" i="19" s="1"/>
  <c r="D66" i="27"/>
  <c r="G19" i="9" s="1"/>
  <c r="F69" i="9" s="1"/>
  <c r="I77" i="9" s="1"/>
  <c r="D60" i="27"/>
  <c r="G13" i="9" s="1"/>
  <c r="D64" i="27"/>
  <c r="G17" i="9" s="1"/>
  <c r="E56" i="9" s="1"/>
  <c r="D89" i="27"/>
  <c r="G19" i="19" s="1"/>
  <c r="F56" i="19" s="1"/>
  <c r="D62" i="27"/>
  <c r="G15" i="9" s="1"/>
  <c r="F53" i="9" s="1"/>
  <c r="D85" i="27"/>
  <c r="G15" i="19" s="1"/>
  <c r="F66" i="19" s="1"/>
  <c r="O70" i="19" s="1"/>
  <c r="D87" i="27"/>
  <c r="G17" i="19" s="1"/>
  <c r="E56" i="19" s="1"/>
  <c r="O75" i="94"/>
  <c r="N75" i="94"/>
  <c r="K68" i="19"/>
  <c r="J68" i="19"/>
  <c r="J179" i="4"/>
  <c r="K188" i="4" s="1"/>
  <c r="I196" i="4"/>
  <c r="L68" i="9"/>
  <c r="N68" i="9"/>
  <c r="G83" i="9" s="1"/>
  <c r="F53" i="19"/>
  <c r="H150" i="90"/>
  <c r="K158" i="90" s="1"/>
  <c r="I180" i="90"/>
  <c r="K210" i="1"/>
  <c r="I207" i="1"/>
  <c r="K207" i="1"/>
  <c r="I210" i="1"/>
  <c r="L75" i="94"/>
  <c r="H102" i="94" s="1"/>
  <c r="I109" i="94"/>
  <c r="F66" i="9"/>
  <c r="O70" i="9" s="1"/>
  <c r="E53" i="19"/>
  <c r="H149" i="90"/>
  <c r="I179" i="90"/>
  <c r="H148" i="90"/>
  <c r="K156" i="90" s="1"/>
  <c r="I178" i="90"/>
  <c r="H77" i="94"/>
  <c r="F133" i="94"/>
  <c r="H84" i="94"/>
  <c r="H151" i="90"/>
  <c r="I181" i="90"/>
  <c r="H15" i="90"/>
  <c r="F60" i="87" s="1"/>
  <c r="D72" i="28" s="1"/>
  <c r="G15" i="3" s="1"/>
  <c r="K232" i="90"/>
  <c r="M232" i="90" s="1"/>
  <c r="J151" i="90"/>
  <c r="K181" i="90"/>
  <c r="I12" i="95"/>
  <c r="I207" i="2"/>
  <c r="I210" i="2"/>
  <c r="K207" i="2"/>
  <c r="K210" i="2"/>
  <c r="L55" i="95"/>
  <c r="M55" i="95" s="1"/>
  <c r="J64" i="95" s="1"/>
  <c r="I77" i="94"/>
  <c r="E66" i="9"/>
  <c r="E53" i="9"/>
  <c r="M68" i="9"/>
  <c r="O68" i="9"/>
  <c r="G84" i="9" s="1"/>
  <c r="H83" i="94"/>
  <c r="H85" i="94" s="1"/>
  <c r="H87" i="94" s="1"/>
  <c r="I95" i="94" s="1"/>
  <c r="I96" i="94" s="1"/>
  <c r="E109" i="94" s="1"/>
  <c r="E113" i="94" s="1"/>
  <c r="E133" i="94"/>
  <c r="H176" i="4"/>
  <c r="K185" i="4" s="1"/>
  <c r="I193" i="4"/>
  <c r="F56" i="9" l="1"/>
  <c r="I56" i="94"/>
  <c r="K56" i="94" s="1"/>
  <c r="D183" i="27" s="1"/>
  <c r="H75" i="9"/>
  <c r="J75" i="9" s="1"/>
  <c r="G53" i="9"/>
  <c r="I197" i="4"/>
  <c r="I199" i="4" s="1"/>
  <c r="I201" i="4" s="1"/>
  <c r="H56" i="94"/>
  <c r="E69" i="9"/>
  <c r="F69" i="19"/>
  <c r="I77" i="19" s="1"/>
  <c r="E69" i="19"/>
  <c r="H77" i="19"/>
  <c r="H75" i="19"/>
  <c r="J75" i="19" s="1"/>
  <c r="H77" i="9"/>
  <c r="G56" i="19"/>
  <c r="D203" i="27"/>
  <c r="G19" i="95" s="1"/>
  <c r="F56" i="95" s="1"/>
  <c r="D199" i="27"/>
  <c r="G15" i="95" s="1"/>
  <c r="F66" i="95" s="1"/>
  <c r="O70" i="95" s="1"/>
  <c r="D197" i="27"/>
  <c r="G13" i="95" s="1"/>
  <c r="E66" i="95" s="1"/>
  <c r="D201" i="27"/>
  <c r="G17" i="95" s="1"/>
  <c r="E69" i="95" s="1"/>
  <c r="L56" i="94"/>
  <c r="M56" i="94" s="1"/>
  <c r="J74" i="94" s="1"/>
  <c r="K77" i="94" s="1"/>
  <c r="G53" i="19"/>
  <c r="I210" i="4"/>
  <c r="K210" i="4"/>
  <c r="I207" i="4"/>
  <c r="K207" i="4"/>
  <c r="G149" i="94"/>
  <c r="I149" i="94" s="1"/>
  <c r="H16" i="94"/>
  <c r="H133" i="94"/>
  <c r="H14" i="2"/>
  <c r="E43" i="28" s="1"/>
  <c r="K263" i="2"/>
  <c r="M263" i="2" s="1"/>
  <c r="H8" i="90"/>
  <c r="F53" i="87" s="1"/>
  <c r="D65" i="28" s="1"/>
  <c r="G8" i="3" s="1"/>
  <c r="K226" i="90"/>
  <c r="M226" i="90" s="1"/>
  <c r="K267" i="1"/>
  <c r="M267" i="1" s="1"/>
  <c r="H15" i="1"/>
  <c r="E18" i="28" s="1"/>
  <c r="E133" i="9"/>
  <c r="H83" i="9"/>
  <c r="L68" i="19"/>
  <c r="N68" i="19"/>
  <c r="G83" i="19" s="1"/>
  <c r="G8" i="94"/>
  <c r="K44" i="94" s="1"/>
  <c r="J15" i="10"/>
  <c r="G56" i="9"/>
  <c r="I56" i="9" s="1"/>
  <c r="K56" i="9" s="1"/>
  <c r="D70" i="27" s="1"/>
  <c r="K68" i="95"/>
  <c r="J68" i="95"/>
  <c r="K261" i="2"/>
  <c r="M261" i="2" s="1"/>
  <c r="H8" i="2"/>
  <c r="E37" i="28" s="1"/>
  <c r="O75" i="9"/>
  <c r="K263" i="1"/>
  <c r="M263" i="1" s="1"/>
  <c r="H14" i="1"/>
  <c r="E17" i="28" s="1"/>
  <c r="M68" i="19"/>
  <c r="O68" i="19"/>
  <c r="G84" i="19" s="1"/>
  <c r="H84" i="9"/>
  <c r="F133" i="9"/>
  <c r="K267" i="2"/>
  <c r="M267" i="2" s="1"/>
  <c r="H15" i="2"/>
  <c r="E44" i="28" s="1"/>
  <c r="J172" i="3"/>
  <c r="N172" i="3" s="1"/>
  <c r="J173" i="3"/>
  <c r="N173" i="3" s="1"/>
  <c r="J179" i="3" s="1"/>
  <c r="H18" i="94"/>
  <c r="G164" i="94"/>
  <c r="I164" i="94" s="1"/>
  <c r="I133" i="94"/>
  <c r="H9" i="1"/>
  <c r="E12" i="28" s="1"/>
  <c r="K265" i="1"/>
  <c r="M265" i="1" s="1"/>
  <c r="N75" i="9"/>
  <c r="L75" i="9"/>
  <c r="H102" i="9" s="1"/>
  <c r="I109" i="9"/>
  <c r="K265" i="2"/>
  <c r="M265" i="2" s="1"/>
  <c r="H9" i="2"/>
  <c r="E38" i="28" s="1"/>
  <c r="J77" i="94"/>
  <c r="N75" i="19"/>
  <c r="L75" i="19"/>
  <c r="H102" i="19" s="1"/>
  <c r="I109" i="19"/>
  <c r="H8" i="1"/>
  <c r="E11" i="28" s="1"/>
  <c r="K261" i="1"/>
  <c r="M261" i="1" s="1"/>
  <c r="H14" i="90"/>
  <c r="F59" i="87" s="1"/>
  <c r="D71" i="28" s="1"/>
  <c r="G14" i="3" s="1"/>
  <c r="K228" i="90"/>
  <c r="M228" i="90" s="1"/>
  <c r="M234" i="90" s="1"/>
  <c r="O75" i="19"/>
  <c r="E53" i="95" l="1"/>
  <c r="F53" i="95"/>
  <c r="E56" i="95"/>
  <c r="F69" i="95"/>
  <c r="I56" i="19"/>
  <c r="K56" i="19" s="1"/>
  <c r="D93" i="27" s="1"/>
  <c r="H56" i="19"/>
  <c r="L56" i="19" s="1"/>
  <c r="M56" i="19" s="1"/>
  <c r="J74" i="19" s="1"/>
  <c r="H56" i="9"/>
  <c r="L56" i="9" s="1"/>
  <c r="M56" i="9" s="1"/>
  <c r="J74" i="9" s="1"/>
  <c r="K77" i="9" s="1"/>
  <c r="I112" i="9" s="1"/>
  <c r="G53" i="95"/>
  <c r="M269" i="1"/>
  <c r="H75" i="95"/>
  <c r="J75" i="95" s="1"/>
  <c r="H173" i="3"/>
  <c r="L173" i="3" s="1"/>
  <c r="H179" i="3" s="1"/>
  <c r="H172" i="3"/>
  <c r="L172" i="3" s="1"/>
  <c r="I111" i="94"/>
  <c r="L77" i="94"/>
  <c r="H104" i="94" s="1"/>
  <c r="N77" i="94"/>
  <c r="H39" i="97"/>
  <c r="F37" i="28"/>
  <c r="I109" i="95"/>
  <c r="L75" i="95"/>
  <c r="H102" i="95" s="1"/>
  <c r="G149" i="9"/>
  <c r="I149" i="9" s="1"/>
  <c r="H16" i="9"/>
  <c r="H133" i="9"/>
  <c r="H169" i="3"/>
  <c r="L169" i="3" s="1"/>
  <c r="H170" i="3"/>
  <c r="L170" i="3" s="1"/>
  <c r="H176" i="3" s="1"/>
  <c r="J77" i="9"/>
  <c r="I16" i="94"/>
  <c r="J16" i="94" s="1"/>
  <c r="K267" i="4"/>
  <c r="M267" i="4" s="1"/>
  <c r="H15" i="4"/>
  <c r="E100" i="28" s="1"/>
  <c r="J178" i="3"/>
  <c r="K188" i="3" s="1"/>
  <c r="I196" i="3"/>
  <c r="H18" i="9"/>
  <c r="G164" i="9"/>
  <c r="I164" i="9" s="1"/>
  <c r="I133" i="9"/>
  <c r="O75" i="95"/>
  <c r="N75" i="95"/>
  <c r="M269" i="2"/>
  <c r="H83" i="19"/>
  <c r="E133" i="19"/>
  <c r="F18" i="28"/>
  <c r="H15" i="97"/>
  <c r="H14" i="4"/>
  <c r="E99" i="28" s="1"/>
  <c r="K263" i="4"/>
  <c r="M263" i="4" s="1"/>
  <c r="G8" i="19"/>
  <c r="K44" i="19" s="1"/>
  <c r="J25" i="10"/>
  <c r="F38" i="28"/>
  <c r="H40" i="97"/>
  <c r="G9" i="94"/>
  <c r="J44" i="94" s="1"/>
  <c r="M44" i="94" s="1"/>
  <c r="I15" i="10"/>
  <c r="L15" i="10" s="1"/>
  <c r="N15" i="10" s="1"/>
  <c r="O15" i="10" s="1"/>
  <c r="H8" i="97"/>
  <c r="F11" i="28"/>
  <c r="H46" i="97"/>
  <c r="F44" i="28"/>
  <c r="O77" i="9"/>
  <c r="L68" i="95"/>
  <c r="N68" i="95"/>
  <c r="G83" i="95" s="1"/>
  <c r="F43" i="28"/>
  <c r="H45" i="97"/>
  <c r="H9" i="4"/>
  <c r="E94" i="28" s="1"/>
  <c r="K265" i="4"/>
  <c r="M265" i="4" s="1"/>
  <c r="G56" i="95"/>
  <c r="I56" i="95" s="1"/>
  <c r="K56" i="95" s="1"/>
  <c r="D207" i="27" s="1"/>
  <c r="I77" i="95"/>
  <c r="F12" i="28"/>
  <c r="H9" i="97"/>
  <c r="F133" i="19"/>
  <c r="H84" i="19"/>
  <c r="F17" i="28"/>
  <c r="H14" i="97"/>
  <c r="M68" i="95"/>
  <c r="O68" i="95"/>
  <c r="G84" i="95" s="1"/>
  <c r="H85" i="9"/>
  <c r="H87" i="9" s="1"/>
  <c r="I95" i="9" s="1"/>
  <c r="I96" i="9" s="1"/>
  <c r="E109" i="9" s="1"/>
  <c r="E113" i="9" s="1"/>
  <c r="I112" i="94"/>
  <c r="M77" i="94"/>
  <c r="H105" i="94" s="1"/>
  <c r="O77" i="94"/>
  <c r="K261" i="4"/>
  <c r="M261" i="4" s="1"/>
  <c r="H8" i="4"/>
  <c r="E93" i="28" s="1"/>
  <c r="H77" i="95"/>
  <c r="K77" i="19" l="1"/>
  <c r="J77" i="19"/>
  <c r="M77" i="9"/>
  <c r="H105" i="9" s="1"/>
  <c r="O77" i="19"/>
  <c r="E54" i="28"/>
  <c r="E28" i="28"/>
  <c r="H56" i="95"/>
  <c r="L56" i="95" s="1"/>
  <c r="M56" i="95" s="1"/>
  <c r="J74" i="95" s="1"/>
  <c r="J77" i="95" s="1"/>
  <c r="L77" i="95" s="1"/>
  <c r="H104" i="95" s="1"/>
  <c r="L44" i="94"/>
  <c r="I16" i="9"/>
  <c r="J16" i="9" s="1"/>
  <c r="A167" i="27"/>
  <c r="D56" i="10"/>
  <c r="H107" i="97"/>
  <c r="F99" i="28"/>
  <c r="H85" i="19"/>
  <c r="H87" i="19" s="1"/>
  <c r="I95" i="19" s="1"/>
  <c r="I96" i="19" s="1"/>
  <c r="E109" i="19" s="1"/>
  <c r="E113" i="19" s="1"/>
  <c r="I111" i="9"/>
  <c r="I113" i="9" s="1"/>
  <c r="E115" i="9" s="1"/>
  <c r="G117" i="9" s="1"/>
  <c r="L77" i="9"/>
  <c r="H104" i="9" s="1"/>
  <c r="N77" i="9"/>
  <c r="F133" i="95"/>
  <c r="H84" i="95"/>
  <c r="H102" i="97"/>
  <c r="F94" i="28"/>
  <c r="H83" i="95"/>
  <c r="H85" i="95" s="1"/>
  <c r="H87" i="95" s="1"/>
  <c r="I95" i="95" s="1"/>
  <c r="I96" i="95" s="1"/>
  <c r="E109" i="95" s="1"/>
  <c r="E113" i="95" s="1"/>
  <c r="E133" i="95"/>
  <c r="D181" i="27"/>
  <c r="N44" i="94"/>
  <c r="K15" i="10"/>
  <c r="H108" i="97"/>
  <c r="F100" i="28"/>
  <c r="I113" i="94"/>
  <c r="E115" i="94" s="1"/>
  <c r="G117" i="94" s="1"/>
  <c r="J10" i="10"/>
  <c r="G8" i="9"/>
  <c r="K44" i="9" s="1"/>
  <c r="H101" i="97"/>
  <c r="F93" i="28"/>
  <c r="H18" i="19"/>
  <c r="G164" i="19"/>
  <c r="I164" i="19" s="1"/>
  <c r="I133" i="19"/>
  <c r="N77" i="95"/>
  <c r="I193" i="3"/>
  <c r="H175" i="3"/>
  <c r="K185" i="3" s="1"/>
  <c r="I195" i="3"/>
  <c r="H178" i="3"/>
  <c r="K187" i="3" s="1"/>
  <c r="G9" i="19"/>
  <c r="J44" i="19" s="1"/>
  <c r="M44" i="19" s="1"/>
  <c r="I25" i="10"/>
  <c r="L25" i="10" s="1"/>
  <c r="N25" i="10" s="1"/>
  <c r="O25" i="10" s="1"/>
  <c r="I10" i="10"/>
  <c r="G9" i="9"/>
  <c r="J44" i="9" s="1"/>
  <c r="M269" i="4"/>
  <c r="H16" i="19"/>
  <c r="I16" i="19" s="1"/>
  <c r="J16" i="19" s="1"/>
  <c r="G149" i="19"/>
  <c r="I149" i="19" s="1"/>
  <c r="H133" i="19"/>
  <c r="I111" i="19"/>
  <c r="L77" i="19"/>
  <c r="H104" i="19" s="1"/>
  <c r="N77" i="19"/>
  <c r="I112" i="19" l="1"/>
  <c r="I113" i="19" s="1"/>
  <c r="E115" i="19" s="1"/>
  <c r="G117" i="19" s="1"/>
  <c r="M77" i="19"/>
  <c r="H105" i="19" s="1"/>
  <c r="I111" i="95"/>
  <c r="K77" i="95"/>
  <c r="E110" i="28"/>
  <c r="L10" i="10"/>
  <c r="N10" i="10" s="1"/>
  <c r="O10" i="10" s="1"/>
  <c r="D53" i="10" s="1"/>
  <c r="M44" i="9"/>
  <c r="I20" i="10"/>
  <c r="G9" i="95"/>
  <c r="J44" i="95" s="1"/>
  <c r="D62" i="10"/>
  <c r="A77" i="27"/>
  <c r="G164" i="95"/>
  <c r="I164" i="95" s="1"/>
  <c r="H18" i="95"/>
  <c r="I133" i="95"/>
  <c r="E174" i="27"/>
  <c r="E172" i="27"/>
  <c r="E176" i="27"/>
  <c r="C186" i="27"/>
  <c r="D187" i="27"/>
  <c r="C185" i="27"/>
  <c r="E178" i="27"/>
  <c r="G38" i="97"/>
  <c r="G8" i="95"/>
  <c r="K44" i="95" s="1"/>
  <c r="L44" i="95" s="1"/>
  <c r="J20" i="10"/>
  <c r="K20" i="10" s="1"/>
  <c r="D91" i="27"/>
  <c r="N44" i="19"/>
  <c r="L44" i="9"/>
  <c r="D68" i="27"/>
  <c r="N44" i="9"/>
  <c r="K10" i="10"/>
  <c r="G149" i="95"/>
  <c r="I149" i="95" s="1"/>
  <c r="H16" i="95"/>
  <c r="H133" i="95"/>
  <c r="I112" i="95"/>
  <c r="I113" i="95" s="1"/>
  <c r="E115" i="95" s="1"/>
  <c r="G117" i="95" s="1"/>
  <c r="M77" i="95"/>
  <c r="H105" i="95" s="1"/>
  <c r="F134" i="95"/>
  <c r="O77" i="95"/>
  <c r="I197" i="3"/>
  <c r="I199" i="3" s="1"/>
  <c r="I201" i="3" s="1"/>
  <c r="L44" i="19"/>
  <c r="F131" i="94"/>
  <c r="E131" i="94"/>
  <c r="E134" i="94"/>
  <c r="F134" i="94"/>
  <c r="K25" i="10"/>
  <c r="E134" i="9"/>
  <c r="F131" i="9"/>
  <c r="E131" i="9"/>
  <c r="F134" i="9"/>
  <c r="E134" i="19" l="1"/>
  <c r="F131" i="19"/>
  <c r="I134" i="19" s="1"/>
  <c r="E131" i="19"/>
  <c r="F134" i="19"/>
  <c r="A54" i="27"/>
  <c r="I16" i="95"/>
  <c r="J16" i="95" s="1"/>
  <c r="H13" i="9"/>
  <c r="H134" i="9"/>
  <c r="G143" i="9"/>
  <c r="I143" i="9" s="1"/>
  <c r="I145" i="9" s="1"/>
  <c r="I146" i="9" s="1"/>
  <c r="I147" i="9" s="1"/>
  <c r="G165" i="94"/>
  <c r="I165" i="94" s="1"/>
  <c r="I167" i="94" s="1"/>
  <c r="I168" i="94" s="1"/>
  <c r="I169" i="94" s="1"/>
  <c r="H19" i="94"/>
  <c r="H13" i="19"/>
  <c r="G143" i="19"/>
  <c r="I143" i="19" s="1"/>
  <c r="I145" i="19" s="1"/>
  <c r="I146" i="19" s="1"/>
  <c r="I147" i="19" s="1"/>
  <c r="H134" i="19"/>
  <c r="G43" i="97"/>
  <c r="F174" i="27"/>
  <c r="F97" i="27"/>
  <c r="C96" i="27"/>
  <c r="E88" i="27"/>
  <c r="E85" i="27"/>
  <c r="E97" i="27"/>
  <c r="E13" i="93" s="1"/>
  <c r="G118" i="97"/>
  <c r="E84" i="27"/>
  <c r="E82" i="27"/>
  <c r="D97" i="27"/>
  <c r="D13" i="93" s="1"/>
  <c r="E83" i="27"/>
  <c r="E86" i="27"/>
  <c r="E89" i="27"/>
  <c r="C95" i="27"/>
  <c r="G100" i="97"/>
  <c r="E87" i="27"/>
  <c r="H15" i="9"/>
  <c r="I134" i="9"/>
  <c r="G158" i="9"/>
  <c r="I158" i="9" s="1"/>
  <c r="I160" i="9" s="1"/>
  <c r="I161" i="9" s="1"/>
  <c r="I162" i="9" s="1"/>
  <c r="H17" i="94"/>
  <c r="G150" i="94"/>
  <c r="I150" i="94" s="1"/>
  <c r="I152" i="94" s="1"/>
  <c r="I153" i="94" s="1"/>
  <c r="I154" i="94" s="1"/>
  <c r="K206" i="3"/>
  <c r="K265" i="3" s="1"/>
  <c r="M265" i="3" s="1"/>
  <c r="I209" i="3"/>
  <c r="K263" i="3" s="1"/>
  <c r="M263" i="3" s="1"/>
  <c r="K207" i="3"/>
  <c r="H9" i="3" s="1"/>
  <c r="E66" i="28" s="1"/>
  <c r="I207" i="3"/>
  <c r="H8" i="3" s="1"/>
  <c r="E65" i="28" s="1"/>
  <c r="I206" i="3"/>
  <c r="K261" i="3" s="1"/>
  <c r="M261" i="3" s="1"/>
  <c r="K209" i="3"/>
  <c r="K267" i="3" s="1"/>
  <c r="M267" i="3" s="1"/>
  <c r="K210" i="3"/>
  <c r="H15" i="3" s="1"/>
  <c r="E72" i="28" s="1"/>
  <c r="I210" i="3"/>
  <c r="H14" i="3" s="1"/>
  <c r="E71" i="28" s="1"/>
  <c r="F131" i="95"/>
  <c r="E131" i="95"/>
  <c r="E134" i="95"/>
  <c r="G158" i="19"/>
  <c r="I158" i="19" s="1"/>
  <c r="I160" i="19" s="1"/>
  <c r="I161" i="19" s="1"/>
  <c r="I162" i="19" s="1"/>
  <c r="G150" i="9"/>
  <c r="I150" i="9" s="1"/>
  <c r="I152" i="9" s="1"/>
  <c r="I153" i="9" s="1"/>
  <c r="I154" i="9" s="1"/>
  <c r="H17" i="9"/>
  <c r="H13" i="94"/>
  <c r="G143" i="94"/>
  <c r="I143" i="94" s="1"/>
  <c r="I145" i="94" s="1"/>
  <c r="I146" i="94" s="1"/>
  <c r="I147" i="94" s="1"/>
  <c r="H134" i="94"/>
  <c r="C72" i="27"/>
  <c r="D74" i="27"/>
  <c r="D12" i="93" s="1"/>
  <c r="F74" i="27"/>
  <c r="E59" i="27"/>
  <c r="E74" i="27"/>
  <c r="E12" i="93" s="1"/>
  <c r="E62" i="27"/>
  <c r="E64" i="27"/>
  <c r="E66" i="27"/>
  <c r="E60" i="27"/>
  <c r="E65" i="27"/>
  <c r="G7" i="97"/>
  <c r="E61" i="27"/>
  <c r="E63" i="27"/>
  <c r="C73" i="27"/>
  <c r="G49" i="97"/>
  <c r="F178" i="27"/>
  <c r="G47" i="97"/>
  <c r="F176" i="27"/>
  <c r="M44" i="95"/>
  <c r="G165" i="9"/>
  <c r="I165" i="9" s="1"/>
  <c r="I167" i="9" s="1"/>
  <c r="I168" i="9" s="1"/>
  <c r="I169" i="9" s="1"/>
  <c r="H19" i="9"/>
  <c r="I17" i="9" s="1"/>
  <c r="H15" i="94"/>
  <c r="G158" i="94"/>
  <c r="I158" i="94" s="1"/>
  <c r="I160" i="94" s="1"/>
  <c r="I161" i="94" s="1"/>
  <c r="I162" i="94" s="1"/>
  <c r="I134" i="94"/>
  <c r="H19" i="95"/>
  <c r="G165" i="95"/>
  <c r="G165" i="19"/>
  <c r="I165" i="19" s="1"/>
  <c r="I167" i="19" s="1"/>
  <c r="I168" i="19" s="1"/>
  <c r="I169" i="19" s="1"/>
  <c r="H19" i="19"/>
  <c r="G41" i="97"/>
  <c r="F172" i="27"/>
  <c r="L20" i="10"/>
  <c r="N20" i="10" s="1"/>
  <c r="O20" i="10" s="1"/>
  <c r="H15" i="19" l="1"/>
  <c r="G150" i="19"/>
  <c r="I150" i="19" s="1"/>
  <c r="I152" i="19" s="1"/>
  <c r="I153" i="19" s="1"/>
  <c r="I154" i="19" s="1"/>
  <c r="H17" i="19"/>
  <c r="I17" i="19" s="1"/>
  <c r="E175" i="27"/>
  <c r="E179" i="27"/>
  <c r="M269" i="3"/>
  <c r="D39" i="28"/>
  <c r="G10" i="2" s="1"/>
  <c r="E35" i="87"/>
  <c r="G10" i="89" s="1"/>
  <c r="D47" i="28"/>
  <c r="G18" i="2" s="1"/>
  <c r="E43" i="87"/>
  <c r="G18" i="89" s="1"/>
  <c r="F63" i="27"/>
  <c r="G16" i="97"/>
  <c r="F60" i="27"/>
  <c r="G11" i="97"/>
  <c r="H76" i="97"/>
  <c r="F71" i="28"/>
  <c r="H70" i="97"/>
  <c r="F65" i="28"/>
  <c r="G112" i="97"/>
  <c r="F89" i="27"/>
  <c r="G103" i="97"/>
  <c r="F82" i="27"/>
  <c r="G106" i="97"/>
  <c r="F85" i="27"/>
  <c r="I13" i="19"/>
  <c r="E41" i="87"/>
  <c r="G16" i="89" s="1"/>
  <c r="D45" i="28"/>
  <c r="G16" i="2" s="1"/>
  <c r="A191" i="27"/>
  <c r="D59" i="10"/>
  <c r="F61" i="27"/>
  <c r="G12" i="97"/>
  <c r="G19" i="97"/>
  <c r="F66" i="27"/>
  <c r="G10" i="97"/>
  <c r="F59" i="27"/>
  <c r="H17" i="95"/>
  <c r="G150" i="95"/>
  <c r="H77" i="97"/>
  <c r="F72" i="28"/>
  <c r="H71" i="97"/>
  <c r="F66" i="28"/>
  <c r="I17" i="94"/>
  <c r="E177" i="27"/>
  <c r="F87" i="27"/>
  <c r="G110" i="97"/>
  <c r="F86" i="27"/>
  <c r="G109" i="97"/>
  <c r="F84" i="27"/>
  <c r="G105" i="97"/>
  <c r="F88" i="27"/>
  <c r="G111" i="97"/>
  <c r="I171" i="9"/>
  <c r="K175" i="9" s="1"/>
  <c r="K178" i="9" s="1"/>
  <c r="N44" i="95"/>
  <c r="D205" i="27"/>
  <c r="F64" i="27"/>
  <c r="G17" i="97"/>
  <c r="I171" i="94"/>
  <c r="K175" i="94" s="1"/>
  <c r="K178" i="94" s="1"/>
  <c r="H134" i="95"/>
  <c r="H13" i="95"/>
  <c r="G143" i="95"/>
  <c r="G104" i="97"/>
  <c r="F83" i="27"/>
  <c r="D41" i="28"/>
  <c r="G12" i="2" s="1"/>
  <c r="E37" i="87"/>
  <c r="G12" i="89" s="1"/>
  <c r="I165" i="95"/>
  <c r="G166" i="95"/>
  <c r="I166" i="95" s="1"/>
  <c r="G44" i="97"/>
  <c r="F175" i="27"/>
  <c r="F65" i="27"/>
  <c r="G18" i="97"/>
  <c r="G13" i="97"/>
  <c r="F62" i="27"/>
  <c r="I13" i="94"/>
  <c r="E173" i="27"/>
  <c r="H15" i="95"/>
  <c r="I134" i="95"/>
  <c r="G158" i="95"/>
  <c r="I171" i="19"/>
  <c r="K175" i="19" s="1"/>
  <c r="K178" i="19" s="1"/>
  <c r="G50" i="97"/>
  <c r="F179" i="27"/>
  <c r="I13" i="9"/>
  <c r="J17" i="9" s="1"/>
  <c r="J17" i="19" l="1"/>
  <c r="E82" i="28"/>
  <c r="I17" i="95"/>
  <c r="D102" i="28"/>
  <c r="G17" i="4" s="1"/>
  <c r="H89" i="4" s="1"/>
  <c r="E82" i="87"/>
  <c r="G17" i="91" s="1"/>
  <c r="H69" i="91" s="1"/>
  <c r="D21" i="28"/>
  <c r="G18" i="1" s="1"/>
  <c r="E22" i="87"/>
  <c r="G18" i="88" s="1"/>
  <c r="I158" i="95"/>
  <c r="G159" i="95"/>
  <c r="I159" i="95" s="1"/>
  <c r="J17" i="94"/>
  <c r="H67" i="89"/>
  <c r="H115" i="89" s="1"/>
  <c r="H124" i="89" s="1"/>
  <c r="H39" i="89"/>
  <c r="I39" i="89" s="1"/>
  <c r="H40" i="89"/>
  <c r="I40" i="89" s="1"/>
  <c r="J67" i="89"/>
  <c r="J115" i="89" s="1"/>
  <c r="J124" i="89" s="1"/>
  <c r="E75" i="87"/>
  <c r="G10" i="91" s="1"/>
  <c r="D95" i="28"/>
  <c r="G10" i="4" s="1"/>
  <c r="E21" i="87"/>
  <c r="G17" i="88" s="1"/>
  <c r="H69" i="88" s="1"/>
  <c r="D20" i="28"/>
  <c r="G17" i="1" s="1"/>
  <c r="H89" i="1" s="1"/>
  <c r="D103" i="28"/>
  <c r="G18" i="4" s="1"/>
  <c r="E83" i="87"/>
  <c r="G18" i="91" s="1"/>
  <c r="E15" i="87"/>
  <c r="G11" i="88" s="1"/>
  <c r="H65" i="88" s="1"/>
  <c r="D14" i="28"/>
  <c r="G11" i="1" s="1"/>
  <c r="H85" i="1" s="1"/>
  <c r="E16" i="87"/>
  <c r="G12" i="88" s="1"/>
  <c r="D15" i="28"/>
  <c r="G12" i="1" s="1"/>
  <c r="I167" i="95"/>
  <c r="I168" i="95" s="1"/>
  <c r="I169" i="95" s="1"/>
  <c r="K181" i="94"/>
  <c r="K182" i="94"/>
  <c r="E187" i="27"/>
  <c r="F187" i="27" s="1"/>
  <c r="G151" i="95"/>
  <c r="I151" i="95" s="1"/>
  <c r="I150" i="95"/>
  <c r="J140" i="2"/>
  <c r="H45" i="2"/>
  <c r="I45" i="2" s="1"/>
  <c r="J87" i="2"/>
  <c r="D22" i="28"/>
  <c r="G19" i="1" s="1"/>
  <c r="J89" i="1" s="1"/>
  <c r="E23" i="87"/>
  <c r="G19" i="88" s="1"/>
  <c r="J69" i="88" s="1"/>
  <c r="D97" i="28"/>
  <c r="G12" i="4" s="1"/>
  <c r="E77" i="87"/>
  <c r="G12" i="91" s="1"/>
  <c r="D98" i="28"/>
  <c r="G13" i="4" s="1"/>
  <c r="J85" i="4" s="1"/>
  <c r="E78" i="87"/>
  <c r="G13" i="91" s="1"/>
  <c r="J65" i="91" s="1"/>
  <c r="H38" i="89"/>
  <c r="I38" i="89" s="1"/>
  <c r="J63" i="89"/>
  <c r="J114" i="89" s="1"/>
  <c r="J120" i="89" s="1"/>
  <c r="I143" i="95"/>
  <c r="G144" i="95"/>
  <c r="I144" i="95" s="1"/>
  <c r="K181" i="9"/>
  <c r="K182" i="9"/>
  <c r="E200" i="27"/>
  <c r="G69" i="97"/>
  <c r="E196" i="27"/>
  <c r="E202" i="27"/>
  <c r="E198" i="27"/>
  <c r="C209" i="27"/>
  <c r="D211" i="27"/>
  <c r="C210" i="27"/>
  <c r="E199" i="27"/>
  <c r="E197" i="27"/>
  <c r="E203" i="27"/>
  <c r="E201" i="27"/>
  <c r="H37" i="89"/>
  <c r="I37" i="89" s="1"/>
  <c r="H63" i="89"/>
  <c r="H114" i="89" s="1"/>
  <c r="H120" i="89" s="1"/>
  <c r="D96" i="28"/>
  <c r="G11" i="4" s="1"/>
  <c r="H85" i="4" s="1"/>
  <c r="E76" i="87"/>
  <c r="G11" i="91" s="1"/>
  <c r="H65" i="91" s="1"/>
  <c r="D101" i="28"/>
  <c r="G16" i="4" s="1"/>
  <c r="E81" i="87"/>
  <c r="G16" i="91" s="1"/>
  <c r="E84" i="87"/>
  <c r="G19" i="91" s="1"/>
  <c r="J69" i="91" s="1"/>
  <c r="D104" i="28"/>
  <c r="G19" i="4" s="1"/>
  <c r="J89" i="4" s="1"/>
  <c r="E17" i="87"/>
  <c r="G13" i="88" s="1"/>
  <c r="J65" i="88" s="1"/>
  <c r="D16" i="28"/>
  <c r="G13" i="1" s="1"/>
  <c r="J85" i="1" s="1"/>
  <c r="K182" i="19"/>
  <c r="K181" i="19"/>
  <c r="G42" i="97"/>
  <c r="F173" i="27"/>
  <c r="J139" i="2"/>
  <c r="H43" i="2"/>
  <c r="I43" i="2" s="1"/>
  <c r="J83" i="2"/>
  <c r="I13" i="95"/>
  <c r="J17" i="95" s="1"/>
  <c r="G48" i="97"/>
  <c r="F177" i="27"/>
  <c r="H140" i="2"/>
  <c r="H87" i="2"/>
  <c r="H44" i="2"/>
  <c r="I44" i="2" s="1"/>
  <c r="H42" i="2"/>
  <c r="I42" i="2" s="1"/>
  <c r="H83" i="2"/>
  <c r="H139" i="2"/>
  <c r="N69" i="91" l="1"/>
  <c r="I41" i="89"/>
  <c r="I43" i="89" s="1"/>
  <c r="I46" i="2"/>
  <c r="L58" i="2" s="1"/>
  <c r="L59" i="2" s="1"/>
  <c r="N89" i="4"/>
  <c r="L65" i="91"/>
  <c r="L85" i="4"/>
  <c r="D73" i="28"/>
  <c r="G16" i="3" s="1"/>
  <c r="E61" i="87"/>
  <c r="G16" i="90" s="1"/>
  <c r="I48" i="2"/>
  <c r="F199" i="27"/>
  <c r="G75" i="97"/>
  <c r="G74" i="97"/>
  <c r="F198" i="27"/>
  <c r="F200" i="27"/>
  <c r="G78" i="97"/>
  <c r="N69" i="88"/>
  <c r="H38" i="88"/>
  <c r="I38" i="88" s="1"/>
  <c r="J63" i="88"/>
  <c r="J114" i="88" s="1"/>
  <c r="J120" i="88" s="1"/>
  <c r="J87" i="4"/>
  <c r="J140" i="4"/>
  <c r="H45" i="4"/>
  <c r="I45" i="4" s="1"/>
  <c r="H37" i="91"/>
  <c r="I37" i="91" s="1"/>
  <c r="H63" i="91"/>
  <c r="H114" i="91" s="1"/>
  <c r="H120" i="91" s="1"/>
  <c r="K197" i="89"/>
  <c r="M197" i="89" s="1"/>
  <c r="M124" i="89"/>
  <c r="H16" i="89"/>
  <c r="F41" i="87" s="1"/>
  <c r="J67" i="88"/>
  <c r="J115" i="88" s="1"/>
  <c r="J124" i="88" s="1"/>
  <c r="H40" i="88"/>
  <c r="I40" i="88" s="1"/>
  <c r="E63" i="87"/>
  <c r="G18" i="90" s="1"/>
  <c r="D75" i="28"/>
  <c r="G18" i="3" s="1"/>
  <c r="F201" i="27"/>
  <c r="G79" i="97"/>
  <c r="G80" i="97"/>
  <c r="F202" i="27"/>
  <c r="I145" i="95"/>
  <c r="I146" i="95" s="1"/>
  <c r="I147" i="95" s="1"/>
  <c r="N89" i="1"/>
  <c r="I152" i="95"/>
  <c r="I153" i="95" s="1"/>
  <c r="I154" i="95" s="1"/>
  <c r="L85" i="1"/>
  <c r="L89" i="1"/>
  <c r="N124" i="89"/>
  <c r="K215" i="89"/>
  <c r="M215" i="89" s="1"/>
  <c r="H18" i="89"/>
  <c r="F43" i="87" s="1"/>
  <c r="J87" i="1"/>
  <c r="J140" i="1"/>
  <c r="H45" i="1"/>
  <c r="I45" i="1" s="1"/>
  <c r="D19" i="28"/>
  <c r="G16" i="1" s="1"/>
  <c r="E20" i="87"/>
  <c r="G16" i="88" s="1"/>
  <c r="D67" i="28"/>
  <c r="G10" i="3" s="1"/>
  <c r="E55" i="87"/>
  <c r="G10" i="90" s="1"/>
  <c r="H67" i="91"/>
  <c r="H115" i="91" s="1"/>
  <c r="H124" i="91" s="1"/>
  <c r="H39" i="91"/>
  <c r="I39" i="91" s="1"/>
  <c r="M120" i="89"/>
  <c r="H10" i="89"/>
  <c r="F35" i="87" s="1"/>
  <c r="K190" i="89"/>
  <c r="M190" i="89" s="1"/>
  <c r="G81" i="97"/>
  <c r="F203" i="27"/>
  <c r="F196" i="27"/>
  <c r="G72" i="97"/>
  <c r="H12" i="89"/>
  <c r="F37" i="87" s="1"/>
  <c r="K208" i="89"/>
  <c r="M208" i="89" s="1"/>
  <c r="N120" i="89"/>
  <c r="J63" i="91"/>
  <c r="J114" i="91" s="1"/>
  <c r="J120" i="91" s="1"/>
  <c r="H38" i="91"/>
  <c r="I38" i="91" s="1"/>
  <c r="L65" i="88"/>
  <c r="L69" i="88"/>
  <c r="L69" i="91"/>
  <c r="E14" i="87"/>
  <c r="G10" i="88" s="1"/>
  <c r="D13" i="28"/>
  <c r="G10" i="1" s="1"/>
  <c r="D69" i="28"/>
  <c r="G12" i="3" s="1"/>
  <c r="E57" i="87"/>
  <c r="G12" i="90" s="1"/>
  <c r="H87" i="4"/>
  <c r="H140" i="4"/>
  <c r="H44" i="4"/>
  <c r="I44" i="4" s="1"/>
  <c r="L41" i="89"/>
  <c r="G73" i="97"/>
  <c r="F197" i="27"/>
  <c r="H43" i="4"/>
  <c r="I43" i="4" s="1"/>
  <c r="J83" i="4"/>
  <c r="J139" i="4"/>
  <c r="J139" i="1"/>
  <c r="H43" i="1"/>
  <c r="I43" i="1" s="1"/>
  <c r="J83" i="1"/>
  <c r="J67" i="91"/>
  <c r="J115" i="91" s="1"/>
  <c r="J124" i="91" s="1"/>
  <c r="H40" i="91"/>
  <c r="I40" i="91" s="1"/>
  <c r="H83" i="4"/>
  <c r="H42" i="4"/>
  <c r="I42" i="4" s="1"/>
  <c r="H139" i="4"/>
  <c r="I160" i="95"/>
  <c r="I161" i="95" s="1"/>
  <c r="I162" i="95" s="1"/>
  <c r="L89" i="4"/>
  <c r="I46" i="4" l="1"/>
  <c r="D42" i="28"/>
  <c r="G13" i="2" s="1"/>
  <c r="J85" i="2" s="1"/>
  <c r="E38" i="87"/>
  <c r="G13" i="89" s="1"/>
  <c r="J65" i="89" s="1"/>
  <c r="N124" i="91"/>
  <c r="K215" i="91"/>
  <c r="M215" i="91" s="1"/>
  <c r="H18" i="91"/>
  <c r="F83" i="87" s="1"/>
  <c r="H43" i="3"/>
  <c r="I43" i="3" s="1"/>
  <c r="J83" i="3"/>
  <c r="J139" i="3"/>
  <c r="H87" i="1"/>
  <c r="H140" i="1"/>
  <c r="H44" i="1"/>
  <c r="I44" i="1" s="1"/>
  <c r="I171" i="95"/>
  <c r="K175" i="95" s="1"/>
  <c r="K178" i="95" s="1"/>
  <c r="H45" i="3"/>
  <c r="I45" i="3" s="1"/>
  <c r="J140" i="3"/>
  <c r="J87" i="3"/>
  <c r="I41" i="91"/>
  <c r="H12" i="88"/>
  <c r="F16" i="87" s="1"/>
  <c r="K208" i="88"/>
  <c r="M208" i="88" s="1"/>
  <c r="N120" i="88"/>
  <c r="E44" i="87"/>
  <c r="G19" i="89" s="1"/>
  <c r="J69" i="89" s="1"/>
  <c r="D48" i="28"/>
  <c r="G19" i="2" s="1"/>
  <c r="J89" i="2" s="1"/>
  <c r="I48" i="4"/>
  <c r="L58" i="4"/>
  <c r="L59" i="4" s="1"/>
  <c r="I44" i="89"/>
  <c r="I45" i="89" s="1"/>
  <c r="N53" i="89"/>
  <c r="N54" i="89" s="1"/>
  <c r="L43" i="89"/>
  <c r="H42" i="1"/>
  <c r="I42" i="1" s="1"/>
  <c r="I46" i="1" s="1"/>
  <c r="H83" i="1"/>
  <c r="H139" i="1"/>
  <c r="H37" i="90"/>
  <c r="I37" i="90" s="1"/>
  <c r="H63" i="90"/>
  <c r="H114" i="90" s="1"/>
  <c r="H120" i="90" s="1"/>
  <c r="J67" i="90"/>
  <c r="J115" i="90" s="1"/>
  <c r="J124" i="90" s="1"/>
  <c r="H40" i="90"/>
  <c r="I40" i="90" s="1"/>
  <c r="H63" i="88"/>
  <c r="H114" i="88" s="1"/>
  <c r="H120" i="88" s="1"/>
  <c r="H37" i="88"/>
  <c r="I37" i="88" s="1"/>
  <c r="H83" i="3"/>
  <c r="H42" i="3"/>
  <c r="I42" i="3" s="1"/>
  <c r="H139" i="3"/>
  <c r="H39" i="90"/>
  <c r="I39" i="90" s="1"/>
  <c r="H67" i="90"/>
  <c r="H115" i="90" s="1"/>
  <c r="H124" i="90" s="1"/>
  <c r="J63" i="90"/>
  <c r="J114" i="90" s="1"/>
  <c r="J120" i="90" s="1"/>
  <c r="H38" i="90"/>
  <c r="I38" i="90" s="1"/>
  <c r="K208" i="91"/>
  <c r="M208" i="91" s="1"/>
  <c r="H12" i="91"/>
  <c r="F77" i="87" s="1"/>
  <c r="N120" i="91"/>
  <c r="H16" i="91"/>
  <c r="F81" i="87" s="1"/>
  <c r="M124" i="91"/>
  <c r="K197" i="91"/>
  <c r="M197" i="91" s="1"/>
  <c r="H67" i="88"/>
  <c r="H115" i="88" s="1"/>
  <c r="H124" i="88" s="1"/>
  <c r="H39" i="88"/>
  <c r="I39" i="88" s="1"/>
  <c r="H18" i="88"/>
  <c r="F22" i="87" s="1"/>
  <c r="N124" i="88"/>
  <c r="K215" i="88"/>
  <c r="M215" i="88" s="1"/>
  <c r="K190" i="91"/>
  <c r="M190" i="91" s="1"/>
  <c r="H10" i="91"/>
  <c r="F75" i="87" s="1"/>
  <c r="M120" i="91"/>
  <c r="H140" i="3"/>
  <c r="H44" i="3"/>
  <c r="I44" i="3" s="1"/>
  <c r="H87" i="3"/>
  <c r="N69" i="89" l="1"/>
  <c r="M120" i="88"/>
  <c r="K190" i="88"/>
  <c r="M190" i="88" s="1"/>
  <c r="H10" i="88"/>
  <c r="F14" i="87" s="1"/>
  <c r="M124" i="90"/>
  <c r="K197" i="90"/>
  <c r="M197" i="90" s="1"/>
  <c r="H16" i="90"/>
  <c r="F61" i="87" s="1"/>
  <c r="I46" i="3"/>
  <c r="H10" i="90"/>
  <c r="F55" i="87" s="1"/>
  <c r="M120" i="90"/>
  <c r="K190" i="90"/>
  <c r="M190" i="90" s="1"/>
  <c r="L53" i="89"/>
  <c r="L54" i="89" s="1"/>
  <c r="L45" i="89"/>
  <c r="D40" i="28"/>
  <c r="G11" i="2" s="1"/>
  <c r="H85" i="2" s="1"/>
  <c r="L85" i="2" s="1"/>
  <c r="E36" i="87"/>
  <c r="G11" i="89" s="1"/>
  <c r="H65" i="89" s="1"/>
  <c r="L65" i="89" s="1"/>
  <c r="K197" i="88"/>
  <c r="M197" i="88" s="1"/>
  <c r="M124" i="88"/>
  <c r="H16" i="88"/>
  <c r="F20" i="87" s="1"/>
  <c r="I41" i="90"/>
  <c r="L58" i="1"/>
  <c r="L59" i="1" s="1"/>
  <c r="I48" i="1"/>
  <c r="E42" i="87"/>
  <c r="G17" i="89" s="1"/>
  <c r="H69" i="89" s="1"/>
  <c r="L69" i="89" s="1"/>
  <c r="D46" i="28"/>
  <c r="G17" i="2" s="1"/>
  <c r="H89" i="2" s="1"/>
  <c r="L89" i="2" s="1"/>
  <c r="K208" i="90"/>
  <c r="M208" i="90" s="1"/>
  <c r="H12" i="90"/>
  <c r="F57" i="87" s="1"/>
  <c r="N120" i="90"/>
  <c r="I41" i="88"/>
  <c r="N124" i="90"/>
  <c r="K215" i="90"/>
  <c r="M215" i="90" s="1"/>
  <c r="H18" i="90"/>
  <c r="F63" i="87" s="1"/>
  <c r="I43" i="91"/>
  <c r="L41" i="91"/>
  <c r="K182" i="95"/>
  <c r="K181" i="95"/>
  <c r="E211" i="27"/>
  <c r="F211" i="27" s="1"/>
  <c r="N89" i="2"/>
  <c r="I43" i="90" l="1"/>
  <c r="L41" i="90"/>
  <c r="D76" i="28"/>
  <c r="G19" i="3" s="1"/>
  <c r="E64" i="87"/>
  <c r="G19" i="90" s="1"/>
  <c r="E58" i="87"/>
  <c r="G13" i="90" s="1"/>
  <c r="D70" i="28"/>
  <c r="G13" i="3" s="1"/>
  <c r="N53" i="91"/>
  <c r="N54" i="91" s="1"/>
  <c r="L43" i="91"/>
  <c r="I44" i="91"/>
  <c r="I45" i="91" s="1"/>
  <c r="I43" i="88"/>
  <c r="L41" i="88"/>
  <c r="G105" i="89"/>
  <c r="L56" i="89"/>
  <c r="N80" i="89" s="1"/>
  <c r="L58" i="3"/>
  <c r="L59" i="3" s="1"/>
  <c r="I48" i="3"/>
  <c r="I44" i="88" l="1"/>
  <c r="I45" i="88" s="1"/>
  <c r="L43" i="88"/>
  <c r="N53" i="88"/>
  <c r="N54" i="88" s="1"/>
  <c r="D74" i="28"/>
  <c r="G17" i="3" s="1"/>
  <c r="E62" i="87"/>
  <c r="G17" i="90" s="1"/>
  <c r="J85" i="3"/>
  <c r="J84" i="3"/>
  <c r="J69" i="90"/>
  <c r="J68" i="90"/>
  <c r="L43" i="90"/>
  <c r="N53" i="90"/>
  <c r="N54" i="90" s="1"/>
  <c r="I44" i="90"/>
  <c r="I45" i="90" s="1"/>
  <c r="D68" i="28"/>
  <c r="G11" i="3" s="1"/>
  <c r="E56" i="87"/>
  <c r="G11" i="90" s="1"/>
  <c r="H77" i="89"/>
  <c r="K92" i="89" s="1"/>
  <c r="K104" i="89"/>
  <c r="L53" i="91"/>
  <c r="L54" i="91" s="1"/>
  <c r="L45" i="91"/>
  <c r="J89" i="3"/>
  <c r="J88" i="3"/>
  <c r="L80" i="89"/>
  <c r="J64" i="90"/>
  <c r="J65" i="90"/>
  <c r="L76" i="89"/>
  <c r="N89" i="3" l="1"/>
  <c r="N64" i="90"/>
  <c r="N88" i="3"/>
  <c r="N84" i="3"/>
  <c r="N69" i="90"/>
  <c r="L45" i="90"/>
  <c r="L53" i="90"/>
  <c r="L54" i="90" s="1"/>
  <c r="H88" i="3"/>
  <c r="L88" i="3" s="1"/>
  <c r="H89" i="3"/>
  <c r="L89" i="3" s="1"/>
  <c r="H65" i="90"/>
  <c r="L65" i="90" s="1"/>
  <c r="H64" i="90"/>
  <c r="L64" i="90" s="1"/>
  <c r="G75" i="89"/>
  <c r="K86" i="89" s="1"/>
  <c r="K98" i="89"/>
  <c r="G77" i="89"/>
  <c r="K90" i="89" s="1"/>
  <c r="K102" i="89"/>
  <c r="L56" i="91"/>
  <c r="G105" i="91"/>
  <c r="H84" i="3"/>
  <c r="L84" i="3" s="1"/>
  <c r="H85" i="3"/>
  <c r="L85" i="3" s="1"/>
  <c r="N68" i="90"/>
  <c r="H69" i="90"/>
  <c r="L69" i="90" s="1"/>
  <c r="H68" i="90"/>
  <c r="L68" i="90" s="1"/>
  <c r="L53" i="88"/>
  <c r="L54" i="88" s="1"/>
  <c r="L45" i="88"/>
  <c r="L76" i="91" l="1"/>
  <c r="N80" i="91"/>
  <c r="L80" i="91"/>
  <c r="L56" i="88"/>
  <c r="G105" i="88"/>
  <c r="G105" i="90"/>
  <c r="L56" i="90"/>
  <c r="L79" i="90" s="1"/>
  <c r="K105" i="89"/>
  <c r="G107" i="89" s="1"/>
  <c r="I109" i="89" s="1"/>
  <c r="L80" i="90" l="1"/>
  <c r="L75" i="90"/>
  <c r="G74" i="90"/>
  <c r="K85" i="90" s="1"/>
  <c r="K97" i="90"/>
  <c r="G77" i="91"/>
  <c r="K90" i="91" s="1"/>
  <c r="K102" i="91"/>
  <c r="J126" i="89"/>
  <c r="J122" i="89"/>
  <c r="H122" i="89"/>
  <c r="H126" i="89"/>
  <c r="K101" i="90"/>
  <c r="G76" i="90"/>
  <c r="K89" i="90" s="1"/>
  <c r="H77" i="91"/>
  <c r="K92" i="91" s="1"/>
  <c r="K104" i="91"/>
  <c r="G77" i="90"/>
  <c r="K90" i="90" s="1"/>
  <c r="K102" i="90"/>
  <c r="L76" i="90"/>
  <c r="N75" i="90"/>
  <c r="N80" i="90"/>
  <c r="K98" i="91"/>
  <c r="G75" i="91"/>
  <c r="K86" i="91" s="1"/>
  <c r="L76" i="88"/>
  <c r="L80" i="88"/>
  <c r="N80" i="88"/>
  <c r="N79" i="90"/>
  <c r="K105" i="91" l="1"/>
  <c r="G107" i="91" s="1"/>
  <c r="I109" i="91" s="1"/>
  <c r="J122" i="91" s="1"/>
  <c r="K98" i="88"/>
  <c r="G75" i="88"/>
  <c r="K86" i="88" s="1"/>
  <c r="H74" i="90"/>
  <c r="K87" i="90" s="1"/>
  <c r="K99" i="90"/>
  <c r="H17" i="89"/>
  <c r="F42" i="87" s="1"/>
  <c r="K198" i="89"/>
  <c r="M198" i="89" s="1"/>
  <c r="M200" i="89" s="1"/>
  <c r="M201" i="89" s="1"/>
  <c r="M202" i="89" s="1"/>
  <c r="M126" i="89"/>
  <c r="H76" i="90"/>
  <c r="K91" i="90" s="1"/>
  <c r="K103" i="90"/>
  <c r="K98" i="90"/>
  <c r="G75" i="90"/>
  <c r="K86" i="90" s="1"/>
  <c r="M122" i="89"/>
  <c r="H11" i="89"/>
  <c r="F36" i="87" s="1"/>
  <c r="K191" i="89"/>
  <c r="M191" i="89" s="1"/>
  <c r="M193" i="89" s="1"/>
  <c r="M194" i="89" s="1"/>
  <c r="M195" i="89" s="1"/>
  <c r="K104" i="88"/>
  <c r="H77" i="88"/>
  <c r="K92" i="88" s="1"/>
  <c r="N122" i="89"/>
  <c r="K209" i="89"/>
  <c r="M209" i="89" s="1"/>
  <c r="M211" i="89" s="1"/>
  <c r="M212" i="89" s="1"/>
  <c r="M213" i="89" s="1"/>
  <c r="H13" i="89"/>
  <c r="F38" i="87" s="1"/>
  <c r="G77" i="88"/>
  <c r="K90" i="88" s="1"/>
  <c r="K102" i="88"/>
  <c r="K104" i="90"/>
  <c r="H77" i="90"/>
  <c r="K92" i="90" s="1"/>
  <c r="N126" i="89"/>
  <c r="H19" i="89"/>
  <c r="F44" i="87" s="1"/>
  <c r="K216" i="89"/>
  <c r="M216" i="89" s="1"/>
  <c r="M218" i="89" s="1"/>
  <c r="M219" i="89" s="1"/>
  <c r="M220" i="89" s="1"/>
  <c r="H122" i="91" l="1"/>
  <c r="H126" i="91"/>
  <c r="J126" i="91"/>
  <c r="K216" i="91" s="1"/>
  <c r="M216" i="91" s="1"/>
  <c r="M218" i="91" s="1"/>
  <c r="M219" i="91" s="1"/>
  <c r="M220" i="91" s="1"/>
  <c r="K105" i="90"/>
  <c r="G107" i="90" s="1"/>
  <c r="I109" i="90" s="1"/>
  <c r="J121" i="90" s="1"/>
  <c r="K209" i="90" s="1"/>
  <c r="M209" i="90" s="1"/>
  <c r="H126" i="90"/>
  <c r="H125" i="90"/>
  <c r="K198" i="90" s="1"/>
  <c r="M198" i="90" s="1"/>
  <c r="J125" i="90"/>
  <c r="K216" i="90" s="1"/>
  <c r="M216" i="90" s="1"/>
  <c r="J126" i="90"/>
  <c r="H121" i="90"/>
  <c r="K191" i="90" s="1"/>
  <c r="M191" i="90" s="1"/>
  <c r="J122" i="90"/>
  <c r="M122" i="91"/>
  <c r="K191" i="91"/>
  <c r="M191" i="91" s="1"/>
  <c r="M193" i="91" s="1"/>
  <c r="M194" i="91" s="1"/>
  <c r="M195" i="91" s="1"/>
  <c r="H11" i="91"/>
  <c r="F76" i="87" s="1"/>
  <c r="H19" i="91"/>
  <c r="F84" i="87" s="1"/>
  <c r="N126" i="91"/>
  <c r="M126" i="91"/>
  <c r="H17" i="91"/>
  <c r="F82" i="87" s="1"/>
  <c r="K198" i="91"/>
  <c r="M198" i="91" s="1"/>
  <c r="M200" i="91" s="1"/>
  <c r="M201" i="91" s="1"/>
  <c r="M202" i="91" s="1"/>
  <c r="M222" i="89"/>
  <c r="M236" i="89" s="1"/>
  <c r="M240" i="89" s="1"/>
  <c r="H13" i="91"/>
  <c r="F78" i="87" s="1"/>
  <c r="K209" i="91"/>
  <c r="M209" i="91" s="1"/>
  <c r="M211" i="91" s="1"/>
  <c r="M212" i="91" s="1"/>
  <c r="M213" i="91" s="1"/>
  <c r="N122" i="91"/>
  <c r="K105" i="88"/>
  <c r="G107" i="88" s="1"/>
  <c r="I109" i="88" s="1"/>
  <c r="H122" i="90" l="1"/>
  <c r="K210" i="90"/>
  <c r="M210" i="90" s="1"/>
  <c r="M211" i="90" s="1"/>
  <c r="M212" i="90" s="1"/>
  <c r="M213" i="90" s="1"/>
  <c r="H13" i="90"/>
  <c r="F58" i="87" s="1"/>
  <c r="N122" i="90"/>
  <c r="H19" i="90"/>
  <c r="F64" i="87" s="1"/>
  <c r="N126" i="90"/>
  <c r="K217" i="90"/>
  <c r="M217" i="90" s="1"/>
  <c r="M218" i="90" s="1"/>
  <c r="M219" i="90" s="1"/>
  <c r="M220" i="90" s="1"/>
  <c r="H11" i="90"/>
  <c r="F56" i="87" s="1"/>
  <c r="K192" i="90"/>
  <c r="M192" i="90" s="1"/>
  <c r="M193" i="90" s="1"/>
  <c r="M194" i="90" s="1"/>
  <c r="M195" i="90" s="1"/>
  <c r="M122" i="90"/>
  <c r="J122" i="88"/>
  <c r="H126" i="88"/>
  <c r="J126" i="88"/>
  <c r="H122" i="88"/>
  <c r="M243" i="89"/>
  <c r="F46" i="87"/>
  <c r="F48" i="87" s="1"/>
  <c r="M222" i="91"/>
  <c r="M236" i="91" s="1"/>
  <c r="M240" i="91" s="1"/>
  <c r="M126" i="90"/>
  <c r="K199" i="90"/>
  <c r="M199" i="90" s="1"/>
  <c r="M200" i="90" s="1"/>
  <c r="M201" i="90" s="1"/>
  <c r="M202" i="90" s="1"/>
  <c r="H17" i="90"/>
  <c r="F62" i="87" s="1"/>
  <c r="M222" i="90" l="1"/>
  <c r="M236" i="90" s="1"/>
  <c r="M240" i="90" s="1"/>
  <c r="F66" i="87" s="1"/>
  <c r="F68" i="87" s="1"/>
  <c r="M243" i="91"/>
  <c r="F86" i="87"/>
  <c r="F88" i="87" s="1"/>
  <c r="K216" i="88"/>
  <c r="M216" i="88" s="1"/>
  <c r="M218" i="88" s="1"/>
  <c r="M219" i="88" s="1"/>
  <c r="M220" i="88" s="1"/>
  <c r="H19" i="88"/>
  <c r="F23" i="87" s="1"/>
  <c r="N126" i="88"/>
  <c r="M243" i="90"/>
  <c r="E49" i="93"/>
  <c r="G48" i="87"/>
  <c r="K198" i="88"/>
  <c r="M198" i="88" s="1"/>
  <c r="M200" i="88" s="1"/>
  <c r="M201" i="88" s="1"/>
  <c r="M202" i="88" s="1"/>
  <c r="M126" i="88"/>
  <c r="H17" i="88"/>
  <c r="F21" i="87" s="1"/>
  <c r="M247" i="89"/>
  <c r="M246" i="89"/>
  <c r="K209" i="88"/>
  <c r="M209" i="88" s="1"/>
  <c r="M211" i="88" s="1"/>
  <c r="M212" i="88" s="1"/>
  <c r="M213" i="88" s="1"/>
  <c r="H13" i="88"/>
  <c r="F17" i="87" s="1"/>
  <c r="N122" i="88"/>
  <c r="M122" i="88"/>
  <c r="H11" i="88"/>
  <c r="F15" i="87" s="1"/>
  <c r="K191" i="88"/>
  <c r="M191" i="88" s="1"/>
  <c r="M193" i="88" s="1"/>
  <c r="M194" i="88" s="1"/>
  <c r="M195" i="88" s="1"/>
  <c r="L13" i="47"/>
  <c r="I277" i="47" s="1"/>
  <c r="H20" i="47" l="1"/>
  <c r="E129" i="28" s="1"/>
  <c r="F129" i="28" s="1"/>
  <c r="J277" i="47"/>
  <c r="K277" i="47" s="1"/>
  <c r="M222" i="88"/>
  <c r="M236" i="88" s="1"/>
  <c r="M240" i="88" s="1"/>
  <c r="G49" i="93"/>
  <c r="F49" i="93"/>
  <c r="G68" i="87"/>
  <c r="E50" i="93"/>
  <c r="M246" i="90"/>
  <c r="M247" i="90"/>
  <c r="G88" i="87"/>
  <c r="E51" i="93"/>
  <c r="M247" i="91"/>
  <c r="M246" i="91"/>
  <c r="L17" i="47" l="1"/>
  <c r="L17" i="48"/>
  <c r="M17" i="48" s="1"/>
  <c r="I32" i="48" s="1"/>
  <c r="L14" i="48"/>
  <c r="H34" i="48" s="1"/>
  <c r="K14" i="55"/>
  <c r="H42" i="55" s="1"/>
  <c r="E135" i="28"/>
  <c r="L277" i="47"/>
  <c r="L29" i="47"/>
  <c r="I161" i="47" s="1"/>
  <c r="I163" i="47" s="1"/>
  <c r="G197" i="47" s="1"/>
  <c r="G199" i="47" s="1"/>
  <c r="I201" i="47" s="1"/>
  <c r="F51" i="93"/>
  <c r="G51" i="93"/>
  <c r="F50" i="93"/>
  <c r="G50" i="93"/>
  <c r="F25" i="87"/>
  <c r="F27" i="87" s="1"/>
  <c r="M243" i="88"/>
  <c r="L26" i="47" l="1"/>
  <c r="M302" i="47" s="1"/>
  <c r="L25" i="47"/>
  <c r="I207" i="47"/>
  <c r="K207" i="47"/>
  <c r="K210" i="47"/>
  <c r="I210" i="47"/>
  <c r="H47" i="55"/>
  <c r="I47" i="55" s="1"/>
  <c r="J47" i="55" s="1"/>
  <c r="F10" i="55" s="1"/>
  <c r="E56" i="51" s="1"/>
  <c r="F56" i="51" s="1"/>
  <c r="H48" i="55"/>
  <c r="I48" i="55" s="1"/>
  <c r="J48" i="55" s="1"/>
  <c r="F11" i="55" s="1"/>
  <c r="E57" i="51" s="1"/>
  <c r="F57" i="51" s="1"/>
  <c r="H44" i="55"/>
  <c r="I44" i="55" s="1"/>
  <c r="J44" i="55" s="1"/>
  <c r="I42" i="55"/>
  <c r="J42" i="55" s="1"/>
  <c r="F8" i="55" s="1"/>
  <c r="E54" i="51" s="1"/>
  <c r="F54" i="51" s="1"/>
  <c r="H49" i="55"/>
  <c r="I49" i="55" s="1"/>
  <c r="J49" i="55" s="1"/>
  <c r="F12" i="55" s="1"/>
  <c r="E58" i="51" s="1"/>
  <c r="F58" i="51" s="1"/>
  <c r="I36" i="47"/>
  <c r="I39" i="47" s="1"/>
  <c r="I50" i="47" s="1"/>
  <c r="L71" i="47" s="1"/>
  <c r="M17" i="47"/>
  <c r="K61" i="47" s="1"/>
  <c r="K67" i="47" s="1"/>
  <c r="L69" i="47" s="1"/>
  <c r="L22" i="48"/>
  <c r="M221" i="48" s="1"/>
  <c r="D180" i="6" s="1"/>
  <c r="D40" i="93" s="1"/>
  <c r="H37" i="48"/>
  <c r="H38" i="48"/>
  <c r="H39" i="48"/>
  <c r="M205" i="48" s="1"/>
  <c r="M247" i="88"/>
  <c r="M246" i="88"/>
  <c r="E48" i="93"/>
  <c r="G27" i="87"/>
  <c r="K265" i="47" l="1"/>
  <c r="M265" i="47" s="1"/>
  <c r="H9" i="47"/>
  <c r="E122" i="28" s="1"/>
  <c r="L72" i="47"/>
  <c r="F9" i="55"/>
  <c r="E55" i="51" s="1"/>
  <c r="F55" i="51" s="1"/>
  <c r="K261" i="47"/>
  <c r="M261" i="47" s="1"/>
  <c r="H8" i="47"/>
  <c r="E121" i="28" s="1"/>
  <c r="K263" i="47"/>
  <c r="M263" i="47" s="1"/>
  <c r="H14" i="47"/>
  <c r="E125" i="28" s="1"/>
  <c r="H40" i="48"/>
  <c r="I42" i="48" s="1"/>
  <c r="I43" i="48" s="1"/>
  <c r="H15" i="47"/>
  <c r="E126" i="28" s="1"/>
  <c r="K267" i="47"/>
  <c r="M267" i="47" s="1"/>
  <c r="M286" i="47"/>
  <c r="D138" i="28" s="1"/>
  <c r="D32" i="93" s="1"/>
  <c r="M294" i="47"/>
  <c r="G48" i="93"/>
  <c r="F48" i="93"/>
  <c r="H132" i="97" l="1"/>
  <c r="F121" i="28"/>
  <c r="M269" i="47"/>
  <c r="I49" i="48"/>
  <c r="L60" i="48" s="1"/>
  <c r="I47" i="48"/>
  <c r="G86" i="48" s="1"/>
  <c r="F125" i="28"/>
  <c r="H136" i="97"/>
  <c r="G125" i="47"/>
  <c r="L74" i="47"/>
  <c r="F122" i="28"/>
  <c r="H133" i="97"/>
  <c r="H137" i="97"/>
  <c r="F126" i="28"/>
  <c r="N100" i="47" l="1"/>
  <c r="L100" i="47"/>
  <c r="L96" i="47"/>
  <c r="L64" i="48"/>
  <c r="N65" i="48"/>
  <c r="L63" i="48"/>
  <c r="L65" i="48"/>
  <c r="E134" i="28"/>
  <c r="M300" i="47"/>
  <c r="K82" i="48" l="1"/>
  <c r="H64" i="48"/>
  <c r="K73" i="48" s="1"/>
  <c r="K84" i="48"/>
  <c r="H65" i="48"/>
  <c r="K75" i="48" s="1"/>
  <c r="G95" i="47"/>
  <c r="K106" i="47" s="1"/>
  <c r="K118" i="47"/>
  <c r="M304" i="47"/>
  <c r="M303" i="47"/>
  <c r="K80" i="48"/>
  <c r="H63" i="48"/>
  <c r="K71" i="48" s="1"/>
  <c r="K122" i="47"/>
  <c r="G97" i="47"/>
  <c r="K110" i="47" s="1"/>
  <c r="K85" i="48"/>
  <c r="I65" i="48"/>
  <c r="K76" i="48" s="1"/>
  <c r="H97" i="47"/>
  <c r="K112" i="47" s="1"/>
  <c r="K124" i="47"/>
  <c r="K86" i="48" l="1"/>
  <c r="G88" i="48" s="1"/>
  <c r="I90" i="48" s="1"/>
  <c r="J99" i="48" s="1"/>
  <c r="K125" i="47"/>
  <c r="G127" i="47" s="1"/>
  <c r="I132" i="47" s="1"/>
  <c r="L16" i="1"/>
  <c r="L15" i="2"/>
  <c r="M15" i="2" s="1"/>
  <c r="L15" i="3"/>
  <c r="M15" i="3" s="1"/>
  <c r="J151" i="47" l="1"/>
  <c r="H151" i="47"/>
  <c r="J147" i="47"/>
  <c r="H147" i="47"/>
  <c r="H98" i="48"/>
  <c r="H99" i="48"/>
  <c r="J100" i="48"/>
  <c r="H9" i="48"/>
  <c r="E166" i="6" s="1"/>
  <c r="H100" i="48"/>
  <c r="K176" i="48"/>
  <c r="M176" i="48" s="1"/>
  <c r="P99" i="48"/>
  <c r="L15" i="47"/>
  <c r="L15" i="4"/>
  <c r="M15" i="4" s="1"/>
  <c r="K166" i="48" l="1"/>
  <c r="M166" i="48" s="1"/>
  <c r="N99" i="48"/>
  <c r="H12" i="48"/>
  <c r="E169" i="6" s="1"/>
  <c r="K239" i="47"/>
  <c r="M239" i="47" s="1"/>
  <c r="M241" i="47" s="1"/>
  <c r="M242" i="47" s="1"/>
  <c r="M243" i="47" s="1"/>
  <c r="O147" i="47"/>
  <c r="H13" i="47"/>
  <c r="E124" i="28" s="1"/>
  <c r="N100" i="48"/>
  <c r="H13" i="48"/>
  <c r="E170" i="6" s="1"/>
  <c r="K167" i="48"/>
  <c r="M167" i="48" s="1"/>
  <c r="H11" i="48"/>
  <c r="E168" i="6" s="1"/>
  <c r="K165" i="48"/>
  <c r="M165" i="48" s="1"/>
  <c r="N98" i="48"/>
  <c r="K228" i="47"/>
  <c r="M228" i="47" s="1"/>
  <c r="M230" i="47" s="1"/>
  <c r="M231" i="47" s="1"/>
  <c r="M232" i="47" s="1"/>
  <c r="H17" i="47"/>
  <c r="E127" i="28" s="1"/>
  <c r="M151" i="47"/>
  <c r="H147" i="97"/>
  <c r="F166" i="6"/>
  <c r="H19" i="47"/>
  <c r="E128" i="28" s="1"/>
  <c r="O151" i="47"/>
  <c r="K246" i="47"/>
  <c r="M246" i="47" s="1"/>
  <c r="M248" i="47" s="1"/>
  <c r="M249" i="47" s="1"/>
  <c r="M250" i="47" s="1"/>
  <c r="H10" i="48"/>
  <c r="E167" i="6" s="1"/>
  <c r="K177" i="48"/>
  <c r="M177" i="48" s="1"/>
  <c r="M178" i="48" s="1"/>
  <c r="M179" i="48" s="1"/>
  <c r="M180" i="48" s="1"/>
  <c r="P100" i="48"/>
  <c r="K221" i="47"/>
  <c r="M221" i="47" s="1"/>
  <c r="M223" i="47" s="1"/>
  <c r="M224" i="47" s="1"/>
  <c r="M225" i="47" s="1"/>
  <c r="M147" i="47"/>
  <c r="H11" i="47"/>
  <c r="E123" i="28" s="1"/>
  <c r="L14" i="36"/>
  <c r="H34" i="36" s="1"/>
  <c r="L14" i="35"/>
  <c r="H34" i="35" s="1"/>
  <c r="F123" i="28" l="1"/>
  <c r="H134" i="97"/>
  <c r="H138" i="97"/>
  <c r="F127" i="28"/>
  <c r="H151" i="97"/>
  <c r="F170" i="6"/>
  <c r="F169" i="6"/>
  <c r="H150" i="97"/>
  <c r="M252" i="47"/>
  <c r="M257" i="47" s="1"/>
  <c r="M168" i="48"/>
  <c r="M169" i="48" s="1"/>
  <c r="M170" i="48" s="1"/>
  <c r="L26" i="24"/>
  <c r="M109" i="24" s="1"/>
  <c r="D129" i="29" s="1"/>
  <c r="D24" i="93" s="1"/>
  <c r="F167" i="6"/>
  <c r="H148" i="97"/>
  <c r="H139" i="97"/>
  <c r="F128" i="28"/>
  <c r="F168" i="6"/>
  <c r="H149" i="97"/>
  <c r="F124" i="28"/>
  <c r="H135" i="97"/>
  <c r="L17" i="34"/>
  <c r="M17" i="34" s="1"/>
  <c r="H32" i="34" s="1"/>
  <c r="I32" i="34" s="1"/>
  <c r="H38" i="36"/>
  <c r="H37" i="36"/>
  <c r="H39" i="36"/>
  <c r="M205" i="36" s="1"/>
  <c r="L14" i="24"/>
  <c r="L17" i="35"/>
  <c r="M17" i="35" s="1"/>
  <c r="H32" i="35" s="1"/>
  <c r="I32" i="35" s="1"/>
  <c r="H37" i="35"/>
  <c r="H38" i="35"/>
  <c r="L206" i="35" s="1"/>
  <c r="H39" i="35"/>
  <c r="L207" i="35" s="1"/>
  <c r="L17" i="36"/>
  <c r="M17" i="36" s="1"/>
  <c r="H32" i="36" s="1"/>
  <c r="I32" i="36" s="1"/>
  <c r="L17" i="37"/>
  <c r="M17" i="37" s="1"/>
  <c r="H32" i="37" s="1"/>
  <c r="I32" i="37" s="1"/>
  <c r="L22" i="34"/>
  <c r="M203" i="34" s="1"/>
  <c r="D63" i="6" s="1"/>
  <c r="D36" i="93" s="1"/>
  <c r="L22" i="36"/>
  <c r="M221" i="36" s="1"/>
  <c r="D157" i="6" s="1"/>
  <c r="D39" i="93" s="1"/>
  <c r="L22" i="37"/>
  <c r="M203" i="37" s="1"/>
  <c r="L22" i="35" l="1"/>
  <c r="M223" i="35" s="1"/>
  <c r="D96" i="6" s="1"/>
  <c r="D37" i="93" s="1"/>
  <c r="M292" i="47"/>
  <c r="M271" i="47"/>
  <c r="M279" i="47" s="1"/>
  <c r="M284" i="47" s="1"/>
  <c r="E133" i="28"/>
  <c r="E136" i="28" s="1"/>
  <c r="E138" i="28" s="1"/>
  <c r="L31" i="23"/>
  <c r="M161" i="23" s="1"/>
  <c r="D112" i="29" s="1"/>
  <c r="D23" i="93" s="1"/>
  <c r="M182" i="48"/>
  <c r="M204" i="48" s="1"/>
  <c r="M207" i="48" s="1"/>
  <c r="D62" i="51"/>
  <c r="D126" i="6"/>
  <c r="D38" i="93" s="1"/>
  <c r="L25" i="24"/>
  <c r="J35" i="24" s="1"/>
  <c r="J37" i="24" s="1"/>
  <c r="G66" i="24" s="1"/>
  <c r="G68" i="24" s="1"/>
  <c r="I70" i="24" s="1"/>
  <c r="I36" i="34"/>
  <c r="L47" i="34" s="1"/>
  <c r="I34" i="34"/>
  <c r="G73" i="34" s="1"/>
  <c r="H40" i="35"/>
  <c r="I42" i="35" s="1"/>
  <c r="I43" i="35" s="1"/>
  <c r="L205" i="35"/>
  <c r="L17" i="32"/>
  <c r="M17" i="32" s="1"/>
  <c r="H32" i="32" s="1"/>
  <c r="I32" i="32" s="1"/>
  <c r="I34" i="37"/>
  <c r="G73" i="37" s="1"/>
  <c r="I36" i="37"/>
  <c r="L47" i="37" s="1"/>
  <c r="H40" i="36"/>
  <c r="I42" i="36" s="1"/>
  <c r="I43" i="36" s="1"/>
  <c r="L15" i="20"/>
  <c r="L54" i="20" s="1"/>
  <c r="L22" i="32"/>
  <c r="M203" i="32" s="1"/>
  <c r="D33" i="6" s="1"/>
  <c r="D35" i="93" s="1"/>
  <c r="F138" i="28" l="1"/>
  <c r="E32" i="93"/>
  <c r="E175" i="6"/>
  <c r="E177" i="6" s="1"/>
  <c r="E180" i="6" s="1"/>
  <c r="M209" i="48"/>
  <c r="M214" i="48" s="1"/>
  <c r="M219" i="48" s="1"/>
  <c r="M288" i="47"/>
  <c r="M287" i="47"/>
  <c r="M208" i="35"/>
  <c r="M296" i="47"/>
  <c r="M295" i="47"/>
  <c r="L57" i="20"/>
  <c r="N59" i="20"/>
  <c r="K76" i="20" s="1"/>
  <c r="N57" i="20"/>
  <c r="L59" i="20"/>
  <c r="L50" i="37"/>
  <c r="N52" i="37"/>
  <c r="L52" i="37"/>
  <c r="L51" i="37"/>
  <c r="J79" i="24"/>
  <c r="H79" i="24"/>
  <c r="L30" i="20"/>
  <c r="M125" i="20" s="1"/>
  <c r="D91" i="29" s="1"/>
  <c r="D22" i="93" s="1"/>
  <c r="L31" i="21"/>
  <c r="M161" i="21" s="1"/>
  <c r="D49" i="29" s="1"/>
  <c r="D20" i="93" s="1"/>
  <c r="I47" i="35"/>
  <c r="G86" i="35" s="1"/>
  <c r="I49" i="35"/>
  <c r="L60" i="35" s="1"/>
  <c r="I36" i="32"/>
  <c r="L47" i="32" s="1"/>
  <c r="I34" i="32"/>
  <c r="G73" i="32" s="1"/>
  <c r="L14" i="23"/>
  <c r="I47" i="36"/>
  <c r="G86" i="36" s="1"/>
  <c r="I49" i="36"/>
  <c r="L60" i="36" s="1"/>
  <c r="N52" i="34"/>
  <c r="L50" i="34"/>
  <c r="L52" i="34"/>
  <c r="L51" i="34"/>
  <c r="L27" i="5"/>
  <c r="M126" i="5" s="1"/>
  <c r="D28" i="29" s="1"/>
  <c r="D19" i="93" s="1"/>
  <c r="L14" i="1"/>
  <c r="J63" i="1" s="1"/>
  <c r="L14" i="5"/>
  <c r="L54" i="5" s="1"/>
  <c r="L37" i="22" l="1"/>
  <c r="M161" i="22" s="1"/>
  <c r="D70" i="29" s="1"/>
  <c r="D21" i="93" s="1"/>
  <c r="F32" i="93"/>
  <c r="G32" i="93"/>
  <c r="M222" i="48"/>
  <c r="M223" i="48"/>
  <c r="F180" i="6"/>
  <c r="E40" i="93"/>
  <c r="L14" i="21"/>
  <c r="L30" i="23"/>
  <c r="J48" i="23" s="1"/>
  <c r="J49" i="23" s="1"/>
  <c r="J54" i="23" s="1"/>
  <c r="J63" i="23" s="1"/>
  <c r="L28" i="20"/>
  <c r="I38" i="20" s="1"/>
  <c r="J40" i="20" s="1"/>
  <c r="J42" i="20" s="1"/>
  <c r="G77" i="20" s="1"/>
  <c r="K67" i="34"/>
  <c r="H50" i="34"/>
  <c r="K58" i="34" s="1"/>
  <c r="N65" i="35"/>
  <c r="L65" i="35"/>
  <c r="L64" i="35"/>
  <c r="L63" i="35"/>
  <c r="H51" i="37"/>
  <c r="K60" i="37" s="1"/>
  <c r="K69" i="37"/>
  <c r="K74" i="20"/>
  <c r="G59" i="20"/>
  <c r="K66" i="20" s="1"/>
  <c r="L59" i="5"/>
  <c r="N57" i="5"/>
  <c r="L57" i="5"/>
  <c r="N59" i="5"/>
  <c r="K76" i="5" s="1"/>
  <c r="J66" i="1"/>
  <c r="J65" i="1"/>
  <c r="J64" i="1"/>
  <c r="K72" i="34"/>
  <c r="I52" i="34"/>
  <c r="K63" i="34" s="1"/>
  <c r="K71" i="37"/>
  <c r="H52" i="37"/>
  <c r="K62" i="37" s="1"/>
  <c r="H57" i="20"/>
  <c r="K67" i="20" s="1"/>
  <c r="K75" i="20"/>
  <c r="L14" i="22"/>
  <c r="H51" i="34"/>
  <c r="K60" i="34" s="1"/>
  <c r="K69" i="34"/>
  <c r="L63" i="36"/>
  <c r="L64" i="36"/>
  <c r="L65" i="36"/>
  <c r="N65" i="36"/>
  <c r="H89" i="24"/>
  <c r="J89" i="24" s="1"/>
  <c r="F10" i="24"/>
  <c r="E121" i="29" s="1"/>
  <c r="M79" i="24"/>
  <c r="K72" i="37"/>
  <c r="I52" i="37"/>
  <c r="K63" i="37" s="1"/>
  <c r="H52" i="34"/>
  <c r="K62" i="34" s="1"/>
  <c r="K71" i="34"/>
  <c r="L51" i="32"/>
  <c r="N52" i="32"/>
  <c r="L50" i="32"/>
  <c r="L52" i="32"/>
  <c r="F12" i="24"/>
  <c r="E122" i="29" s="1"/>
  <c r="O79" i="24"/>
  <c r="H96" i="24"/>
  <c r="J96" i="24" s="1"/>
  <c r="H50" i="37"/>
  <c r="K58" i="37" s="1"/>
  <c r="K67" i="37"/>
  <c r="K73" i="37" s="1"/>
  <c r="G75" i="37" s="1"/>
  <c r="I77" i="37" s="1"/>
  <c r="J86" i="37" s="1"/>
  <c r="K73" i="20"/>
  <c r="G57" i="20"/>
  <c r="K65" i="20" s="1"/>
  <c r="F121" i="29" l="1"/>
  <c r="M12" i="52"/>
  <c r="K77" i="20"/>
  <c r="G79" i="20" s="1"/>
  <c r="I81" i="20" s="1"/>
  <c r="J91" i="20" s="1"/>
  <c r="F40" i="93"/>
  <c r="G40" i="93"/>
  <c r="F122" i="29"/>
  <c r="H91" i="20"/>
  <c r="I52" i="32"/>
  <c r="K63" i="32" s="1"/>
  <c r="K72" i="32"/>
  <c r="J90" i="24"/>
  <c r="N89" i="24"/>
  <c r="H63" i="36"/>
  <c r="K71" i="36" s="1"/>
  <c r="K80" i="36"/>
  <c r="M254" i="1"/>
  <c r="H57" i="5"/>
  <c r="K67" i="5" s="1"/>
  <c r="K75" i="5"/>
  <c r="K84" i="35"/>
  <c r="H65" i="35"/>
  <c r="K75" i="35" s="1"/>
  <c r="L25" i="5"/>
  <c r="I38" i="5" s="1"/>
  <c r="J40" i="5" s="1"/>
  <c r="J42" i="5" s="1"/>
  <c r="G77" i="5" s="1"/>
  <c r="L29" i="21"/>
  <c r="J48" i="21" s="1"/>
  <c r="J49" i="21" s="1"/>
  <c r="J54" i="21" s="1"/>
  <c r="J63" i="21" s="1"/>
  <c r="L35" i="22"/>
  <c r="J48" i="22" s="1"/>
  <c r="J49" i="22" s="1"/>
  <c r="J54" i="22" s="1"/>
  <c r="J63" i="22" s="1"/>
  <c r="H87" i="37"/>
  <c r="H85" i="37"/>
  <c r="J87" i="37"/>
  <c r="K163" i="37"/>
  <c r="M163" i="37" s="1"/>
  <c r="H86" i="37"/>
  <c r="P86" i="37"/>
  <c r="H9" i="37"/>
  <c r="E105" i="6" s="1"/>
  <c r="H51" i="32"/>
  <c r="K60" i="32" s="1"/>
  <c r="K69" i="32"/>
  <c r="I65" i="36"/>
  <c r="K76" i="36" s="1"/>
  <c r="K85" i="36"/>
  <c r="G59" i="5"/>
  <c r="K66" i="5" s="1"/>
  <c r="K74" i="5"/>
  <c r="K85" i="35"/>
  <c r="I65" i="35"/>
  <c r="K76" i="35" s="1"/>
  <c r="G111" i="23"/>
  <c r="J76" i="23"/>
  <c r="L88" i="23" s="1"/>
  <c r="H52" i="32"/>
  <c r="K62" i="32" s="1"/>
  <c r="K71" i="32"/>
  <c r="K84" i="36"/>
  <c r="H65" i="36"/>
  <c r="K75" i="36" s="1"/>
  <c r="K80" i="35"/>
  <c r="H63" i="35"/>
  <c r="K71" i="35" s="1"/>
  <c r="N96" i="24"/>
  <c r="J97" i="24"/>
  <c r="K67" i="32"/>
  <c r="H50" i="32"/>
  <c r="K58" i="32" s="1"/>
  <c r="K82" i="36"/>
  <c r="H64" i="36"/>
  <c r="K73" i="36" s="1"/>
  <c r="K66" i="1"/>
  <c r="M256" i="1"/>
  <c r="G57" i="5"/>
  <c r="K65" i="5" s="1"/>
  <c r="K73" i="5"/>
  <c r="H64" i="35"/>
  <c r="K73" i="35" s="1"/>
  <c r="K82" i="35"/>
  <c r="K73" i="34"/>
  <c r="G75" i="34" s="1"/>
  <c r="I77" i="34" s="1"/>
  <c r="J86" i="34" s="1"/>
  <c r="L14" i="38"/>
  <c r="H34" i="38" s="1"/>
  <c r="L14" i="41"/>
  <c r="H34" i="41" s="1"/>
  <c r="K77" i="5" l="1"/>
  <c r="G79" i="5" s="1"/>
  <c r="I81" i="5" s="1"/>
  <c r="H91" i="5" s="1"/>
  <c r="H90" i="20"/>
  <c r="F10" i="20" s="1"/>
  <c r="J90" i="20"/>
  <c r="K73" i="32"/>
  <c r="G75" i="32" s="1"/>
  <c r="I77" i="32" s="1"/>
  <c r="J86" i="32" s="1"/>
  <c r="N97" i="24"/>
  <c r="N12" i="52"/>
  <c r="L12" i="52"/>
  <c r="L14" i="40"/>
  <c r="H34" i="40" s="1"/>
  <c r="H37" i="40" s="1"/>
  <c r="K86" i="35"/>
  <c r="G88" i="35" s="1"/>
  <c r="I90" i="35" s="1"/>
  <c r="J99" i="35" s="1"/>
  <c r="H100" i="35" s="1"/>
  <c r="H39" i="41"/>
  <c r="L226" i="41" s="1"/>
  <c r="H38" i="41"/>
  <c r="L225" i="41" s="1"/>
  <c r="H37" i="41"/>
  <c r="H9" i="32"/>
  <c r="E12" i="6" s="1"/>
  <c r="P86" i="32"/>
  <c r="K163" i="32"/>
  <c r="M163" i="32" s="1"/>
  <c r="H86" i="32"/>
  <c r="J87" i="32"/>
  <c r="H85" i="32"/>
  <c r="H87" i="32"/>
  <c r="H11" i="37"/>
  <c r="E107" i="6" s="1"/>
  <c r="K152" i="37"/>
  <c r="M152" i="37" s="1"/>
  <c r="N85" i="37"/>
  <c r="N90" i="24"/>
  <c r="N99" i="24" s="1"/>
  <c r="E128" i="29"/>
  <c r="E129" i="29" s="1"/>
  <c r="M106" i="24"/>
  <c r="M107" i="24" s="1"/>
  <c r="F13" i="20"/>
  <c r="H110" i="20"/>
  <c r="J110" i="20" s="1"/>
  <c r="Q110" i="20" s="1"/>
  <c r="N93" i="23"/>
  <c r="K110" i="23" s="1"/>
  <c r="L91" i="23"/>
  <c r="N91" i="23"/>
  <c r="L93" i="23"/>
  <c r="N86" i="37"/>
  <c r="H12" i="37"/>
  <c r="E108" i="6" s="1"/>
  <c r="K153" i="37"/>
  <c r="M153" i="37" s="1"/>
  <c r="N87" i="37"/>
  <c r="H13" i="37"/>
  <c r="E109" i="6" s="1"/>
  <c r="K154" i="37"/>
  <c r="M154" i="37" s="1"/>
  <c r="J99" i="24"/>
  <c r="F11" i="20"/>
  <c r="H102" i="20"/>
  <c r="J102" i="20" s="1"/>
  <c r="Q102" i="20" s="1"/>
  <c r="H37" i="38"/>
  <c r="H39" i="38"/>
  <c r="M215" i="38" s="1"/>
  <c r="H38" i="38"/>
  <c r="H9" i="34"/>
  <c r="E42" i="6" s="1"/>
  <c r="P86" i="34"/>
  <c r="H85" i="34"/>
  <c r="J87" i="34"/>
  <c r="H86" i="34"/>
  <c r="H87" i="34"/>
  <c r="K163" i="34"/>
  <c r="M163" i="34" s="1"/>
  <c r="J76" i="22"/>
  <c r="L88" i="22" s="1"/>
  <c r="G111" i="22"/>
  <c r="K86" i="36"/>
  <c r="G88" i="36" s="1"/>
  <c r="I90" i="36" s="1"/>
  <c r="J99" i="36" s="1"/>
  <c r="H120" i="97"/>
  <c r="F105" i="6"/>
  <c r="H10" i="37"/>
  <c r="E106" i="6" s="1"/>
  <c r="P87" i="37"/>
  <c r="K164" i="37"/>
  <c r="M164" i="37" s="1"/>
  <c r="M165" i="37" s="1"/>
  <c r="M166" i="37" s="1"/>
  <c r="M167" i="37" s="1"/>
  <c r="G111" i="21"/>
  <c r="J76" i="21"/>
  <c r="L88" i="21" s="1"/>
  <c r="F12" i="20"/>
  <c r="H109" i="20"/>
  <c r="J109" i="20" s="1"/>
  <c r="L13" i="2"/>
  <c r="J63" i="2" s="1"/>
  <c r="L27" i="1"/>
  <c r="M280" i="1" s="1"/>
  <c r="D29" i="28" s="1"/>
  <c r="D28" i="93" s="1"/>
  <c r="L19" i="1"/>
  <c r="J91" i="5" l="1"/>
  <c r="J90" i="5"/>
  <c r="H90" i="5"/>
  <c r="H39" i="40"/>
  <c r="L219" i="40" s="1"/>
  <c r="H101" i="20"/>
  <c r="J101" i="20" s="1"/>
  <c r="H38" i="40"/>
  <c r="L218" i="40" s="1"/>
  <c r="H98" i="35"/>
  <c r="K12" i="52"/>
  <c r="K14" i="52" s="1"/>
  <c r="D37" i="52" s="1"/>
  <c r="H9" i="35"/>
  <c r="E72" i="6" s="1"/>
  <c r="E81" i="29"/>
  <c r="E80" i="29"/>
  <c r="E79" i="29"/>
  <c r="E87" i="29"/>
  <c r="E82" i="29"/>
  <c r="P99" i="35"/>
  <c r="I40" i="38"/>
  <c r="J100" i="35"/>
  <c r="K176" i="35"/>
  <c r="M176" i="35" s="1"/>
  <c r="H99" i="35"/>
  <c r="K176" i="36"/>
  <c r="M176" i="36" s="1"/>
  <c r="M178" i="36" s="1"/>
  <c r="M179" i="36" s="1"/>
  <c r="M180" i="36" s="1"/>
  <c r="P99" i="36"/>
  <c r="H9" i="36"/>
  <c r="E135" i="6" s="1"/>
  <c r="H98" i="36"/>
  <c r="H99" i="36"/>
  <c r="K154" i="34"/>
  <c r="M154" i="34" s="1"/>
  <c r="N87" i="34"/>
  <c r="H13" i="34"/>
  <c r="E46" i="6" s="1"/>
  <c r="H123" i="97"/>
  <c r="F108" i="6"/>
  <c r="K107" i="23"/>
  <c r="G91" i="23"/>
  <c r="K99" i="23" s="1"/>
  <c r="H109" i="5"/>
  <c r="F12" i="5"/>
  <c r="E15" i="29" s="1"/>
  <c r="N98" i="35"/>
  <c r="H11" i="35"/>
  <c r="E74" i="6" s="1"/>
  <c r="K165" i="35"/>
  <c r="M165" i="35" s="1"/>
  <c r="F72" i="6"/>
  <c r="H11" i="32"/>
  <c r="E14" i="6" s="1"/>
  <c r="N85" i="32"/>
  <c r="K152" i="32"/>
  <c r="M152" i="32" s="1"/>
  <c r="I40" i="40"/>
  <c r="L217" i="40"/>
  <c r="M220" i="40" s="1"/>
  <c r="J64" i="2"/>
  <c r="J66" i="2"/>
  <c r="J65" i="2"/>
  <c r="L13" i="4"/>
  <c r="J63" i="4" s="1"/>
  <c r="L24" i="41"/>
  <c r="M230" i="41" s="1"/>
  <c r="D97" i="50" s="1"/>
  <c r="D45" i="93" s="1"/>
  <c r="J111" i="20"/>
  <c r="Q109" i="20"/>
  <c r="K153" i="34"/>
  <c r="M153" i="34" s="1"/>
  <c r="N86" i="34"/>
  <c r="H12" i="34"/>
  <c r="E45" i="6" s="1"/>
  <c r="H58" i="97"/>
  <c r="F42" i="6"/>
  <c r="F109" i="6"/>
  <c r="H124" i="97"/>
  <c r="F10" i="5"/>
  <c r="E13" i="29" s="1"/>
  <c r="H101" i="5"/>
  <c r="K177" i="35"/>
  <c r="M177" i="35" s="1"/>
  <c r="P100" i="35"/>
  <c r="H10" i="35"/>
  <c r="E73" i="6" s="1"/>
  <c r="H10" i="32"/>
  <c r="E13" i="6" s="1"/>
  <c r="P87" i="32"/>
  <c r="K164" i="32"/>
  <c r="M164" i="32" s="1"/>
  <c r="M165" i="32" s="1"/>
  <c r="M166" i="32" s="1"/>
  <c r="M167" i="32" s="1"/>
  <c r="H27" i="97"/>
  <c r="F12" i="6"/>
  <c r="I40" i="41"/>
  <c r="L224" i="41"/>
  <c r="M227" i="41" s="1"/>
  <c r="I36" i="1"/>
  <c r="I39" i="1" s="1"/>
  <c r="M19" i="1"/>
  <c r="K61" i="1" s="1"/>
  <c r="K67" i="1" s="1"/>
  <c r="L69" i="1" s="1"/>
  <c r="J103" i="20"/>
  <c r="Q101" i="20"/>
  <c r="N93" i="22"/>
  <c r="K110" i="22" s="1"/>
  <c r="L93" i="22"/>
  <c r="N91" i="22"/>
  <c r="L91" i="22"/>
  <c r="H10" i="34"/>
  <c r="E43" i="6" s="1"/>
  <c r="K164" i="34"/>
  <c r="M164" i="34" s="1"/>
  <c r="M165" i="34" s="1"/>
  <c r="M166" i="34" s="1"/>
  <c r="M167" i="34" s="1"/>
  <c r="P87" i="34"/>
  <c r="G93" i="23"/>
  <c r="K100" i="23" s="1"/>
  <c r="K108" i="23"/>
  <c r="F11" i="5"/>
  <c r="E14" i="29" s="1"/>
  <c r="H102" i="5"/>
  <c r="M110" i="24"/>
  <c r="M111" i="24"/>
  <c r="M155" i="37"/>
  <c r="M156" i="37" s="1"/>
  <c r="M157" i="37" s="1"/>
  <c r="K166" i="35"/>
  <c r="M166" i="35" s="1"/>
  <c r="N99" i="35"/>
  <c r="H12" i="35"/>
  <c r="E75" i="6" s="1"/>
  <c r="H13" i="35"/>
  <c r="E76" i="6" s="1"/>
  <c r="K167" i="35"/>
  <c r="M167" i="35" s="1"/>
  <c r="N100" i="35"/>
  <c r="N86" i="32"/>
  <c r="H12" i="32"/>
  <c r="E15" i="6" s="1"/>
  <c r="K153" i="32"/>
  <c r="M153" i="32" s="1"/>
  <c r="N91" i="21"/>
  <c r="N93" i="21"/>
  <c r="K110" i="21" s="1"/>
  <c r="L91" i="21"/>
  <c r="L93" i="21"/>
  <c r="F106" i="6"/>
  <c r="H121" i="97"/>
  <c r="K152" i="34"/>
  <c r="M152" i="34" s="1"/>
  <c r="H11" i="34"/>
  <c r="E44" i="6" s="1"/>
  <c r="N85" i="34"/>
  <c r="H91" i="23"/>
  <c r="K101" i="23" s="1"/>
  <c r="K109" i="23"/>
  <c r="H110" i="5"/>
  <c r="F13" i="5"/>
  <c r="E16" i="29" s="1"/>
  <c r="F129" i="29"/>
  <c r="E24" i="93"/>
  <c r="H122" i="97"/>
  <c r="F107" i="6"/>
  <c r="H13" i="32"/>
  <c r="E16" i="6" s="1"/>
  <c r="K154" i="32"/>
  <c r="M154" i="32" s="1"/>
  <c r="N87" i="32"/>
  <c r="L13" i="3"/>
  <c r="J63" i="3" s="1"/>
  <c r="L17" i="2"/>
  <c r="L25" i="4"/>
  <c r="M280" i="4" s="1"/>
  <c r="D113" i="28" s="1"/>
  <c r="D31" i="93" s="1"/>
  <c r="M155" i="34" l="1"/>
  <c r="M156" i="34" s="1"/>
  <c r="M157" i="34" s="1"/>
  <c r="M169" i="34" s="1"/>
  <c r="M191" i="34" s="1"/>
  <c r="J113" i="20"/>
  <c r="M178" i="35"/>
  <c r="M179" i="35" s="1"/>
  <c r="M180" i="35" s="1"/>
  <c r="H89" i="97"/>
  <c r="F55" i="52"/>
  <c r="E37" i="52"/>
  <c r="F37" i="52" s="1"/>
  <c r="E47" i="52" s="1"/>
  <c r="F13" i="29"/>
  <c r="Q111" i="20"/>
  <c r="F80" i="29"/>
  <c r="L22" i="40"/>
  <c r="M235" i="40" s="1"/>
  <c r="D67" i="50" s="1"/>
  <c r="D44" i="93" s="1"/>
  <c r="F16" i="29"/>
  <c r="L26" i="3"/>
  <c r="F15" i="29"/>
  <c r="M169" i="37"/>
  <c r="M191" i="37" s="1"/>
  <c r="F14" i="29"/>
  <c r="F82" i="29"/>
  <c r="F79" i="29"/>
  <c r="F81" i="29"/>
  <c r="L25" i="26"/>
  <c r="I37" i="26" s="1"/>
  <c r="L26" i="26"/>
  <c r="M113" i="26" s="1"/>
  <c r="D147" i="29" s="1"/>
  <c r="D25" i="93" s="1"/>
  <c r="I36" i="2"/>
  <c r="I39" i="2" s="1"/>
  <c r="M17" i="2"/>
  <c r="K61" i="2" s="1"/>
  <c r="J64" i="3"/>
  <c r="J66" i="3"/>
  <c r="J65" i="3"/>
  <c r="H31" i="97"/>
  <c r="F16" i="6"/>
  <c r="F75" i="6"/>
  <c r="H92" i="97"/>
  <c r="F43" i="6"/>
  <c r="H59" i="97"/>
  <c r="J145" i="1"/>
  <c r="J149" i="1"/>
  <c r="H145" i="1"/>
  <c r="H149" i="1"/>
  <c r="I50" i="1"/>
  <c r="L71" i="1" s="1"/>
  <c r="L72" i="1" s="1"/>
  <c r="H90" i="97"/>
  <c r="F73" i="6"/>
  <c r="L16" i="41"/>
  <c r="L17" i="4"/>
  <c r="F14" i="6"/>
  <c r="H29" i="97"/>
  <c r="F74" i="6"/>
  <c r="H91" i="97"/>
  <c r="F46" i="6"/>
  <c r="H62" i="97"/>
  <c r="N98" i="36"/>
  <c r="H11" i="36"/>
  <c r="E137" i="6" s="1"/>
  <c r="K165" i="36"/>
  <c r="M165" i="36" s="1"/>
  <c r="L22" i="38"/>
  <c r="M230" i="38" s="1"/>
  <c r="D34" i="50" s="1"/>
  <c r="D43" i="93" s="1"/>
  <c r="L25" i="2"/>
  <c r="M280" i="2" s="1"/>
  <c r="D57" i="28" s="1"/>
  <c r="D29" i="93" s="1"/>
  <c r="K109" i="21"/>
  <c r="H91" i="21"/>
  <c r="K101" i="21" s="1"/>
  <c r="K107" i="22"/>
  <c r="G91" i="22"/>
  <c r="K99" i="22" s="1"/>
  <c r="E86" i="29"/>
  <c r="E88" i="29" s="1"/>
  <c r="Q103" i="20"/>
  <c r="F45" i="6"/>
  <c r="H61" i="97"/>
  <c r="M254" i="2"/>
  <c r="K111" i="23"/>
  <c r="G113" i="23" s="1"/>
  <c r="I115" i="23" s="1"/>
  <c r="F135" i="6"/>
  <c r="H159" i="97"/>
  <c r="L110" i="5"/>
  <c r="J110" i="5"/>
  <c r="Q110" i="5" s="1"/>
  <c r="H60" i="97"/>
  <c r="F44" i="6"/>
  <c r="G93" i="21"/>
  <c r="K100" i="21" s="1"/>
  <c r="K108" i="21"/>
  <c r="J102" i="5"/>
  <c r="L102" i="5"/>
  <c r="K109" i="22"/>
  <c r="H91" i="22"/>
  <c r="K101" i="22" s="1"/>
  <c r="J115" i="20"/>
  <c r="M155" i="32"/>
  <c r="M156" i="32" s="1"/>
  <c r="M157" i="32" s="1"/>
  <c r="L14" i="26"/>
  <c r="G24" i="93"/>
  <c r="F24" i="93"/>
  <c r="G91" i="21"/>
  <c r="K99" i="21" s="1"/>
  <c r="K107" i="21"/>
  <c r="H30" i="97"/>
  <c r="F15" i="6"/>
  <c r="H93" i="97"/>
  <c r="F76" i="6"/>
  <c r="M193" i="37"/>
  <c r="M198" i="37" s="1"/>
  <c r="E122" i="6"/>
  <c r="E124" i="6" s="1"/>
  <c r="E126" i="6" s="1"/>
  <c r="K108" i="22"/>
  <c r="G93" i="22"/>
  <c r="K100" i="22" s="1"/>
  <c r="F13" i="6"/>
  <c r="H28" i="97"/>
  <c r="J101" i="5"/>
  <c r="L101" i="5"/>
  <c r="M102" i="5" s="1"/>
  <c r="O102" i="5" s="1"/>
  <c r="O103" i="5" s="1"/>
  <c r="O113" i="5" s="1"/>
  <c r="J64" i="4"/>
  <c r="J66" i="4"/>
  <c r="J65" i="4"/>
  <c r="M256" i="2"/>
  <c r="K66" i="2"/>
  <c r="M168" i="35"/>
  <c r="M169" i="35" s="1"/>
  <c r="M170" i="35" s="1"/>
  <c r="L109" i="5"/>
  <c r="J109" i="5"/>
  <c r="K166" i="36"/>
  <c r="M166" i="36" s="1"/>
  <c r="N99" i="36"/>
  <c r="H12" i="36"/>
  <c r="E138" i="6" s="1"/>
  <c r="L17" i="3"/>
  <c r="L17" i="38"/>
  <c r="M193" i="34" l="1"/>
  <c r="M198" i="34" s="1"/>
  <c r="M201" i="34" s="1"/>
  <c r="M204" i="34" s="1"/>
  <c r="E59" i="6"/>
  <c r="E61" i="6" s="1"/>
  <c r="E63" i="6" s="1"/>
  <c r="M254" i="4"/>
  <c r="E45" i="52"/>
  <c r="E46" i="52"/>
  <c r="E20" i="51"/>
  <c r="E22" i="51" s="1"/>
  <c r="F22" i="51" s="1"/>
  <c r="F56" i="52"/>
  <c r="G56" i="52" s="1"/>
  <c r="H56" i="52" s="1"/>
  <c r="F9" i="52" s="1"/>
  <c r="F58" i="52"/>
  <c r="G58" i="52" s="1"/>
  <c r="H58" i="52" s="1"/>
  <c r="F11" i="52" s="1"/>
  <c r="F57" i="52"/>
  <c r="G57" i="52" s="1"/>
  <c r="H57" i="52" s="1"/>
  <c r="F10" i="52" s="1"/>
  <c r="G55" i="52"/>
  <c r="H55" i="52" s="1"/>
  <c r="F8" i="52" s="1"/>
  <c r="Q113" i="20"/>
  <c r="M182" i="35"/>
  <c r="M204" i="35" s="1"/>
  <c r="M209" i="35" s="1"/>
  <c r="M169" i="32"/>
  <c r="M191" i="32" s="1"/>
  <c r="L25" i="3"/>
  <c r="M280" i="3" s="1"/>
  <c r="D85" i="28" s="1"/>
  <c r="D30" i="93" s="1"/>
  <c r="K111" i="21"/>
  <c r="G113" i="21" s="1"/>
  <c r="I115" i="21" s="1"/>
  <c r="H127" i="21" s="1"/>
  <c r="M256" i="4"/>
  <c r="K66" i="4"/>
  <c r="M201" i="37"/>
  <c r="E60" i="51"/>
  <c r="E62" i="51" s="1"/>
  <c r="F62" i="51" s="1"/>
  <c r="E36" i="93"/>
  <c r="F63" i="6"/>
  <c r="H127" i="23"/>
  <c r="J126" i="23"/>
  <c r="H126" i="23"/>
  <c r="J127" i="23"/>
  <c r="K220" i="1"/>
  <c r="M220" i="1" s="1"/>
  <c r="H10" i="1"/>
  <c r="E13" i="28" s="1"/>
  <c r="M145" i="1"/>
  <c r="M17" i="38"/>
  <c r="I32" i="38"/>
  <c r="I33" i="38" s="1"/>
  <c r="I41" i="38" s="1"/>
  <c r="I45" i="38" s="1"/>
  <c r="I47" i="38" s="1"/>
  <c r="M17" i="3"/>
  <c r="K61" i="3" s="1"/>
  <c r="I36" i="3"/>
  <c r="I39" i="3" s="1"/>
  <c r="Q109" i="5"/>
  <c r="J111" i="5"/>
  <c r="L56" i="26"/>
  <c r="H40" i="26"/>
  <c r="I41" i="26" s="1"/>
  <c r="I42" i="26" s="1"/>
  <c r="J44" i="26" s="1"/>
  <c r="J45" i="26" s="1"/>
  <c r="G74" i="26" s="1"/>
  <c r="Q102" i="5"/>
  <c r="E23" i="29" s="1"/>
  <c r="M168" i="36"/>
  <c r="M169" i="36" s="1"/>
  <c r="M170" i="36" s="1"/>
  <c r="H18" i="1"/>
  <c r="E21" i="28" s="1"/>
  <c r="K245" i="1"/>
  <c r="M245" i="1" s="1"/>
  <c r="O149" i="1"/>
  <c r="M256" i="3"/>
  <c r="K66" i="3"/>
  <c r="H162" i="97"/>
  <c r="F138" i="6"/>
  <c r="Q101" i="5"/>
  <c r="J103" i="5"/>
  <c r="H161" i="97"/>
  <c r="F137" i="6"/>
  <c r="M17" i="4"/>
  <c r="K61" i="4" s="1"/>
  <c r="I36" i="4"/>
  <c r="I39" i="4" s="1"/>
  <c r="G125" i="1"/>
  <c r="L74" i="1"/>
  <c r="K238" i="1"/>
  <c r="M238" i="1" s="1"/>
  <c r="H12" i="1"/>
  <c r="E15" i="28" s="1"/>
  <c r="O145" i="1"/>
  <c r="K67" i="2"/>
  <c r="L69" i="2" s="1"/>
  <c r="E89" i="6"/>
  <c r="E91" i="6" s="1"/>
  <c r="E96" i="6" s="1"/>
  <c r="F126" i="6"/>
  <c r="E38" i="93"/>
  <c r="E29" i="6"/>
  <c r="E31" i="6" s="1"/>
  <c r="E33" i="6" s="1"/>
  <c r="K111" i="22"/>
  <c r="G113" i="22" s="1"/>
  <c r="I115" i="22" s="1"/>
  <c r="I32" i="41"/>
  <c r="I33" i="41" s="1"/>
  <c r="I41" i="41" s="1"/>
  <c r="I45" i="41" s="1"/>
  <c r="I47" i="41" s="1"/>
  <c r="M16" i="41"/>
  <c r="M149" i="1"/>
  <c r="H16" i="1"/>
  <c r="E19" i="28" s="1"/>
  <c r="K227" i="1"/>
  <c r="M227" i="1" s="1"/>
  <c r="M254" i="3"/>
  <c r="J145" i="2"/>
  <c r="J149" i="2"/>
  <c r="H149" i="2"/>
  <c r="H145" i="2"/>
  <c r="I50" i="2"/>
  <c r="L71" i="2" s="1"/>
  <c r="M205" i="34" l="1"/>
  <c r="K67" i="4"/>
  <c r="L69" i="4" s="1"/>
  <c r="J126" i="21"/>
  <c r="J127" i="21"/>
  <c r="H126" i="21"/>
  <c r="F13" i="52"/>
  <c r="E16" i="51" s="1"/>
  <c r="F16" i="51" s="1"/>
  <c r="E12" i="51"/>
  <c r="F12" i="51" s="1"/>
  <c r="M193" i="32"/>
  <c r="M198" i="32" s="1"/>
  <c r="M201" i="32" s="1"/>
  <c r="E11" i="51"/>
  <c r="F11" i="51" s="1"/>
  <c r="F12" i="52"/>
  <c r="E15" i="51" s="1"/>
  <c r="F15" i="51" s="1"/>
  <c r="E13" i="51"/>
  <c r="F13" i="51" s="1"/>
  <c r="F14" i="52"/>
  <c r="E17" i="51" s="1"/>
  <c r="F17" i="51" s="1"/>
  <c r="Q115" i="20"/>
  <c r="M119" i="20" s="1"/>
  <c r="R113" i="20"/>
  <c r="M211" i="35"/>
  <c r="M216" i="35" s="1"/>
  <c r="M221" i="35" s="1"/>
  <c r="E14" i="51"/>
  <c r="F14" i="51" s="1"/>
  <c r="F15" i="52"/>
  <c r="E18" i="51" s="1"/>
  <c r="F18" i="51" s="1"/>
  <c r="Q111" i="5"/>
  <c r="J113" i="5"/>
  <c r="M182" i="36"/>
  <c r="M204" i="36" s="1"/>
  <c r="M207" i="36" s="1"/>
  <c r="K238" i="2"/>
  <c r="M238" i="2" s="1"/>
  <c r="O145" i="2"/>
  <c r="H12" i="2"/>
  <c r="E41" i="28" s="1"/>
  <c r="M204" i="32"/>
  <c r="M205" i="32"/>
  <c r="G38" i="93"/>
  <c r="F38" i="93"/>
  <c r="L72" i="2"/>
  <c r="N100" i="1"/>
  <c r="L100" i="1"/>
  <c r="L96" i="1"/>
  <c r="H18" i="97"/>
  <c r="F21" i="28"/>
  <c r="N59" i="26"/>
  <c r="H59" i="26" s="1"/>
  <c r="L61" i="26"/>
  <c r="L59" i="26"/>
  <c r="G59" i="26" s="1"/>
  <c r="N61" i="26"/>
  <c r="K73" i="26" s="1"/>
  <c r="H137" i="21"/>
  <c r="J137" i="21" s="1"/>
  <c r="M126" i="21"/>
  <c r="H185" i="21"/>
  <c r="J185" i="21" s="1"/>
  <c r="F10" i="21"/>
  <c r="E37" i="29" s="1"/>
  <c r="K67" i="3"/>
  <c r="L69" i="3" s="1"/>
  <c r="O126" i="23"/>
  <c r="F12" i="23"/>
  <c r="H145" i="23"/>
  <c r="J145" i="23" s="1"/>
  <c r="H183" i="23"/>
  <c r="J183" i="23" s="1"/>
  <c r="M145" i="2"/>
  <c r="K220" i="2"/>
  <c r="M220" i="2" s="1"/>
  <c r="H10" i="2"/>
  <c r="E39" i="28" s="1"/>
  <c r="G96" i="41"/>
  <c r="I59" i="41"/>
  <c r="L70" i="41" s="1"/>
  <c r="E152" i="6"/>
  <c r="E154" i="6" s="1"/>
  <c r="E157" i="6" s="1"/>
  <c r="M209" i="36"/>
  <c r="M214" i="36" s="1"/>
  <c r="M219" i="36" s="1"/>
  <c r="H193" i="21"/>
  <c r="J193" i="21" s="1"/>
  <c r="F12" i="21"/>
  <c r="E39" i="29" s="1"/>
  <c r="H145" i="21"/>
  <c r="J145" i="21" s="1"/>
  <c r="O126" i="21"/>
  <c r="I59" i="38"/>
  <c r="L70" i="38" s="1"/>
  <c r="G96" i="38"/>
  <c r="M127" i="23"/>
  <c r="F11" i="23"/>
  <c r="H176" i="23"/>
  <c r="J176" i="23" s="1"/>
  <c r="N176" i="23" s="1"/>
  <c r="H138" i="23"/>
  <c r="J138" i="23" s="1"/>
  <c r="N138" i="23" s="1"/>
  <c r="M205" i="37"/>
  <c r="M204" i="37"/>
  <c r="H16" i="2"/>
  <c r="E45" i="28" s="1"/>
  <c r="K227" i="2"/>
  <c r="M227" i="2" s="1"/>
  <c r="M149" i="2"/>
  <c r="H16" i="97"/>
  <c r="F19" i="28"/>
  <c r="J127" i="22"/>
  <c r="J126" i="22"/>
  <c r="H126" i="22"/>
  <c r="H127" i="22"/>
  <c r="M225" i="35"/>
  <c r="M224" i="35"/>
  <c r="H12" i="97"/>
  <c r="F15" i="28"/>
  <c r="J149" i="4"/>
  <c r="H145" i="4"/>
  <c r="J145" i="4"/>
  <c r="H149" i="4"/>
  <c r="I50" i="4"/>
  <c r="L71" i="4" s="1"/>
  <c r="H138" i="21"/>
  <c r="J138" i="21" s="1"/>
  <c r="N138" i="21" s="1"/>
  <c r="H186" i="21"/>
  <c r="J186" i="21" s="1"/>
  <c r="N186" i="21" s="1"/>
  <c r="F11" i="21"/>
  <c r="M127" i="21"/>
  <c r="H10" i="97"/>
  <c r="F13" i="28"/>
  <c r="H184" i="23"/>
  <c r="J184" i="23" s="1"/>
  <c r="N184" i="23" s="1"/>
  <c r="O127" i="23"/>
  <c r="H146" i="23"/>
  <c r="J146" i="23" s="1"/>
  <c r="N146" i="23" s="1"/>
  <c r="F13" i="23"/>
  <c r="K245" i="2"/>
  <c r="M245" i="2" s="1"/>
  <c r="H18" i="2"/>
  <c r="E47" i="28" s="1"/>
  <c r="O149" i="2"/>
  <c r="F33" i="6"/>
  <c r="E35" i="93"/>
  <c r="E37" i="93"/>
  <c r="F96" i="6"/>
  <c r="E22" i="29"/>
  <c r="E24" i="29" s="1"/>
  <c r="Q103" i="5"/>
  <c r="F13" i="21"/>
  <c r="E40" i="29" s="1"/>
  <c r="H194" i="21"/>
  <c r="J194" i="21" s="1"/>
  <c r="N194" i="21" s="1"/>
  <c r="O127" i="21"/>
  <c r="H146" i="21"/>
  <c r="J146" i="21" s="1"/>
  <c r="N146" i="21" s="1"/>
  <c r="H145" i="3"/>
  <c r="J145" i="3"/>
  <c r="H149" i="3"/>
  <c r="J149" i="3"/>
  <c r="I50" i="3"/>
  <c r="L71" i="3" s="1"/>
  <c r="F10" i="23"/>
  <c r="H137" i="23"/>
  <c r="J137" i="23" s="1"/>
  <c r="H175" i="23"/>
  <c r="J175" i="23" s="1"/>
  <c r="M126" i="23"/>
  <c r="F36" i="93"/>
  <c r="G36" i="93"/>
  <c r="L72" i="3" l="1"/>
  <c r="G125" i="3" s="1"/>
  <c r="Q113" i="5"/>
  <c r="M119" i="5" s="1"/>
  <c r="L72" i="4"/>
  <c r="L17" i="40"/>
  <c r="I33" i="40" s="1"/>
  <c r="I41" i="40" s="1"/>
  <c r="I45" i="40" s="1"/>
  <c r="I47" i="40" s="1"/>
  <c r="F40" i="29"/>
  <c r="E102" i="29"/>
  <c r="F37" i="29"/>
  <c r="F39" i="29"/>
  <c r="E103" i="29"/>
  <c r="E100" i="29"/>
  <c r="E101" i="29"/>
  <c r="K220" i="3"/>
  <c r="M220" i="3" s="1"/>
  <c r="H10" i="3"/>
  <c r="E67" i="28" s="1"/>
  <c r="M145" i="3"/>
  <c r="G37" i="93"/>
  <c r="F37" i="93"/>
  <c r="H49" i="97"/>
  <c r="F47" i="28"/>
  <c r="Q114" i="5"/>
  <c r="K220" i="4"/>
  <c r="M220" i="4" s="1"/>
  <c r="H10" i="4"/>
  <c r="E95" i="28" s="1"/>
  <c r="M145" i="4"/>
  <c r="M126" i="22"/>
  <c r="F10" i="22"/>
  <c r="E58" i="29" s="1"/>
  <c r="H178" i="22"/>
  <c r="J178" i="22" s="1"/>
  <c r="H137" i="22"/>
  <c r="J137" i="22" s="1"/>
  <c r="L74" i="38"/>
  <c r="N75" i="38"/>
  <c r="L73" i="38"/>
  <c r="L75" i="38"/>
  <c r="N193" i="21"/>
  <c r="J195" i="21"/>
  <c r="J185" i="23"/>
  <c r="N183" i="23"/>
  <c r="N185" i="21"/>
  <c r="J187" i="21"/>
  <c r="G125" i="2"/>
  <c r="L74" i="2"/>
  <c r="F41" i="28"/>
  <c r="H43" i="97"/>
  <c r="M17" i="40"/>
  <c r="N175" i="23"/>
  <c r="J177" i="23"/>
  <c r="J187" i="23" s="1"/>
  <c r="H18" i="3"/>
  <c r="E75" i="28" s="1"/>
  <c r="O149" i="3"/>
  <c r="K245" i="3"/>
  <c r="M245" i="3" s="1"/>
  <c r="F35" i="93"/>
  <c r="G35" i="93"/>
  <c r="F8" i="53"/>
  <c r="E38" i="29"/>
  <c r="G125" i="4"/>
  <c r="L74" i="4"/>
  <c r="K245" i="4"/>
  <c r="M245" i="4" s="1"/>
  <c r="O149" i="4"/>
  <c r="H18" i="4"/>
  <c r="E103" i="28" s="1"/>
  <c r="H145" i="22"/>
  <c r="J145" i="22" s="1"/>
  <c r="O126" i="22"/>
  <c r="H186" i="22"/>
  <c r="J186" i="22" s="1"/>
  <c r="F12" i="22"/>
  <c r="E60" i="29" s="1"/>
  <c r="M223" i="36"/>
  <c r="M222" i="36"/>
  <c r="F39" i="28"/>
  <c r="H41" i="97"/>
  <c r="N145" i="23"/>
  <c r="N147" i="23" s="1"/>
  <c r="J147" i="23"/>
  <c r="G61" i="26"/>
  <c r="K67" i="26" s="1"/>
  <c r="K72" i="26"/>
  <c r="K74" i="26" s="1"/>
  <c r="G76" i="26" s="1"/>
  <c r="I78" i="26" s="1"/>
  <c r="G95" i="1"/>
  <c r="K106" i="1" s="1"/>
  <c r="K118" i="1"/>
  <c r="N137" i="23"/>
  <c r="J139" i="23"/>
  <c r="M149" i="3"/>
  <c r="K227" i="3"/>
  <c r="M227" i="3" s="1"/>
  <c r="H16" i="3"/>
  <c r="E73" i="28" s="1"/>
  <c r="M149" i="4"/>
  <c r="K227" i="4"/>
  <c r="M227" i="4" s="1"/>
  <c r="H16" i="4"/>
  <c r="E101" i="28" s="1"/>
  <c r="H146" i="22"/>
  <c r="J146" i="22" s="1"/>
  <c r="N146" i="22" s="1"/>
  <c r="H187" i="22"/>
  <c r="J187" i="22" s="1"/>
  <c r="N187" i="22" s="1"/>
  <c r="O127" i="22"/>
  <c r="F13" i="22"/>
  <c r="E61" i="29" s="1"/>
  <c r="F45" i="28"/>
  <c r="H47" i="97"/>
  <c r="N145" i="21"/>
  <c r="N147" i="21" s="1"/>
  <c r="J147" i="21"/>
  <c r="E39" i="93"/>
  <c r="F157" i="6"/>
  <c r="J139" i="21"/>
  <c r="N137" i="21"/>
  <c r="G97" i="1"/>
  <c r="K110" i="1" s="1"/>
  <c r="K122" i="1"/>
  <c r="O145" i="3"/>
  <c r="K238" i="3"/>
  <c r="M238" i="3" s="1"/>
  <c r="H12" i="3"/>
  <c r="E69" i="28" s="1"/>
  <c r="E46" i="29"/>
  <c r="O145" i="4"/>
  <c r="K238" i="4"/>
  <c r="M238" i="4" s="1"/>
  <c r="H12" i="4"/>
  <c r="E97" i="28" s="1"/>
  <c r="H138" i="22"/>
  <c r="J138" i="22" s="1"/>
  <c r="N138" i="22" s="1"/>
  <c r="M127" i="22"/>
  <c r="H179" i="22"/>
  <c r="J179" i="22" s="1"/>
  <c r="N179" i="22" s="1"/>
  <c r="F11" i="22"/>
  <c r="E59" i="29" s="1"/>
  <c r="E109" i="29"/>
  <c r="L75" i="41"/>
  <c r="N75" i="41"/>
  <c r="L74" i="41"/>
  <c r="L73" i="41"/>
  <c r="K124" i="1"/>
  <c r="H97" i="1"/>
  <c r="K112" i="1" s="1"/>
  <c r="J197" i="21" l="1"/>
  <c r="L74" i="3"/>
  <c r="J149" i="21"/>
  <c r="I32" i="40"/>
  <c r="N187" i="21"/>
  <c r="N195" i="21"/>
  <c r="F59" i="29"/>
  <c r="F60" i="29"/>
  <c r="N185" i="23"/>
  <c r="N187" i="23" s="1"/>
  <c r="L31" i="20" s="1"/>
  <c r="M120" i="20" s="1"/>
  <c r="F103" i="29"/>
  <c r="F61" i="29"/>
  <c r="F38" i="29"/>
  <c r="F101" i="29"/>
  <c r="N177" i="23"/>
  <c r="F58" i="29"/>
  <c r="F100" i="29"/>
  <c r="F102" i="29"/>
  <c r="E67" i="29"/>
  <c r="J149" i="23"/>
  <c r="K90" i="41"/>
  <c r="H73" i="41"/>
  <c r="K81" i="41" s="1"/>
  <c r="H109" i="97"/>
  <c r="F101" i="28"/>
  <c r="K125" i="1"/>
  <c r="G127" i="1" s="1"/>
  <c r="I129" i="1" s="1"/>
  <c r="I132" i="1" s="1"/>
  <c r="H111" i="97"/>
  <c r="F103" i="28"/>
  <c r="K92" i="38"/>
  <c r="H74" i="38"/>
  <c r="K83" i="38" s="1"/>
  <c r="H72" i="97"/>
  <c r="F67" i="28"/>
  <c r="K92" i="41"/>
  <c r="H74" i="41"/>
  <c r="K83" i="41" s="1"/>
  <c r="F69" i="28"/>
  <c r="H74" i="97"/>
  <c r="N186" i="22"/>
  <c r="N188" i="22" s="1"/>
  <c r="J188" i="22"/>
  <c r="H80" i="97"/>
  <c r="F75" i="28"/>
  <c r="L100" i="2"/>
  <c r="L96" i="2"/>
  <c r="N100" i="2"/>
  <c r="H75" i="38"/>
  <c r="K85" i="38" s="1"/>
  <c r="K94" i="38"/>
  <c r="J139" i="22"/>
  <c r="N137" i="22"/>
  <c r="K95" i="41"/>
  <c r="I75" i="41"/>
  <c r="K86" i="41" s="1"/>
  <c r="E45" i="29"/>
  <c r="E47" i="29" s="1"/>
  <c r="N139" i="21"/>
  <c r="N149" i="21" s="1"/>
  <c r="M155" i="21" s="1"/>
  <c r="H85" i="26"/>
  <c r="J84" i="26"/>
  <c r="H84" i="26"/>
  <c r="J85" i="26"/>
  <c r="E30" i="51"/>
  <c r="F30" i="51" s="1"/>
  <c r="F10" i="53"/>
  <c r="E32" i="51" s="1"/>
  <c r="F32" i="51" s="1"/>
  <c r="C48" i="53"/>
  <c r="G48" i="53" s="1"/>
  <c r="I59" i="40"/>
  <c r="L70" i="40" s="1"/>
  <c r="G96" i="40"/>
  <c r="K90" i="38"/>
  <c r="H73" i="38"/>
  <c r="K81" i="38" s="1"/>
  <c r="J180" i="22"/>
  <c r="J190" i="22" s="1"/>
  <c r="N178" i="22"/>
  <c r="H103" i="97"/>
  <c r="F95" i="28"/>
  <c r="N99" i="3"/>
  <c r="N100" i="3"/>
  <c r="N95" i="3"/>
  <c r="L100" i="3"/>
  <c r="L99" i="3"/>
  <c r="L95" i="3"/>
  <c r="L96" i="3"/>
  <c r="K94" i="41"/>
  <c r="H75" i="41"/>
  <c r="K85" i="41" s="1"/>
  <c r="F97" i="28"/>
  <c r="H105" i="97"/>
  <c r="F39" i="93"/>
  <c r="G39" i="93"/>
  <c r="F73" i="28"/>
  <c r="H78" i="97"/>
  <c r="E108" i="29"/>
  <c r="E110" i="29" s="1"/>
  <c r="E112" i="29" s="1"/>
  <c r="N139" i="23"/>
  <c r="N149" i="23" s="1"/>
  <c r="M155" i="23" s="1"/>
  <c r="M159" i="23" s="1"/>
  <c r="N145" i="22"/>
  <c r="N147" i="22" s="1"/>
  <c r="J147" i="22"/>
  <c r="N100" i="4"/>
  <c r="L96" i="4"/>
  <c r="L100" i="4"/>
  <c r="I75" i="38"/>
  <c r="K86" i="38" s="1"/>
  <c r="K95" i="38"/>
  <c r="M123" i="20" l="1"/>
  <c r="M127" i="20" s="1"/>
  <c r="E90" i="29"/>
  <c r="E91" i="29" s="1"/>
  <c r="N197" i="21"/>
  <c r="L28" i="5" s="1"/>
  <c r="M120" i="5" s="1"/>
  <c r="N180" i="22"/>
  <c r="N190" i="22" s="1"/>
  <c r="L29" i="5" s="1"/>
  <c r="M121" i="5" s="1"/>
  <c r="G95" i="4"/>
  <c r="K106" i="4" s="1"/>
  <c r="K118" i="4"/>
  <c r="G95" i="3"/>
  <c r="K106" i="3" s="1"/>
  <c r="K118" i="3"/>
  <c r="K119" i="3"/>
  <c r="H94" i="3"/>
  <c r="K107" i="3" s="1"/>
  <c r="K96" i="38"/>
  <c r="G98" i="38" s="1"/>
  <c r="I100" i="38" s="1"/>
  <c r="J109" i="38" s="1"/>
  <c r="F12" i="26"/>
  <c r="E139" i="29" s="1"/>
  <c r="F139" i="29" s="1"/>
  <c r="H103" i="26"/>
  <c r="N139" i="22"/>
  <c r="N149" i="22" s="1"/>
  <c r="M155" i="22" s="1"/>
  <c r="M159" i="22" s="1"/>
  <c r="E66" i="29"/>
  <c r="E68" i="29" s="1"/>
  <c r="E70" i="29" s="1"/>
  <c r="K124" i="2"/>
  <c r="H97" i="2"/>
  <c r="K112" i="2" s="1"/>
  <c r="K96" i="41"/>
  <c r="G98" i="41" s="1"/>
  <c r="I100" i="41" s="1"/>
  <c r="J109" i="41" s="1"/>
  <c r="H97" i="4"/>
  <c r="K112" i="4" s="1"/>
  <c r="K124" i="4"/>
  <c r="K117" i="3"/>
  <c r="G94" i="3"/>
  <c r="K105" i="3" s="1"/>
  <c r="K124" i="3"/>
  <c r="H97" i="3"/>
  <c r="K112" i="3" s="1"/>
  <c r="H96" i="26"/>
  <c r="F11" i="26"/>
  <c r="E138" i="29" s="1"/>
  <c r="F138" i="29" s="1"/>
  <c r="J149" i="22"/>
  <c r="K118" i="2"/>
  <c r="G95" i="2"/>
  <c r="K106" i="2" s="1"/>
  <c r="E25" i="29"/>
  <c r="F91" i="29"/>
  <c r="E22" i="93"/>
  <c r="M163" i="23"/>
  <c r="M162" i="23"/>
  <c r="G96" i="3"/>
  <c r="K109" i="3" s="1"/>
  <c r="K121" i="3"/>
  <c r="H96" i="3"/>
  <c r="K111" i="3" s="1"/>
  <c r="K123" i="3"/>
  <c r="L74" i="40"/>
  <c r="L75" i="40"/>
  <c r="N75" i="40"/>
  <c r="L73" i="40"/>
  <c r="H104" i="26"/>
  <c r="F13" i="26"/>
  <c r="E140" i="29" s="1"/>
  <c r="F140" i="29" s="1"/>
  <c r="K122" i="2"/>
  <c r="G97" i="2"/>
  <c r="K110" i="2" s="1"/>
  <c r="K122" i="4"/>
  <c r="G97" i="4"/>
  <c r="K110" i="4" s="1"/>
  <c r="E23" i="93"/>
  <c r="F112" i="29"/>
  <c r="G97" i="3"/>
  <c r="K110" i="3" s="1"/>
  <c r="K122" i="3"/>
  <c r="G50" i="53"/>
  <c r="I48" i="53"/>
  <c r="F10" i="26"/>
  <c r="E137" i="29" s="1"/>
  <c r="F137" i="29" s="1"/>
  <c r="H95" i="26"/>
  <c r="H151" i="1"/>
  <c r="J151" i="1"/>
  <c r="J147" i="1"/>
  <c r="H147" i="1"/>
  <c r="M126" i="20" l="1"/>
  <c r="K228" i="1"/>
  <c r="M228" i="1" s="1"/>
  <c r="M230" i="1" s="1"/>
  <c r="M231" i="1" s="1"/>
  <c r="M232" i="1" s="1"/>
  <c r="H17" i="1"/>
  <c r="E20" i="28" s="1"/>
  <c r="M151" i="1"/>
  <c r="L104" i="26"/>
  <c r="J104" i="26"/>
  <c r="H74" i="40"/>
  <c r="K83" i="40" s="1"/>
  <c r="K92" i="40"/>
  <c r="K125" i="2"/>
  <c r="G127" i="2" s="1"/>
  <c r="I129" i="2" s="1"/>
  <c r="I132" i="2" s="1"/>
  <c r="H109" i="38"/>
  <c r="K188" i="38"/>
  <c r="H108" i="38"/>
  <c r="H110" i="38"/>
  <c r="H9" i="38"/>
  <c r="E12" i="50" s="1"/>
  <c r="J110" i="38"/>
  <c r="P109" i="38"/>
  <c r="K125" i="4"/>
  <c r="G127" i="4" s="1"/>
  <c r="I129" i="4" s="1"/>
  <c r="I132" i="4" s="1"/>
  <c r="M147" i="1"/>
  <c r="K221" i="1"/>
  <c r="M221" i="1" s="1"/>
  <c r="M223" i="1" s="1"/>
  <c r="M224" i="1" s="1"/>
  <c r="M225" i="1" s="1"/>
  <c r="H11" i="1"/>
  <c r="E14" i="28" s="1"/>
  <c r="I50" i="53"/>
  <c r="E35" i="51" s="1"/>
  <c r="L48" i="53"/>
  <c r="L50" i="53" s="1"/>
  <c r="K48" i="53"/>
  <c r="H73" i="40"/>
  <c r="K81" i="40" s="1"/>
  <c r="K90" i="40"/>
  <c r="E21" i="93"/>
  <c r="F70" i="29"/>
  <c r="O147" i="1"/>
  <c r="H13" i="1"/>
  <c r="E16" i="28" s="1"/>
  <c r="K239" i="1"/>
  <c r="M239" i="1" s="1"/>
  <c r="M241" i="1" s="1"/>
  <c r="M242" i="1" s="1"/>
  <c r="M243" i="1" s="1"/>
  <c r="F23" i="93"/>
  <c r="G23" i="93"/>
  <c r="K95" i="40"/>
  <c r="I75" i="40"/>
  <c r="K86" i="40" s="1"/>
  <c r="F22" i="93"/>
  <c r="G22" i="93"/>
  <c r="K125" i="3"/>
  <c r="G127" i="3" s="1"/>
  <c r="I129" i="3" s="1"/>
  <c r="M163" i="22"/>
  <c r="M162" i="22"/>
  <c r="O151" i="1"/>
  <c r="K246" i="1"/>
  <c r="M246" i="1" s="1"/>
  <c r="M248" i="1" s="1"/>
  <c r="M249" i="1" s="1"/>
  <c r="M250" i="1" s="1"/>
  <c r="H19" i="1"/>
  <c r="E22" i="28" s="1"/>
  <c r="J95" i="26"/>
  <c r="L95" i="26"/>
  <c r="M95" i="26" s="1"/>
  <c r="H75" i="40"/>
  <c r="K85" i="40" s="1"/>
  <c r="K94" i="40"/>
  <c r="J96" i="26"/>
  <c r="L96" i="26"/>
  <c r="K188" i="41"/>
  <c r="H108" i="41"/>
  <c r="P109" i="41"/>
  <c r="H9" i="41"/>
  <c r="E76" i="50" s="1"/>
  <c r="J110" i="41"/>
  <c r="H110" i="41"/>
  <c r="H109" i="41"/>
  <c r="L103" i="26"/>
  <c r="M103" i="26" s="1"/>
  <c r="J103" i="26"/>
  <c r="F12" i="50" l="1"/>
  <c r="E37" i="51"/>
  <c r="L32" i="21" s="1"/>
  <c r="M156" i="21" s="1"/>
  <c r="F76" i="50"/>
  <c r="O103" i="26"/>
  <c r="Q103" i="26" s="1"/>
  <c r="M104" i="26"/>
  <c r="O104" i="26" s="1"/>
  <c r="Q104" i="26" s="1"/>
  <c r="O95" i="26"/>
  <c r="M96" i="26"/>
  <c r="O96" i="26" s="1"/>
  <c r="Q96" i="26" s="1"/>
  <c r="K96" i="40"/>
  <c r="G98" i="40" s="1"/>
  <c r="I100" i="40" s="1"/>
  <c r="J109" i="40" s="1"/>
  <c r="F14" i="28"/>
  <c r="H11" i="97"/>
  <c r="K177" i="38"/>
  <c r="H11" i="38"/>
  <c r="E14" i="50" s="1"/>
  <c r="N108" i="38"/>
  <c r="J151" i="2"/>
  <c r="H151" i="2"/>
  <c r="J147" i="2"/>
  <c r="H147" i="2"/>
  <c r="K178" i="41"/>
  <c r="H12" i="41"/>
  <c r="E79" i="50" s="1"/>
  <c r="N109" i="41"/>
  <c r="J97" i="26"/>
  <c r="M48" i="53"/>
  <c r="M50" i="53" s="1"/>
  <c r="K50" i="53"/>
  <c r="M252" i="1"/>
  <c r="M257" i="1" s="1"/>
  <c r="H10" i="38"/>
  <c r="E13" i="50" s="1"/>
  <c r="K189" i="38"/>
  <c r="P110" i="38"/>
  <c r="M188" i="38"/>
  <c r="K255" i="38"/>
  <c r="M255" i="38" s="1"/>
  <c r="N110" i="41"/>
  <c r="H13" i="41"/>
  <c r="E80" i="50" s="1"/>
  <c r="K179" i="41"/>
  <c r="N108" i="41"/>
  <c r="H11" i="41"/>
  <c r="E78" i="50" s="1"/>
  <c r="K177" i="41"/>
  <c r="F22" i="28"/>
  <c r="H19" i="97"/>
  <c r="H13" i="97"/>
  <c r="F16" i="28"/>
  <c r="F21" i="93"/>
  <c r="G21" i="93"/>
  <c r="K178" i="38"/>
  <c r="H12" i="38"/>
  <c r="E15" i="50" s="1"/>
  <c r="N109" i="38"/>
  <c r="H17" i="97"/>
  <c r="F20" i="28"/>
  <c r="J105" i="26"/>
  <c r="H10" i="41"/>
  <c r="E77" i="50" s="1"/>
  <c r="P110" i="41"/>
  <c r="K189" i="41"/>
  <c r="K255" i="41"/>
  <c r="M255" i="41" s="1"/>
  <c r="M188" i="41"/>
  <c r="L30" i="5"/>
  <c r="M122" i="5" s="1"/>
  <c r="J151" i="4"/>
  <c r="H147" i="4"/>
  <c r="H151" i="4"/>
  <c r="J147" i="4"/>
  <c r="K179" i="38"/>
  <c r="N110" i="38"/>
  <c r="H13" i="38"/>
  <c r="E16" i="50" s="1"/>
  <c r="F37" i="51" l="1"/>
  <c r="F16" i="50"/>
  <c r="F13" i="50"/>
  <c r="F15" i="50"/>
  <c r="F77" i="50"/>
  <c r="F80" i="50"/>
  <c r="F14" i="50"/>
  <c r="Q105" i="26"/>
  <c r="F78" i="50"/>
  <c r="F79" i="50"/>
  <c r="O97" i="26"/>
  <c r="Q95" i="26"/>
  <c r="K221" i="4"/>
  <c r="M221" i="4" s="1"/>
  <c r="M223" i="4" s="1"/>
  <c r="M224" i="4" s="1"/>
  <c r="M225" i="4" s="1"/>
  <c r="M147" i="4"/>
  <c r="H11" i="4"/>
  <c r="E96" i="28" s="1"/>
  <c r="M179" i="41"/>
  <c r="K246" i="41"/>
  <c r="M246" i="41" s="1"/>
  <c r="J107" i="26"/>
  <c r="H19" i="2"/>
  <c r="E48" i="28" s="1"/>
  <c r="O151" i="2"/>
  <c r="K246" i="2"/>
  <c r="M246" i="2" s="1"/>
  <c r="M248" i="2" s="1"/>
  <c r="M249" i="2" s="1"/>
  <c r="M250" i="2" s="1"/>
  <c r="M179" i="38"/>
  <c r="K246" i="38"/>
  <c r="M246" i="38" s="1"/>
  <c r="K246" i="4"/>
  <c r="M246" i="4" s="1"/>
  <c r="M248" i="4" s="1"/>
  <c r="M249" i="4" s="1"/>
  <c r="M250" i="4" s="1"/>
  <c r="O151" i="4"/>
  <c r="H19" i="4"/>
  <c r="E104" i="28" s="1"/>
  <c r="M189" i="41"/>
  <c r="M190" i="41" s="1"/>
  <c r="M191" i="41" s="1"/>
  <c r="M192" i="41" s="1"/>
  <c r="K256" i="41"/>
  <c r="M256" i="41" s="1"/>
  <c r="M257" i="41" s="1"/>
  <c r="M258" i="41" s="1"/>
  <c r="M259" i="41" s="1"/>
  <c r="K244" i="41"/>
  <c r="M244" i="41" s="1"/>
  <c r="M177" i="41"/>
  <c r="E27" i="28"/>
  <c r="E29" i="28" s="1"/>
  <c r="M271" i="1"/>
  <c r="M275" i="1" s="1"/>
  <c r="M278" i="1" s="1"/>
  <c r="Q97" i="26"/>
  <c r="E145" i="29"/>
  <c r="H11" i="2"/>
  <c r="E40" i="28" s="1"/>
  <c r="K221" i="2"/>
  <c r="M221" i="2" s="1"/>
  <c r="M223" i="2" s="1"/>
  <c r="M224" i="2" s="1"/>
  <c r="M225" i="2" s="1"/>
  <c r="M147" i="2"/>
  <c r="K239" i="4"/>
  <c r="M239" i="4" s="1"/>
  <c r="M241" i="4" s="1"/>
  <c r="M242" i="4" s="1"/>
  <c r="M243" i="4" s="1"/>
  <c r="O147" i="4"/>
  <c r="H13" i="4"/>
  <c r="E98" i="28" s="1"/>
  <c r="E48" i="29"/>
  <c r="E49" i="29" s="1"/>
  <c r="M159" i="21"/>
  <c r="M178" i="41"/>
  <c r="K245" i="41"/>
  <c r="M245" i="41" s="1"/>
  <c r="H13" i="2"/>
  <c r="E42" i="28" s="1"/>
  <c r="K239" i="2"/>
  <c r="M239" i="2" s="1"/>
  <c r="M241" i="2" s="1"/>
  <c r="M242" i="2" s="1"/>
  <c r="M243" i="2" s="1"/>
  <c r="O147" i="2"/>
  <c r="H108" i="40"/>
  <c r="K188" i="40"/>
  <c r="H110" i="40"/>
  <c r="P109" i="40"/>
  <c r="H9" i="40"/>
  <c r="E43" i="50" s="1"/>
  <c r="J110" i="40"/>
  <c r="H109" i="40"/>
  <c r="O105" i="26"/>
  <c r="H17" i="4"/>
  <c r="E102" i="28" s="1"/>
  <c r="M151" i="4"/>
  <c r="K228" i="4"/>
  <c r="M228" i="4" s="1"/>
  <c r="M230" i="4" s="1"/>
  <c r="M231" i="4" s="1"/>
  <c r="M232" i="4" s="1"/>
  <c r="E26" i="29"/>
  <c r="E28" i="29" s="1"/>
  <c r="M124" i="5"/>
  <c r="K245" i="38"/>
  <c r="M245" i="38" s="1"/>
  <c r="M178" i="38"/>
  <c r="K256" i="38"/>
  <c r="M256" i="38" s="1"/>
  <c r="M257" i="38" s="1"/>
  <c r="M258" i="38" s="1"/>
  <c r="M259" i="38" s="1"/>
  <c r="M189" i="38"/>
  <c r="M190" i="38" s="1"/>
  <c r="M191" i="38" s="1"/>
  <c r="M192" i="38" s="1"/>
  <c r="H17" i="2"/>
  <c r="E46" i="28" s="1"/>
  <c r="M151" i="2"/>
  <c r="K228" i="2"/>
  <c r="M228" i="2" s="1"/>
  <c r="M230" i="2" s="1"/>
  <c r="M231" i="2" s="1"/>
  <c r="M232" i="2" s="1"/>
  <c r="M177" i="38"/>
  <c r="K244" i="38"/>
  <c r="M244" i="38" s="1"/>
  <c r="E146" i="29"/>
  <c r="Q107" i="26" l="1"/>
  <c r="M111" i="26" s="1"/>
  <c r="F43" i="50"/>
  <c r="M247" i="41"/>
  <c r="M248" i="41" s="1"/>
  <c r="M249" i="41" s="1"/>
  <c r="O107" i="26"/>
  <c r="R107" i="26" s="1"/>
  <c r="M115" i="26"/>
  <c r="M114" i="26"/>
  <c r="L28" i="4"/>
  <c r="M276" i="4" s="1"/>
  <c r="M128" i="5"/>
  <c r="M127" i="5"/>
  <c r="E20" i="93"/>
  <c r="F49" i="29"/>
  <c r="F96" i="28"/>
  <c r="H104" i="97"/>
  <c r="F102" i="28"/>
  <c r="H110" i="97"/>
  <c r="K178" i="40"/>
  <c r="H12" i="40"/>
  <c r="E46" i="50" s="1"/>
  <c r="N109" i="40"/>
  <c r="N110" i="40"/>
  <c r="H13" i="40"/>
  <c r="E47" i="50" s="1"/>
  <c r="K179" i="40"/>
  <c r="H106" i="97"/>
  <c r="F98" i="28"/>
  <c r="M252" i="2"/>
  <c r="M257" i="2" s="1"/>
  <c r="M282" i="1"/>
  <c r="M281" i="1"/>
  <c r="M247" i="38"/>
  <c r="M248" i="38" s="1"/>
  <c r="M249" i="38" s="1"/>
  <c r="H48" i="97"/>
  <c r="F46" i="28"/>
  <c r="E19" i="93"/>
  <c r="F28" i="29"/>
  <c r="P110" i="40"/>
  <c r="H10" i="40"/>
  <c r="E44" i="50" s="1"/>
  <c r="K189" i="40"/>
  <c r="M188" i="40"/>
  <c r="K260" i="40"/>
  <c r="F42" i="28"/>
  <c r="H44" i="97"/>
  <c r="H42" i="97"/>
  <c r="F40" i="28"/>
  <c r="F29" i="28"/>
  <c r="E28" i="93"/>
  <c r="F104" i="28"/>
  <c r="H112" i="97"/>
  <c r="M252" i="4"/>
  <c r="M257" i="4" s="1"/>
  <c r="M180" i="38"/>
  <c r="M181" i="38" s="1"/>
  <c r="M182" i="38" s="1"/>
  <c r="M194" i="38" s="1"/>
  <c r="M216" i="38" s="1"/>
  <c r="H11" i="40"/>
  <c r="E45" i="50" s="1"/>
  <c r="N108" i="40"/>
  <c r="K177" i="40"/>
  <c r="M163" i="21"/>
  <c r="M162" i="21"/>
  <c r="E147" i="29"/>
  <c r="M180" i="41"/>
  <c r="M181" i="41" s="1"/>
  <c r="M182" i="41" s="1"/>
  <c r="M194" i="41" s="1"/>
  <c r="M216" i="41" s="1"/>
  <c r="F48" i="28"/>
  <c r="H50" i="97"/>
  <c r="F46" i="50" l="1"/>
  <c r="F44" i="50"/>
  <c r="M261" i="38"/>
  <c r="M283" i="38" s="1"/>
  <c r="F47" i="50"/>
  <c r="F45" i="50"/>
  <c r="M261" i="41"/>
  <c r="M283" i="41" s="1"/>
  <c r="K251" i="40"/>
  <c r="M179" i="40"/>
  <c r="G20" i="93"/>
  <c r="F20" i="93"/>
  <c r="T260" i="40"/>
  <c r="M260" i="40"/>
  <c r="F19" i="93"/>
  <c r="G19" i="93"/>
  <c r="E53" i="28"/>
  <c r="E55" i="28" s="1"/>
  <c r="M271" i="2"/>
  <c r="M275" i="2" s="1"/>
  <c r="K250" i="40"/>
  <c r="M178" i="40"/>
  <c r="E112" i="28"/>
  <c r="E93" i="50"/>
  <c r="E95" i="50" s="1"/>
  <c r="E97" i="50" s="1"/>
  <c r="M218" i="41"/>
  <c r="M223" i="41" s="1"/>
  <c r="M228" i="41" s="1"/>
  <c r="K249" i="40"/>
  <c r="M177" i="40"/>
  <c r="E29" i="50"/>
  <c r="E31" i="50" s="1"/>
  <c r="E34" i="50" s="1"/>
  <c r="M218" i="38"/>
  <c r="M223" i="38" s="1"/>
  <c r="M228" i="38" s="1"/>
  <c r="E25" i="93"/>
  <c r="F147" i="29"/>
  <c r="M271" i="4"/>
  <c r="M275" i="4" s="1"/>
  <c r="E109" i="28"/>
  <c r="E111" i="28" s="1"/>
  <c r="F28" i="93"/>
  <c r="G28" i="93"/>
  <c r="M189" i="40"/>
  <c r="M190" i="40" s="1"/>
  <c r="M191" i="40" s="1"/>
  <c r="M192" i="40" s="1"/>
  <c r="K261" i="40"/>
  <c r="M285" i="41" l="1"/>
  <c r="L27" i="4" s="1"/>
  <c r="M277" i="4" s="1"/>
  <c r="M285" i="38"/>
  <c r="L27" i="2" s="1"/>
  <c r="M277" i="2" s="1"/>
  <c r="M278" i="2" s="1"/>
  <c r="M180" i="40"/>
  <c r="M181" i="40" s="1"/>
  <c r="M182" i="40" s="1"/>
  <c r="M194" i="40" s="1"/>
  <c r="M216" i="40" s="1"/>
  <c r="M221" i="40" s="1"/>
  <c r="F34" i="50"/>
  <c r="E43" i="93"/>
  <c r="F97" i="50"/>
  <c r="E45" i="93"/>
  <c r="T250" i="40"/>
  <c r="AF250" i="40" s="1"/>
  <c r="M250" i="40"/>
  <c r="U250" i="40" s="1"/>
  <c r="F25" i="93"/>
  <c r="G25" i="93"/>
  <c r="U260" i="40"/>
  <c r="M261" i="40"/>
  <c r="U261" i="40" s="1"/>
  <c r="T261" i="40"/>
  <c r="AF261" i="40" s="1"/>
  <c r="M249" i="40"/>
  <c r="T249" i="40"/>
  <c r="E113" i="28"/>
  <c r="AF260" i="40"/>
  <c r="M278" i="4"/>
  <c r="M232" i="38"/>
  <c r="M231" i="38"/>
  <c r="M231" i="41"/>
  <c r="M232" i="41"/>
  <c r="M251" i="40"/>
  <c r="U251" i="40" s="1"/>
  <c r="T251" i="40"/>
  <c r="AF251" i="40" s="1"/>
  <c r="E56" i="28" l="1"/>
  <c r="E57" i="28" s="1"/>
  <c r="T262" i="40"/>
  <c r="T263" i="40" s="1"/>
  <c r="AF263" i="40" s="1"/>
  <c r="M262" i="40"/>
  <c r="M281" i="4"/>
  <c r="M282" i="4"/>
  <c r="E29" i="93"/>
  <c r="F57" i="28"/>
  <c r="M281" i="2"/>
  <c r="M282" i="2"/>
  <c r="AG250" i="40"/>
  <c r="AH250" i="40" s="1"/>
  <c r="V250" i="40"/>
  <c r="AC250" i="40" s="1"/>
  <c r="F43" i="93"/>
  <c r="G43" i="93"/>
  <c r="E31" i="93"/>
  <c r="F113" i="28"/>
  <c r="M263" i="40"/>
  <c r="U263" i="40" s="1"/>
  <c r="V251" i="40"/>
  <c r="AC251" i="40" s="1"/>
  <c r="AG251" i="40"/>
  <c r="AH251" i="40" s="1"/>
  <c r="AF249" i="40"/>
  <c r="T252" i="40"/>
  <c r="T269" i="40"/>
  <c r="T270" i="40" s="1"/>
  <c r="U262" i="40"/>
  <c r="V260" i="40"/>
  <c r="AC260" i="40" s="1"/>
  <c r="AG260" i="40"/>
  <c r="AH260" i="40" s="1"/>
  <c r="F45" i="93"/>
  <c r="G45" i="93"/>
  <c r="AF262" i="40"/>
  <c r="M252" i="40"/>
  <c r="U249" i="40"/>
  <c r="V261" i="40"/>
  <c r="AC261" i="40" s="1"/>
  <c r="AG261" i="40"/>
  <c r="AH261" i="40" s="1"/>
  <c r="M223" i="40"/>
  <c r="M228" i="40" s="1"/>
  <c r="M233" i="40" s="1"/>
  <c r="E60" i="50"/>
  <c r="E62" i="50" s="1"/>
  <c r="E67" i="50" s="1"/>
  <c r="T264" i="40" l="1"/>
  <c r="AF264" i="40" s="1"/>
  <c r="M264" i="40"/>
  <c r="U252" i="40"/>
  <c r="V249" i="40"/>
  <c r="AG249" i="40"/>
  <c r="AG269" i="40" s="1"/>
  <c r="AG270" i="40" s="1"/>
  <c r="U269" i="40"/>
  <c r="U270" i="40" s="1"/>
  <c r="AF269" i="40"/>
  <c r="AF270" i="40" s="1"/>
  <c r="M253" i="40"/>
  <c r="U253" i="40" s="1"/>
  <c r="V262" i="40"/>
  <c r="AG262" i="40"/>
  <c r="AH262" i="40" s="1"/>
  <c r="U264" i="40"/>
  <c r="AG264" i="40" s="1"/>
  <c r="AH264" i="40" s="1"/>
  <c r="AG263" i="40"/>
  <c r="AH263" i="40" s="1"/>
  <c r="V263" i="40"/>
  <c r="AC263" i="40" s="1"/>
  <c r="G29" i="93"/>
  <c r="F29" i="93"/>
  <c r="F67" i="50"/>
  <c r="E44" i="93"/>
  <c r="M236" i="40"/>
  <c r="M237" i="40"/>
  <c r="T253" i="40"/>
  <c r="AF253" i="40" s="1"/>
  <c r="AF252" i="40"/>
  <c r="G31" i="93"/>
  <c r="F31" i="93"/>
  <c r="AH249" i="40" l="1"/>
  <c r="AH269" i="40" s="1"/>
  <c r="AH270" i="40" s="1"/>
  <c r="F44" i="93"/>
  <c r="G44" i="93"/>
  <c r="M254" i="40"/>
  <c r="AC249" i="40"/>
  <c r="V269" i="40"/>
  <c r="AG253" i="40"/>
  <c r="AH253" i="40" s="1"/>
  <c r="V253" i="40"/>
  <c r="AC253" i="40" s="1"/>
  <c r="U254" i="40"/>
  <c r="AG252" i="40"/>
  <c r="AH252" i="40" s="1"/>
  <c r="V252" i="40"/>
  <c r="T254" i="40"/>
  <c r="AC262" i="40"/>
  <c r="V264" i="40"/>
  <c r="AC264" i="40" s="1"/>
  <c r="M266" i="40" l="1"/>
  <c r="M288" i="40" s="1"/>
  <c r="AF254" i="40"/>
  <c r="T266" i="40"/>
  <c r="AF266" i="40" s="1"/>
  <c r="AG254" i="40"/>
  <c r="U266" i="40"/>
  <c r="AG266" i="40" s="1"/>
  <c r="V254" i="40"/>
  <c r="AC252" i="40"/>
  <c r="V270" i="40"/>
  <c r="AC270" i="40" s="1"/>
  <c r="AC269" i="40"/>
  <c r="M290" i="40" l="1"/>
  <c r="L27" i="3" s="1"/>
  <c r="V266" i="40"/>
  <c r="AC254" i="40"/>
  <c r="AH254" i="40"/>
  <c r="M277" i="3" l="1"/>
  <c r="M129" i="3"/>
  <c r="M130" i="3" s="1"/>
  <c r="I130" i="3" s="1"/>
  <c r="I132" i="3" s="1"/>
  <c r="AH266" i="40"/>
  <c r="AC266" i="40"/>
  <c r="H151" i="3" l="1"/>
  <c r="J150" i="3"/>
  <c r="J146" i="3"/>
  <c r="H150" i="3"/>
  <c r="H147" i="3"/>
  <c r="J147" i="3"/>
  <c r="J151" i="3"/>
  <c r="H146" i="3"/>
  <c r="E84" i="28"/>
  <c r="M146" i="3" l="1"/>
  <c r="K221" i="3"/>
  <c r="M221" i="3" s="1"/>
  <c r="K228" i="3"/>
  <c r="M228" i="3" s="1"/>
  <c r="M150" i="3"/>
  <c r="K247" i="3"/>
  <c r="M247" i="3" s="1"/>
  <c r="H19" i="3"/>
  <c r="E76" i="28" s="1"/>
  <c r="O151" i="3"/>
  <c r="O146" i="3"/>
  <c r="K239" i="3"/>
  <c r="M239" i="3" s="1"/>
  <c r="H13" i="3"/>
  <c r="E70" i="28" s="1"/>
  <c r="K240" i="3"/>
  <c r="M240" i="3" s="1"/>
  <c r="O147" i="3"/>
  <c r="K246" i="3"/>
  <c r="M246" i="3" s="1"/>
  <c r="M248" i="3" s="1"/>
  <c r="M249" i="3" s="1"/>
  <c r="M250" i="3" s="1"/>
  <c r="O150" i="3"/>
  <c r="M147" i="3"/>
  <c r="H11" i="3"/>
  <c r="E68" i="28" s="1"/>
  <c r="K222" i="3"/>
  <c r="M222" i="3" s="1"/>
  <c r="K229" i="3"/>
  <c r="M229" i="3" s="1"/>
  <c r="H17" i="3"/>
  <c r="E74" i="28" s="1"/>
  <c r="M151" i="3"/>
  <c r="H81" i="97" l="1"/>
  <c r="F76" i="28"/>
  <c r="F68" i="28"/>
  <c r="H73" i="97"/>
  <c r="M241" i="3"/>
  <c r="M242" i="3" s="1"/>
  <c r="M243" i="3" s="1"/>
  <c r="M230" i="3"/>
  <c r="M231" i="3" s="1"/>
  <c r="M232" i="3" s="1"/>
  <c r="H79" i="97"/>
  <c r="F74" i="28"/>
  <c r="H75" i="97"/>
  <c r="F70" i="28"/>
  <c r="M223" i="3"/>
  <c r="M224" i="3" s="1"/>
  <c r="M225" i="3" s="1"/>
  <c r="M252" i="3" l="1"/>
  <c r="M257" i="3" s="1"/>
  <c r="M271" i="3" l="1"/>
  <c r="M275" i="3" s="1"/>
  <c r="E81" i="28"/>
  <c r="E83" i="28" s="1"/>
  <c r="E85" i="28" s="1"/>
  <c r="E30" i="93" l="1"/>
  <c r="F85" i="28"/>
  <c r="M278" i="3"/>
  <c r="M282" i="3" l="1"/>
  <c r="M281" i="3"/>
  <c r="F30" i="93"/>
  <c r="G30" i="9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B4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Confirmed with Bill on 12/20/18
</t>
        </r>
      </text>
    </comment>
    <comment ref="G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Provision D (Customer Charge * 0.5)</t>
        </r>
      </text>
    </comment>
    <comment ref="I4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From the Customer ChargeRate Design</t>
        </r>
      </text>
    </comment>
    <comment ref="C5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Increase from the initial Filing</t>
        </r>
      </text>
    </comment>
    <comment ref="D8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Calculated based on the HY proportion of SC1 Rate III to the total SC1 customer.</t>
        </r>
      </text>
    </comment>
    <comment ref="F87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Calculated based on the HY proportion of SC2 Unmetered customer to the total SC2 Rate I customer.</t>
        </r>
      </text>
    </comment>
    <comment ref="G8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Calculated based on the HY proportion of SC2 Unmetered Provision D customer to the total SC2 Rate I customer.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84" authorId="0" shapeId="0" xr:uid="{00000000-0006-0000-29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4" authorId="0" shapeId="0" xr:uid="{00000000-0006-0000-2900-000002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85" authorId="0" shapeId="0" xr:uid="{00000000-0006-0000-2900-000003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88" authorId="0" shapeId="0" xr:uid="{00000000-0006-0000-2900-000004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8" authorId="0" shapeId="0" xr:uid="{00000000-0006-0000-2900-000005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89" authorId="0" shapeId="0" xr:uid="{00000000-0006-0000-2900-000006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9" authorId="0" shapeId="0" xr:uid="{00000000-0006-0000-2900-000007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95" authorId="0" shapeId="0" xr:uid="{00000000-0006-0000-2900-000008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95" authorId="0" shapeId="0" xr:uid="{00000000-0006-0000-2900-000009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96" authorId="0" shapeId="0" xr:uid="{00000000-0006-0000-2900-00000A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99" authorId="0" shapeId="0" xr:uid="{00000000-0006-0000-2900-00000B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99" authorId="0" shapeId="0" xr:uid="{00000000-0006-0000-2900-00000C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100" authorId="0" shapeId="0" xr:uid="{00000000-0006-0000-2900-00000D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100" authorId="0" shapeId="0" xr:uid="{00000000-0006-0000-2900-00000E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M130" authorId="0" shapeId="0" xr:uid="{00000000-0006-0000-2900-00000F000000}">
      <text>
        <r>
          <rPr>
            <b/>
            <sz val="9"/>
            <color indexed="81"/>
            <rFont val="Tahoma"/>
            <family val="2"/>
          </rPr>
          <t xml:space="preserve">From Last Case:
revenue undercollected from Rate III customers is going to be collected through Rate I due to the methodology used for rate design of Rate III which is revenue neutral to the entire Rate I and III customers.  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O224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Orig using annual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C54" authorId="0" shapeId="0" xr:uid="{00000000-0006-0000-3A00-000001000000}">
      <text>
        <r>
          <rPr>
            <b/>
            <sz val="9"/>
            <color indexed="81"/>
            <rFont val="Tahoma"/>
            <family val="2"/>
          </rPr>
          <t>Furnishing &amp; Maintaining Control Equipment Charge ($/Calendar Month)</t>
        </r>
      </text>
    </comment>
    <comment ref="C56" authorId="0" shapeId="0" xr:uid="{00000000-0006-0000-3A00-000002000000}">
      <text>
        <r>
          <rPr>
            <b/>
            <sz val="9"/>
            <color indexed="81"/>
            <rFont val="Tahoma"/>
            <family val="2"/>
          </rPr>
          <t>Service Connection &amp; Gong or Signal Circuit - For Service Connection</t>
        </r>
      </text>
    </comment>
    <comment ref="C57" authorId="0" shapeId="0" xr:uid="{00000000-0006-0000-3A00-000003000000}">
      <text>
        <r>
          <rPr>
            <b/>
            <sz val="9"/>
            <color indexed="81"/>
            <rFont val="Tahoma"/>
            <family val="2"/>
          </rPr>
          <t>Service Connection &amp; Gong or Signal Circuit - For Each Gong or Signal Circuit or Combination of Gong or Signal Circuits &lt; 125 milliamperes</t>
        </r>
      </text>
    </comment>
    <comment ref="C58" authorId="0" shapeId="0" xr:uid="{00000000-0006-0000-3A00-000004000000}">
      <text>
        <r>
          <rPr>
            <b/>
            <sz val="9"/>
            <color indexed="81"/>
            <rFont val="Tahoma"/>
            <family val="2"/>
          </rPr>
          <t>Service Connection &amp; Gong or Signal Circuit - For Each Additional 125 Milliamperes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A11" authorId="0" shapeId="0" xr:uid="{00000000-0006-0000-3B00-000001000000}">
      <text>
        <r>
          <rPr>
            <b/>
            <sz val="9"/>
            <color indexed="81"/>
            <rFont val="Tahoma"/>
            <family val="2"/>
          </rPr>
          <t>mA = Milliamperes</t>
        </r>
      </text>
    </comment>
    <comment ref="A15" authorId="0" shapeId="0" xr:uid="{00000000-0006-0000-3B00-000002000000}">
      <text>
        <r>
          <rPr>
            <b/>
            <sz val="9"/>
            <color indexed="81"/>
            <rFont val="Tahoma"/>
            <family val="2"/>
          </rPr>
          <t>mA = Milliamperes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A8" authorId="0" shapeId="0" xr:uid="{00000000-0006-0000-3E00-000001000000}">
      <text>
        <r>
          <rPr>
            <b/>
            <sz val="9"/>
            <color indexed="81"/>
            <rFont val="Tahoma"/>
            <family val="2"/>
          </rPr>
          <t>Furnishing &amp; Maintaining Control Equipment Charge ($/Calendar Month)</t>
        </r>
      </text>
    </comment>
    <comment ref="A10" authorId="0" shapeId="0" xr:uid="{00000000-0006-0000-3E00-000002000000}">
      <text>
        <r>
          <rPr>
            <b/>
            <sz val="9"/>
            <color indexed="81"/>
            <rFont val="Tahoma"/>
            <family val="2"/>
          </rPr>
          <t>Service Connection &amp; Gong or Signal Circuit - For Service Connection</t>
        </r>
      </text>
    </comment>
    <comment ref="A11" authorId="0" shapeId="0" xr:uid="{00000000-0006-0000-3E00-000003000000}">
      <text>
        <r>
          <rPr>
            <b/>
            <sz val="9"/>
            <color indexed="81"/>
            <rFont val="Tahoma"/>
            <family val="2"/>
          </rPr>
          <t>Service Connection &amp; Gong or Signal Circuit - For Each Gong or Signal Circuit or Combination of Gong or Signal Circuits &lt; 125 milliamperes</t>
        </r>
      </text>
    </comment>
    <comment ref="A12" authorId="0" shapeId="0" xr:uid="{00000000-0006-0000-3E00-000004000000}">
      <text>
        <r>
          <rPr>
            <b/>
            <sz val="9"/>
            <color indexed="81"/>
            <rFont val="Tahoma"/>
            <family val="2"/>
          </rPr>
          <t>Service Connection &amp; Gong or Signal Circuit - For Each Additional 125 Milliamperes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65" authorId="0" shapeId="0" xr:uid="{00000000-0006-0000-41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69" authorId="0" shapeId="0" xr:uid="{00000000-0006-0000-4100-000002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69" authorId="0" shapeId="0" xr:uid="{00000000-0006-0000-4100-000003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76" authorId="0" shapeId="0" xr:uid="{00000000-0006-0000-4100-000004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80" authorId="0" shapeId="0" xr:uid="{00000000-0006-0000-4100-000005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0" authorId="0" shapeId="0" xr:uid="{00000000-0006-0000-4100-000006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65" authorId="0" shapeId="0" xr:uid="{00000000-0006-0000-42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69" authorId="0" shapeId="0" xr:uid="{00000000-0006-0000-4200-000002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69" authorId="0" shapeId="0" xr:uid="{00000000-0006-0000-4200-000003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76" authorId="0" shapeId="0" xr:uid="{00000000-0006-0000-4200-000004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80" authorId="0" shapeId="0" xr:uid="{00000000-0006-0000-4200-000005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0" authorId="0" shapeId="0" xr:uid="{00000000-0006-0000-4200-000006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64" authorId="0" shapeId="0" xr:uid="{00000000-0006-0000-43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64" authorId="0" shapeId="0" xr:uid="{00000000-0006-0000-4300-000002000000}">
      <text>
        <r>
          <rPr>
            <sz val="9"/>
            <color indexed="81"/>
            <rFont val="Tahoma"/>
            <family val="2"/>
          </rPr>
          <t>(LT) Winter vs. (LT) Winter</t>
        </r>
      </text>
    </comment>
    <comment ref="L65" authorId="0" shapeId="0" xr:uid="{00000000-0006-0000-4300-000003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68" authorId="0" shapeId="0" xr:uid="{00000000-0006-0000-4300-000004000000}">
      <text>
        <r>
          <rPr>
            <sz val="9"/>
            <color indexed="81"/>
            <rFont val="Tahoma"/>
            <family val="2"/>
          </rPr>
          <t>(HT) Summer vs. (LT) Winter</t>
        </r>
      </text>
    </comment>
    <comment ref="N68" authorId="0" shapeId="0" xr:uid="{00000000-0006-0000-4300-000005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69" authorId="0" shapeId="0" xr:uid="{00000000-0006-0000-4300-000006000000}">
      <text>
        <r>
          <rPr>
            <sz val="9"/>
            <color indexed="81"/>
            <rFont val="Tahoma"/>
            <family val="2"/>
          </rPr>
          <t>(HT Summer vs. (LT) Winter</t>
        </r>
      </text>
    </comment>
    <comment ref="N69" authorId="0" shapeId="0" xr:uid="{00000000-0006-0000-4300-000007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75" authorId="0" shapeId="0" xr:uid="{00000000-0006-0000-4300-000008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75" authorId="0" shapeId="0" xr:uid="{00000000-0006-0000-4300-000009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76" authorId="0" shapeId="0" xr:uid="{00000000-0006-0000-4300-00000A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79" authorId="0" shapeId="0" xr:uid="{00000000-0006-0000-4300-00000B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79" authorId="0" shapeId="0" xr:uid="{00000000-0006-0000-4300-00000C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80" authorId="0" shapeId="0" xr:uid="{00000000-0006-0000-4300-00000D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0" authorId="0" shapeId="0" xr:uid="{00000000-0006-0000-4300-00000E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65" authorId="0" shapeId="0" xr:uid="{00000000-0006-0000-44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69" authorId="0" shapeId="0" xr:uid="{00000000-0006-0000-4400-000002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69" authorId="0" shapeId="0" xr:uid="{00000000-0006-0000-4400-000003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  <comment ref="L76" authorId="0" shapeId="0" xr:uid="{00000000-0006-0000-4400-000004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80" authorId="0" shapeId="0" xr:uid="{00000000-0006-0000-4400-000005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0" authorId="0" shapeId="0" xr:uid="{00000000-0006-0000-4400-000006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E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='[3_Cal_RateDesign.xlsx]5A.)RevAllocation'!$V$54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D1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Confirm with Bill on 12/20/18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E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Unadjusted Sales w.EDB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D10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Input name here (need to match the options from the datainput table)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O8" authorId="0" shapeId="0" xr:uid="{00000000-0006-0000-1100-000001000000}">
      <text>
        <r>
          <rPr>
            <sz val="9"/>
            <color indexed="81"/>
            <rFont val="Tahoma"/>
            <family val="2"/>
          </rPr>
          <t xml:space="preserve">Equal to or Above Set Absolute Percentage Point.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K14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Using Annual EDB Factor for NYPA in the Orig File.</t>
        </r>
      </text>
    </comment>
    <comment ref="K161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Using Annual EDB Factor for NYPA in the Orig File.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J14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Incl. Unmeter Rev</t>
        </r>
      </text>
    </comment>
    <comment ref="L24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Add EDB Adj for Energy Rev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Sung, Sherry</author>
  </authors>
  <commentList>
    <comment ref="L85" authorId="0" shapeId="0" xr:uid="{00000000-0006-0000-2800-000001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L89" authorId="0" shapeId="0" xr:uid="{00000000-0006-0000-2800-000002000000}">
      <text>
        <r>
          <rPr>
            <sz val="9"/>
            <color indexed="81"/>
            <rFont val="Tahoma"/>
            <family val="2"/>
          </rPr>
          <t>(LT) Summer vs. (LT) Winter</t>
        </r>
      </text>
    </comment>
    <comment ref="N89" authorId="0" shapeId="0" xr:uid="{00000000-0006-0000-2800-000003000000}">
      <text>
        <r>
          <rPr>
            <sz val="9"/>
            <color indexed="81"/>
            <rFont val="Tahoma"/>
            <family val="2"/>
          </rPr>
          <t>(HT) Winter vs. (LT) Winter</t>
        </r>
      </text>
    </comment>
  </commentList>
</comments>
</file>

<file path=xl/sharedStrings.xml><?xml version="1.0" encoding="utf-8"?>
<sst xmlns="http://schemas.openxmlformats.org/spreadsheetml/2006/main" count="15472" uniqueCount="2316">
  <si>
    <t>Variation %</t>
  </si>
  <si>
    <t>Variation</t>
  </si>
  <si>
    <t>Target Revenue</t>
  </si>
  <si>
    <t>T&amp;D Revenue Price-Out at Proposed Rates - Energy Only</t>
  </si>
  <si>
    <t>T&amp;D Revenue Price-Out at Proposed Rates - Rate I</t>
  </si>
  <si>
    <t>Proposed Rates:</t>
  </si>
  <si>
    <t>Revenue</t>
  </si>
  <si>
    <t>(Winter)</t>
  </si>
  <si>
    <t>HT</t>
  </si>
  <si>
    <t>LT</t>
  </si>
  <si>
    <t>(Summer)</t>
  </si>
  <si>
    <t>Proposed Rates</t>
  </si>
  <si>
    <t>kWhr</t>
  </si>
  <si>
    <t>Energy Charge</t>
  </si>
  <si>
    <t>Price-out</t>
  </si>
  <si>
    <t>Combined T&amp;D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</si>
  <si>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Non-Competitive Rate Change for Standby (Incl.EDB)</t>
    </r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</si>
  <si>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Standby Phase-in &amp; Full Charge @Current Rate (Incl. EDB)</t>
    </r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</si>
  <si>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Non-Competitive Rate Change for MMC &amp; ECO DEV Discount (Incl. EDB)</t>
    </r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</si>
  <si>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MMC &amp; ECO DEV Discount @Current Rate (Incl. EDB)</t>
    </r>
  </si>
  <si>
    <t>Total Annual Demand Charge Incl EDB</t>
  </si>
  <si>
    <t>Px-Out Rev Incl EDB:</t>
  </si>
  <si>
    <t>EDB Adj Rev:</t>
  </si>
  <si>
    <t>EDB Ftr:</t>
  </si>
  <si>
    <t>Demand Charge (Winter)</t>
  </si>
  <si>
    <t>kW</t>
  </si>
  <si>
    <t>Bills</t>
  </si>
  <si>
    <t>Demand Charge (Summer)</t>
  </si>
  <si>
    <t>E.) Proposed T&amp;D Revenue Price-Out at Proposed Rates</t>
  </si>
  <si>
    <t>Proposed T&amp;D Rates - Energy</t>
  </si>
  <si>
    <t>(d7)</t>
  </si>
  <si>
    <t>=</t>
  </si>
  <si>
    <t>X</t>
  </si>
  <si>
    <t>Proposed Block 2 Demand Rev</t>
  </si>
  <si>
    <t>HT Demand_Blk2 (Winter)</t>
  </si>
  <si>
    <t>HT Demand_Blk2 (Summer)</t>
  </si>
  <si>
    <t>LT Demand_Blk2 (Winter)</t>
  </si>
  <si>
    <t>LT Demand_Blk2 (Summer)</t>
  </si>
  <si>
    <t>Calculation for Winter LI Demand Rate (X)</t>
  </si>
  <si>
    <t>*</t>
  </si>
  <si>
    <t>Winter</t>
  </si>
  <si>
    <t>High Tension (HT)</t>
  </si>
  <si>
    <t>Summer</t>
  </si>
  <si>
    <t>Low Tension (LT)</t>
  </si>
  <si>
    <t>kWh</t>
  </si>
  <si>
    <t>Energy Revenue</t>
  </si>
  <si>
    <t>Rate Design Equation for Energy Rates</t>
  </si>
  <si>
    <t>(d4)</t>
  </si>
  <si>
    <t>(d3)</t>
  </si>
  <si>
    <t>(d2)</t>
  </si>
  <si>
    <t>(d1)</t>
  </si>
  <si>
    <t>Current Energy Rates</t>
  </si>
  <si>
    <t>Energy Revenue Requirement</t>
  </si>
  <si>
    <t>(d5)</t>
  </si>
  <si>
    <t>Energy Revenue at Current Rate Level Excl. EDB</t>
  </si>
  <si>
    <t>Rate Development for Energy Rates</t>
  </si>
  <si>
    <t>D.) Calculation of Relationships in Current Energy Rates to be Used in Rate Design Equations</t>
  </si>
  <si>
    <t>% Change</t>
  </si>
  <si>
    <t>Proposed T&amp;D Rates - Demand</t>
  </si>
  <si>
    <t>Current T&amp;D Rates</t>
  </si>
  <si>
    <t>(b10)</t>
  </si>
  <si>
    <t xml:space="preserve">Rate I </t>
  </si>
  <si>
    <t>)</t>
  </si>
  <si>
    <t>X + (</t>
  </si>
  <si>
    <t>HT Demand_Blk3 (Winter)</t>
  </si>
  <si>
    <t>HT Demand_Blk3 (Summer)</t>
  </si>
  <si>
    <t>LT Demand_Blk3 (Winter)</t>
  </si>
  <si>
    <t>LT Demand_Blk3 (Summer)</t>
  </si>
  <si>
    <t>Total Variation from Winter LT</t>
  </si>
  <si>
    <t>Demand Revenue</t>
  </si>
  <si>
    <t>Rate Design Equation for Demand Rates</t>
  </si>
  <si>
    <t>(a11)=(a3)*(a8)</t>
  </si>
  <si>
    <t>(a10)=(a2)*(a8)</t>
  </si>
  <si>
    <t>High Tension (HT) - Blk 2</t>
  </si>
  <si>
    <t>(a9)=(a1)*(a8)</t>
  </si>
  <si>
    <t>Low Tension (LT) - Blk 2</t>
  </si>
  <si>
    <t>Variation From Winter LT (w.Increase %)</t>
  </si>
  <si>
    <t>Rate Components:</t>
  </si>
  <si>
    <t>(a2)</t>
  </si>
  <si>
    <t>(a1)</t>
  </si>
  <si>
    <t xml:space="preserve">Block Limit - kW </t>
  </si>
  <si>
    <t>Variation From Winter LT</t>
  </si>
  <si>
    <t>Current Redesigned Demand Rate</t>
  </si>
  <si>
    <t>C.) Calculation of Relationships in Current Demand Rates to be Used in Rate Design Equations</t>
  </si>
  <si>
    <t>Proposed % Increase for Blk 2</t>
  </si>
  <si>
    <t>Demand Revenue in Remaining Blocks at Proposed Level</t>
  </si>
  <si>
    <t>(w.5%)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</si>
  <si>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Demand Minimum Charge Revenue at Proposed Rates</t>
    </r>
  </si>
  <si>
    <t>Shifting Demand Rev (Excl. EDB)</t>
  </si>
  <si>
    <t>(Incl. 5%)</t>
  </si>
  <si>
    <t>Proposed Level Demand Charge (Excl. EDB) - w.Adjusted Rate Change</t>
  </si>
  <si>
    <t>Proposed Rate Change w.Adj (Excl. EDB)</t>
  </si>
  <si>
    <t>Bir Discount Adjustment @Current Rate (Excl. EDB)</t>
  </si>
  <si>
    <t>MMC Adjustment @ Current Rate (Excl. EDB)</t>
  </si>
  <si>
    <t>Revenue Adj for Standby  (Excl. EDB)</t>
  </si>
  <si>
    <t>Rate Change for: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</si>
  <si>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</t>
    </r>
  </si>
  <si>
    <t>Proposed Demand Rate Change (Excl. EDB)</t>
  </si>
  <si>
    <t>Demand Revenue in Remaining Blocks at Current Level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</si>
  <si>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Current Level Blk 1 Demand Charge (Excl. EDB)</t>
    </r>
  </si>
  <si>
    <t>(b5)</t>
  </si>
  <si>
    <t>(b4)</t>
  </si>
  <si>
    <t>Current Level Demand Charge (Excl. EDB)</t>
  </si>
  <si>
    <t>Proposed % Increase for Blk 2 Demand Rev with Rev Shifting:</t>
  </si>
  <si>
    <t>B.) Calcluation for the Block 2 Increase:</t>
  </si>
  <si>
    <t>Min Demand Rev with Shifting Rev at Proposed Level</t>
  </si>
  <si>
    <t>(c3)=(c1)*(c2)</t>
  </si>
  <si>
    <t>Min Demand Rev with Shifting Rev at Current Level</t>
  </si>
  <si>
    <t>(c2)</t>
  </si>
  <si>
    <t>(c1)</t>
  </si>
  <si>
    <t>Min Demand Rev at Current Rates Level</t>
  </si>
  <si>
    <t>Winter (HT)</t>
  </si>
  <si>
    <t>Summer (HT)</t>
  </si>
  <si>
    <t>Winter (LT)</t>
  </si>
  <si>
    <t>Summer (LT)</t>
  </si>
  <si>
    <t>Blk 1 Charge</t>
  </si>
  <si>
    <t>Blk 1 Rates</t>
  </si>
  <si>
    <t>Proposed % Increase for Blk 1</t>
  </si>
  <si>
    <t>Shifting Demand Rev (Incl. EDB)</t>
  </si>
  <si>
    <t>Current Level Demand Charge (Incl. EDB)</t>
  </si>
  <si>
    <t>Demand Rate Change (Incl. EDB)</t>
  </si>
  <si>
    <t>Proposed % Increase for Blk 1 Demand Rev with Rev Shifting:</t>
  </si>
  <si>
    <t>A.) Calcluation for the Block 1 Increase:</t>
  </si>
  <si>
    <t>Energy Rate Change:</t>
  </si>
  <si>
    <t>(Calculated from Rate III Rate Design)</t>
  </si>
  <si>
    <t>Rate III - T&amp;D Proposed:</t>
  </si>
  <si>
    <t>Rate III - T&amp;D Target:</t>
  </si>
  <si>
    <t>BIR Discount Adj</t>
  </si>
  <si>
    <t>MMD Adj:</t>
  </si>
  <si>
    <t>Current Level Energy Rev:</t>
  </si>
  <si>
    <t>Shifting Demand Rev:</t>
  </si>
  <si>
    <t>Current Level Demand Rev:</t>
  </si>
  <si>
    <t>Revenue Adj for Standby:</t>
  </si>
  <si>
    <t>Demand Rate Change:</t>
  </si>
  <si>
    <t>Excl. EDB</t>
  </si>
  <si>
    <t>Incl. EDB</t>
  </si>
  <si>
    <t xml:space="preserve">EDB Factor (Winter): </t>
  </si>
  <si>
    <t xml:space="preserve">EDB Factor (Summer): </t>
  </si>
  <si>
    <t>(b3)</t>
  </si>
  <si>
    <t xml:space="preserve">EDB Factor (Annual): </t>
  </si>
  <si>
    <t>Demand Revenue Shifting:</t>
  </si>
  <si>
    <t>&gt;</t>
  </si>
  <si>
    <t>Redesigned</t>
  </si>
  <si>
    <t>-</t>
  </si>
  <si>
    <t>Shift of 5%</t>
  </si>
  <si>
    <t>Shifting Option:</t>
  </si>
  <si>
    <t>Demand Increase</t>
  </si>
  <si>
    <t>Billing Determinants:</t>
  </si>
  <si>
    <t>SC5 Rate I</t>
  </si>
  <si>
    <t>SC9 Rate I</t>
  </si>
  <si>
    <t>Current Rates:</t>
  </si>
  <si>
    <t>SC8 Rate I</t>
  </si>
  <si>
    <t>Ratio of Winter &gt; 15,000 LT</t>
  </si>
  <si>
    <t xml:space="preserve">SC9 Rate III (Rate Change) w.EDB: </t>
  </si>
  <si>
    <t xml:space="preserve">SC9 Rate III (Rate Change): </t>
  </si>
  <si>
    <t>High Tension (HT) - Blk 3</t>
  </si>
  <si>
    <t>Low Tension (LT) - Blk 3</t>
  </si>
  <si>
    <t>SC12 Rate I</t>
  </si>
  <si>
    <t>Demand Rate Design</t>
  </si>
  <si>
    <t>Proposed Rate Change:</t>
  </si>
  <si>
    <t>SC1 Rate I</t>
  </si>
  <si>
    <t>Energy Rate Design</t>
  </si>
  <si>
    <t>SC1(LI) Rate I</t>
  </si>
  <si>
    <t>Cust Charge</t>
  </si>
  <si>
    <t>Low Income Discount</t>
  </si>
  <si>
    <t>(b1)</t>
  </si>
  <si>
    <t>(b2)</t>
  </si>
  <si>
    <t>SC8</t>
  </si>
  <si>
    <t>ECOS Unit Cost</t>
  </si>
  <si>
    <t>Current Demand Rate</t>
  </si>
  <si>
    <t>Current</t>
  </si>
  <si>
    <t>Unit Costs</t>
  </si>
  <si>
    <t>H/L Tension</t>
  </si>
  <si>
    <t>Costs Differential</t>
  </si>
  <si>
    <t>HT / LT</t>
  </si>
  <si>
    <t>%</t>
  </si>
  <si>
    <t>Tariff Rates</t>
  </si>
  <si>
    <t>(a5)</t>
  </si>
  <si>
    <t>(a6)</t>
  </si>
  <si>
    <t>(a7)=(a6)-(a5)</t>
  </si>
  <si>
    <t>(a4)=(a1) / (a2)</t>
  </si>
  <si>
    <t>(a3)=(a2)-(a1)</t>
  </si>
  <si>
    <t>(a8)=(a5)/(a6)</t>
  </si>
  <si>
    <t>(a9)=(a8)-(a4)</t>
  </si>
  <si>
    <t>Differentials for Rate Design</t>
  </si>
  <si>
    <t>% HT / LT</t>
  </si>
  <si>
    <t>HT-LT</t>
  </si>
  <si>
    <t>Differential</t>
  </si>
  <si>
    <t>per kW</t>
  </si>
  <si>
    <t>%HT / LT</t>
  </si>
  <si>
    <t xml:space="preserve"> Adopted in</t>
  </si>
  <si>
    <t xml:space="preserve"> Rate Design</t>
  </si>
  <si>
    <t>Rate Design of Redesigned Rates Based on % ECOS HT/LT Differential</t>
  </si>
  <si>
    <t>D3/Total</t>
  </si>
  <si>
    <t>HT/LT</t>
  </si>
  <si>
    <t>TODL</t>
  </si>
  <si>
    <t>D1: 8-6</t>
  </si>
  <si>
    <t>D2: 8-10</t>
  </si>
  <si>
    <t>D3: All Day</t>
  </si>
  <si>
    <t>Redesigned Sec. Demand Rev Based on ECOS HT/LT</t>
  </si>
  <si>
    <t>Current Demand Rev (Excl. EDB)</t>
  </si>
  <si>
    <t>Current Sec. Demand Rev (Excl. EDB)</t>
  </si>
  <si>
    <t>D2: 8-8</t>
  </si>
  <si>
    <t>Current Tariff</t>
  </si>
  <si>
    <t>Rate II</t>
  </si>
  <si>
    <t>Total</t>
  </si>
  <si>
    <t>Seasonal</t>
  </si>
  <si>
    <t>Average</t>
  </si>
  <si>
    <t>Annualized</t>
  </si>
  <si>
    <t>Rate (4S &amp; 8W)</t>
  </si>
  <si>
    <t>(Annualized the Rate for Combining Summer &amp; Winter)</t>
  </si>
  <si>
    <t>D3/Total:</t>
  </si>
  <si>
    <t>HT/LT:</t>
  </si>
  <si>
    <t>(a13)</t>
  </si>
  <si>
    <t>Based on ECOS Unit Cost</t>
  </si>
  <si>
    <t>Summer D3:</t>
  </si>
  <si>
    <t>Winter D3:</t>
  </si>
  <si>
    <t>X +</t>
  </si>
  <si>
    <t>Equation:</t>
  </si>
  <si>
    <t>Redesigned Winter D3:</t>
  </si>
  <si>
    <t>Redesigned Summer D3:</t>
  </si>
  <si>
    <r>
      <rPr>
        <b/>
        <sz val="11"/>
        <color rgb="FF0070C0"/>
        <rFont val="Calibri"/>
        <family val="2"/>
        <scheme val="minor"/>
      </rPr>
      <t xml:space="preserve">A.) </t>
    </r>
    <r>
      <rPr>
        <b/>
        <u/>
        <sz val="11"/>
        <color rgb="FF0070C0"/>
        <rFont val="Calibri"/>
        <family val="2"/>
        <scheme val="minor"/>
      </rPr>
      <t>Rates Information:</t>
    </r>
  </si>
  <si>
    <r>
      <rPr>
        <b/>
        <sz val="11"/>
        <color rgb="FF0070C0"/>
        <rFont val="Calibri"/>
        <family val="2"/>
        <scheme val="minor"/>
      </rPr>
      <t xml:space="preserve">B.) </t>
    </r>
    <r>
      <rPr>
        <b/>
        <u/>
        <sz val="11"/>
        <color rgb="FF0070C0"/>
        <rFont val="Calibri"/>
        <family val="2"/>
        <scheme val="minor"/>
      </rPr>
      <t>Solve for Redesigned D3 rates maintaining the Same Seasonal Differential of:</t>
    </r>
  </si>
  <si>
    <r>
      <rPr>
        <b/>
        <sz val="11"/>
        <color rgb="FF0070C0"/>
        <rFont val="Calibri"/>
        <family val="2"/>
        <scheme val="minor"/>
      </rPr>
      <t xml:space="preserve">C.) </t>
    </r>
    <r>
      <rPr>
        <b/>
        <u/>
        <sz val="11"/>
        <color rgb="FF0070C0"/>
        <rFont val="Calibri"/>
        <family val="2"/>
        <scheme val="minor"/>
      </rPr>
      <t>Maintaining the Current Charge for Summer 8am - 6pm Period (D1) at:</t>
    </r>
  </si>
  <si>
    <t>Summer D1:</t>
  </si>
  <si>
    <t>Total dmd Rev excl EDB</t>
  </si>
  <si>
    <t>Redesigned Sec Dmd Rev</t>
  </si>
  <si>
    <t>Summer 8am-6pm (D1) Rev</t>
  </si>
  <si>
    <t>Remaining Dmd Rev excl EDB</t>
  </si>
  <si>
    <t>(b6)</t>
  </si>
  <si>
    <t>Summer D2:</t>
  </si>
  <si>
    <t>Winter D2:</t>
  </si>
  <si>
    <t>Redesigned Winter D2:</t>
  </si>
  <si>
    <t>Redesigned Summer D2:</t>
  </si>
  <si>
    <r>
      <rPr>
        <b/>
        <sz val="11"/>
        <color rgb="FF0070C0"/>
        <rFont val="Calibri"/>
        <family val="2"/>
        <scheme val="minor"/>
      </rPr>
      <t xml:space="preserve">D.) </t>
    </r>
    <r>
      <rPr>
        <b/>
        <u/>
        <sz val="11"/>
        <color rgb="FF0070C0"/>
        <rFont val="Calibri"/>
        <family val="2"/>
        <scheme val="minor"/>
      </rPr>
      <t xml:space="preserve">Solve for D2 Rates Maintaining the Current Differentials from Winter D2: </t>
    </r>
  </si>
  <si>
    <t>Redesigned Rates</t>
  </si>
  <si>
    <t>Variation from D2 Winter</t>
  </si>
  <si>
    <t>Annual</t>
  </si>
  <si>
    <t>EDB</t>
  </si>
  <si>
    <t>Demand Revenue at Current Tariff (Excl. EDB)</t>
  </si>
  <si>
    <t>Demand Revenue at Current Tariff (Incl. EDB)</t>
  </si>
  <si>
    <t>Demand Revenue Calculation - With Current Rates &amp; Redesigned Rates</t>
  </si>
  <si>
    <t>SC12</t>
  </si>
  <si>
    <t>Variance</t>
  </si>
  <si>
    <t>vs. Price-Out File (Target Incl. EDB)</t>
  </si>
  <si>
    <t>Variance %</t>
  </si>
  <si>
    <t>(FS+RA)</t>
  </si>
  <si>
    <t>Demand Rev Target Incl. EDB</t>
  </si>
  <si>
    <t>SC5</t>
  </si>
  <si>
    <t>Rate I</t>
  </si>
  <si>
    <t>Current Redesigned Rates</t>
  </si>
  <si>
    <t>0</t>
  </si>
  <si>
    <t>Low Tension</t>
  </si>
  <si>
    <t>High Tension</t>
  </si>
  <si>
    <t>Variation from Winter LT</t>
  </si>
  <si>
    <t>Blk 1 (LT)</t>
  </si>
  <si>
    <t>Blk 2 (LT)</t>
  </si>
  <si>
    <t>(% HT/LT)</t>
  </si>
  <si>
    <t>(LT-HT)</t>
  </si>
  <si>
    <t>Blk 1 (HT)</t>
  </si>
  <si>
    <t>Blk 2 (HT)</t>
  </si>
  <si>
    <t>Implied HT-LT</t>
  </si>
  <si>
    <t>(a15)=((a14)-(a11))*blk limit</t>
  </si>
  <si>
    <t>(a16)=((a14)-(a11))</t>
  </si>
  <si>
    <t>Comparison of Electric Delivery Costs and Charges</t>
  </si>
  <si>
    <t>SC5 NTD (LT)</t>
  </si>
  <si>
    <t>SC5 TOD (LT)</t>
  </si>
  <si>
    <t>SC5 NTD (HT)</t>
  </si>
  <si>
    <t>SC5 TOD (HT)</t>
  </si>
  <si>
    <t>H/L Tension Costs Differential</t>
  </si>
  <si>
    <t>SC9 NTD (LT)</t>
  </si>
  <si>
    <t>SC9 NTD (HT)</t>
  </si>
  <si>
    <t>SC9 TOD (LT)</t>
  </si>
  <si>
    <t>SC9 TOD (HT)</t>
  </si>
  <si>
    <t>SC8 NTD (LT)</t>
  </si>
  <si>
    <t>SC8 NTD (HT)</t>
  </si>
  <si>
    <t>SC8 TOD (LT)</t>
  </si>
  <si>
    <t>SC8 TOD (HT)</t>
  </si>
  <si>
    <t>SC12 NTD (LT)</t>
  </si>
  <si>
    <t>SC12 NTD (HT)</t>
  </si>
  <si>
    <t>SC12 TOD (LT)</t>
  </si>
  <si>
    <t>SC12 TOD (HT)</t>
  </si>
  <si>
    <t>SC13 NTD (LT)</t>
  </si>
  <si>
    <t>SC13 NTD (HT)</t>
  </si>
  <si>
    <t>SC13 TOD (LT)</t>
  </si>
  <si>
    <t>SC13 TOD (HT)</t>
  </si>
  <si>
    <t>NYPA NTD (LT)</t>
  </si>
  <si>
    <t>NYPA NTD (HT)</t>
  </si>
  <si>
    <t>NYPA TOD (LT)</t>
  </si>
  <si>
    <t>NYPA TOD (HT)</t>
  </si>
  <si>
    <t>Summary of Redesign Rates:</t>
  </si>
  <si>
    <t xml:space="preserve">Selection Criteria: </t>
  </si>
  <si>
    <t>(% HT / LT)</t>
  </si>
  <si>
    <t>Current Rates</t>
  </si>
  <si>
    <t>Phasing Period(s):</t>
  </si>
  <si>
    <t>(% in 1st Period)</t>
  </si>
  <si>
    <t>Current Rate:</t>
  </si>
  <si>
    <t>ECOS:</t>
  </si>
  <si>
    <t>per Bill</t>
  </si>
  <si>
    <t>Variation (Incl. Differential)</t>
  </si>
  <si>
    <t>Demand Rev:</t>
  </si>
  <si>
    <t>- Demand Revenue @ Current Rate Level (Excl. EDB)</t>
  </si>
  <si>
    <t>Current Demand Rev:</t>
  </si>
  <si>
    <t>- Add: Shifting Demand Revenue (Excl. EDB)</t>
  </si>
  <si>
    <t>Min Demand Rev with Shifting Rev at Current Level (Excl. EDB)</t>
  </si>
  <si>
    <t>Min Demand Rev with Shifting Rev at Proposed Level (Excl. EDB)</t>
  </si>
  <si>
    <t>Shifting Rev %:</t>
  </si>
  <si>
    <t>Min Charge Shifting:</t>
  </si>
  <si>
    <t>Min Charge Shifting</t>
  </si>
  <si>
    <t>(Result)</t>
  </si>
  <si>
    <t>Demand Rev</t>
  </si>
  <si>
    <t>Energy Rev</t>
  </si>
  <si>
    <t>Total Rev</t>
  </si>
  <si>
    <t>After Shifting (Incl. EDB)</t>
  </si>
  <si>
    <t>Shifting Rev</t>
  </si>
  <si>
    <t>(Incl. EDB)</t>
  </si>
  <si>
    <t>(Demand + Energy)</t>
  </si>
  <si>
    <t>(Target)</t>
  </si>
  <si>
    <t>SC5 Rate I LT Energy (Summer)</t>
  </si>
  <si>
    <t>SC5 Rate I LT Energy (Winter)</t>
  </si>
  <si>
    <t>SC5 Rate I LT Demand_Blk1 (Summer)</t>
  </si>
  <si>
    <t>SC5 Rate I LT Demand_Blk2 (Summer)</t>
  </si>
  <si>
    <t>SC5 Rate I LT Demand_Blk1 (Winter)</t>
  </si>
  <si>
    <t>SC5 Rate I LT Demand_Blk2 (Winter)</t>
  </si>
  <si>
    <t>SC5 Rate I HT Energy (Summer)</t>
  </si>
  <si>
    <t>SC5 Rate I HT Energy (Winter)</t>
  </si>
  <si>
    <t>SC5 Rate I HT Demand_Blk1 (Summer)</t>
  </si>
  <si>
    <t>SC5 Rate I HT Demand_Blk2 (Summer)</t>
  </si>
  <si>
    <t>SC5 Rate I HT Demand_Blk1 (Winter)</t>
  </si>
  <si>
    <t>SC5 Rate I HT Demand_Blk2 (Winter)</t>
  </si>
  <si>
    <t>Redesigned Rate</t>
  </si>
  <si>
    <t>SC8 Rate I LT Energy (Summer)</t>
  </si>
  <si>
    <t>SC8 Rate I LT Energy (Winter)</t>
  </si>
  <si>
    <t>SC8 Rate I LT Demand_Blk1 (Summer)</t>
  </si>
  <si>
    <t>SC8 Rate I LT Demand_Blk2 (Summer)</t>
  </si>
  <si>
    <t>SC8 Rate I LT Demand_Blk1 (Winter)</t>
  </si>
  <si>
    <t>SC8 Rate I LT Demand_Blk2 (Winter)</t>
  </si>
  <si>
    <t>SC8 Rate I HT Energy (Summer)</t>
  </si>
  <si>
    <t>SC8 Rate I HT Energy (Winter)</t>
  </si>
  <si>
    <t>SC8 Rate I HT Demand_Blk1 (Summer)</t>
  </si>
  <si>
    <t>SC8 Rate I HT Demand_Blk2 (Summer)</t>
  </si>
  <si>
    <t>SC8 Rate I HT Demand_Blk1 (Winter)</t>
  </si>
  <si>
    <t>SC8 Rate I HT Demand_Blk2 (Winter)</t>
  </si>
  <si>
    <t>SC9 Rate I LT Energy (Summer)</t>
  </si>
  <si>
    <t>SC9 Rate I LT Energy (Winter)</t>
  </si>
  <si>
    <t>SC9 Rate I LT Demand_Blk1 (Summer)</t>
  </si>
  <si>
    <t>SC9 Rate I LT Demand_Blk2 (Summer)</t>
  </si>
  <si>
    <t>SC9 Rate I LT Demand_Blk1 (Winter)</t>
  </si>
  <si>
    <t>SC9 Rate I LT Demand_Blk2 (Winter)</t>
  </si>
  <si>
    <t>SC9 Rate I HT Energy (Summer)</t>
  </si>
  <si>
    <t>SC9 Rate I HT Energy (Winter)</t>
  </si>
  <si>
    <t>SC9 Rate I HT Demand_Blk1 (Summer)</t>
  </si>
  <si>
    <t>SC9 Rate I HT Demand_Blk2 (Summer)</t>
  </si>
  <si>
    <t>SC9 Rate I HT Demand_Blk1 (Winter)</t>
  </si>
  <si>
    <t>SC9 Rate I HT Demand_Blk2 (Winter)</t>
  </si>
  <si>
    <t>SC12 Rate I LT Energy (Summer)</t>
  </si>
  <si>
    <t>SC12 Rate I LT Energy (Winter)</t>
  </si>
  <si>
    <t>SC12 Rate I LT Demand_Blk1 (Summer)</t>
  </si>
  <si>
    <t>SC12 Rate I LT Demand_Blk2 (Summer)</t>
  </si>
  <si>
    <t>SC12 Rate I LT Demand_Blk1 (Winter)</t>
  </si>
  <si>
    <t>SC12 Rate I LT Demand_Blk2 (Winter)</t>
  </si>
  <si>
    <t>SC12 Rate I HT Energy (Summer)</t>
  </si>
  <si>
    <t>SC12 Rate I HT Energy (Winter)</t>
  </si>
  <si>
    <t>SC12 Rate I HT Demand_Blk1 (Summer)</t>
  </si>
  <si>
    <t>SC12 Rate I HT Demand_Blk2 (Summer)</t>
  </si>
  <si>
    <t>SC12 Rate I HT Demand_Blk1 (Winter)</t>
  </si>
  <si>
    <t>SC12 Rate I HT Demand_Blk2 (Winter)</t>
  </si>
  <si>
    <t>Shifting Rev to Demand</t>
  </si>
  <si>
    <t>Revenue at Current Level:</t>
  </si>
  <si>
    <t>Shifting Options:</t>
  </si>
  <si>
    <t>Shifted Revenue Summary</t>
  </si>
  <si>
    <t>Revised Demand Rev</t>
  </si>
  <si>
    <t>Shifting Amount</t>
  </si>
  <si>
    <t xml:space="preserve"> of Energy Rev to Demand</t>
  </si>
  <si>
    <t>Rates:</t>
  </si>
  <si>
    <t>(No Need for SC5, 8, 9, 12 Rate I ED Shifting)</t>
  </si>
  <si>
    <t>Block 2</t>
  </si>
  <si>
    <t>Block 1</t>
  </si>
  <si>
    <t>(1) Reflecting 2013 ECOS HT/LT Indication</t>
  </si>
  <si>
    <t>(2) Differentials for Rate Design</t>
  </si>
  <si>
    <t>(3) Apply the Changes to the Variation</t>
  </si>
  <si>
    <t>New Rates</t>
  </si>
  <si>
    <t xml:space="preserve">Block 1:  X = </t>
  </si>
  <si>
    <t xml:space="preserve">Block 2:  X = </t>
  </si>
  <si>
    <t xml:space="preserve">Blk 1 (LT): </t>
  </si>
  <si>
    <t xml:space="preserve">Blk 1 (HT): </t>
  </si>
  <si>
    <t xml:space="preserve">Blk 2 (LT): </t>
  </si>
  <si>
    <t xml:space="preserve">Blk 2 (HT): </t>
  </si>
  <si>
    <t xml:space="preserve">Differential: </t>
  </si>
  <si>
    <r>
      <t>(% in 1</t>
    </r>
    <r>
      <rPr>
        <vertAlign val="superscript"/>
        <sz val="11"/>
        <color rgb="FF0070C0"/>
        <rFont val="Calibri"/>
        <family val="2"/>
        <scheme val="minor"/>
      </rPr>
      <t>st</t>
    </r>
    <r>
      <rPr>
        <sz val="11"/>
        <color rgb="FF0070C0"/>
        <rFont val="Calibri"/>
        <family val="2"/>
        <scheme val="minor"/>
      </rPr>
      <t xml:space="preserve"> Period)</t>
    </r>
  </si>
  <si>
    <t>(Current Rate Change)</t>
  </si>
  <si>
    <t>Proposed % Increase:</t>
  </si>
  <si>
    <t>Min Demand Rev with Shifting Rev at Current Resigned Level (Excl. EDB)</t>
  </si>
  <si>
    <t>- Less: Blk 1 Demand Rev (Excl. EDB)</t>
  </si>
  <si>
    <t>Demand Revenue Remaining in Block 2</t>
  </si>
  <si>
    <t>Rate Design Equation for Block 2</t>
  </si>
  <si>
    <t>X * (</t>
  </si>
  <si>
    <t>With Demand &amp; Energy Rev Shifting</t>
  </si>
  <si>
    <t>With HT/LT Shifting</t>
  </si>
  <si>
    <t>HT/LT Differential</t>
  </si>
  <si>
    <r>
      <t xml:space="preserve">D.) </t>
    </r>
    <r>
      <rPr>
        <b/>
        <u/>
        <sz val="11"/>
        <color rgb="FF0070C0"/>
        <rFont val="Calibri"/>
        <family val="2"/>
        <scheme val="minor"/>
      </rPr>
      <t>Demand Rates Redesigned to Reflect ECOS HT/LT Indication:</t>
    </r>
  </si>
  <si>
    <r>
      <t xml:space="preserve">E.) </t>
    </r>
    <r>
      <rPr>
        <b/>
        <u/>
        <sz val="11"/>
        <color rgb="FF0070C0"/>
        <rFont val="Calibri"/>
        <family val="2"/>
        <scheme val="minor"/>
      </rPr>
      <t>T&amp;D Revenue Price-Out at Redesigned Rates</t>
    </r>
  </si>
  <si>
    <t>Redesigned Rates:</t>
  </si>
  <si>
    <t>T&amp;D Revenue Price-Out at Redesigned Rates - Rate I</t>
  </si>
  <si>
    <t>Target Demand Revenue at Redesigned Rate Level</t>
  </si>
  <si>
    <t>Target Revenue with Demand and Energy Shifting</t>
  </si>
  <si>
    <t>EDB Rev &amp; % (SC1 Non-LI):</t>
  </si>
  <si>
    <t>EDB Rev &amp; % (SC1 LI):</t>
  </si>
  <si>
    <t>EDB Rev &amp; % (SC1 LI - Incl. LI):</t>
  </si>
  <si>
    <t>T&amp;D Revenue @ Current Level (Excl Customer Charge) and Excl EDB</t>
  </si>
  <si>
    <t>EDB Adjustment - Energy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</si>
  <si>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Proposed T&amp;D Revenue Change for Block Rates (Excl EDB)</t>
    </r>
  </si>
  <si>
    <t>Revenue Requirement for Block Rate Excl EDB</t>
  </si>
  <si>
    <t>B.) Calculation of Seasonal and Block Differentials in Current T&amp;D Rates to be Used in Rate Design Equations</t>
  </si>
  <si>
    <t>T&amp;D Revenue</t>
  </si>
  <si>
    <t>Proposed T&amp;D Rates</t>
  </si>
  <si>
    <t>Rates</t>
  </si>
  <si>
    <t>Price-out with Proposed Rates</t>
  </si>
  <si>
    <t>Bills or kWhrs</t>
  </si>
  <si>
    <t>T&amp;D Rev (Excl. EDB)</t>
  </si>
  <si>
    <t>Summer Revenue</t>
  </si>
  <si>
    <t>Winter Revenue</t>
  </si>
  <si>
    <t>Calculation for EDB Revenue</t>
  </si>
  <si>
    <t>Add Factor</t>
  </si>
  <si>
    <t>Bills in Blk</t>
  </si>
  <si>
    <t>EDB Adj</t>
  </si>
  <si>
    <t>EDB Factor:</t>
  </si>
  <si>
    <t xml:space="preserve">Excl. EDB: </t>
  </si>
  <si>
    <t xml:space="preserve">EDB Adj: </t>
  </si>
  <si>
    <t>T&amp;D Rev (Incl. EDB)</t>
  </si>
  <si>
    <t>T&amp;D Revenue Price-Out @ Proposed Rates Adjusted for Low Income Program</t>
  </si>
  <si>
    <t xml:space="preserve">T&amp;D Block Rate Change Effect: </t>
  </si>
  <si>
    <t>Low Income Calculation:</t>
  </si>
  <si>
    <t>Additional Discount for Low Income Program:</t>
  </si>
  <si>
    <t>Ratio from RY to HY:</t>
  </si>
  <si>
    <t>SC2 Rate I</t>
  </si>
  <si>
    <t>HY Proposed T&amp;D Rate Change:</t>
  </si>
  <si>
    <t>Less: Unmetered Revenue (Customer Charge)</t>
  </si>
  <si>
    <t>SC1 Rate II</t>
  </si>
  <si>
    <t xml:space="preserve">Current Level Cust Charge SC2 Rate I: </t>
  </si>
  <si>
    <t>Current Level Energy Charge (Excl. Cust Chg) - SC2 Rate I:</t>
  </si>
  <si>
    <t>EDB Rev &amp; % (SC2 Rate I):</t>
  </si>
  <si>
    <t>EDB Rev &amp; % (SC2  Rate I):</t>
  </si>
  <si>
    <t>SC2 Rate II - T&amp;D Revenue:</t>
  </si>
  <si>
    <t>on Peak</t>
  </si>
  <si>
    <t>Off Peak</t>
  </si>
  <si>
    <t>Proposed T&amp;D Revenue (Excl. Cust Chg &amp; Incl. EDB) - Rate I &amp; II</t>
  </si>
  <si>
    <t>Proposed Revenue Change Applicable to T&amp;D Rev (Excl. Cust Chg &amp; Incl EDB) - Rate I &amp; II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</si>
  <si>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Proposed Cust Charge Incl. EDB (Rate I &amp; II)</t>
    </r>
  </si>
  <si>
    <t>Total Revenue Requirement (Incl. EDB) for Rate Design of SC1 Rate II</t>
  </si>
  <si>
    <t>Assume: (Rate I Customers can transfer to Rate II)</t>
  </si>
  <si>
    <t>Proposed Cust Charge (Incl. EDB) - Rate I</t>
  </si>
  <si>
    <t>Proposed Cust Charge (Incl. EDB) - Rate II</t>
  </si>
  <si>
    <t># Bills - Rate I &amp; II</t>
  </si>
  <si>
    <t xml:space="preserve"># Bills - SC1 Rate I: </t>
  </si>
  <si>
    <t xml:space="preserve"># Bills - SC1 Rate II: </t>
  </si>
  <si>
    <t>Set Customer Charge Equal to</t>
  </si>
  <si>
    <t xml:space="preserve">Customer Charge Revenue Excl EDB </t>
  </si>
  <si>
    <t>Rate Development:</t>
  </si>
  <si>
    <t>Less: Customer Charge - Rate I &amp; II</t>
  </si>
  <si>
    <t xml:space="preserve">Customer Charge Revenue Incl EDB </t>
  </si>
  <si>
    <t>Billing Determinants (Converted to Peak &amp; Off-Peak)</t>
  </si>
  <si>
    <t>kWh (From Rate I)</t>
  </si>
  <si>
    <t>(Rate I &amp; II)</t>
  </si>
  <si>
    <t>Proposed Revenue Requirement for Block Rate Excl EDB - Rate I &amp; II</t>
  </si>
  <si>
    <t>(Convert Rate I Consumption to On-Peak &amp; Off-Peak Level based on the % provided by ECOS)</t>
  </si>
  <si>
    <t>on Peak kWh</t>
  </si>
  <si>
    <t>Off Peak kWh</t>
  </si>
  <si>
    <t>T&amp;D Block Rate Change Effect:</t>
  </si>
  <si>
    <t>*Calculation for the T&amp;D Block Rate Change (Current to Proposed):</t>
  </si>
  <si>
    <t>Current Energy Revenue (Based On-Peak &amp; Off-Peak) - Rate I &amp; II:</t>
  </si>
  <si>
    <t>Proposed vs. Current</t>
  </si>
  <si>
    <t>Calculation for Winter LI Energy Rate (X)</t>
  </si>
  <si>
    <t>Meter Cost</t>
  </si>
  <si>
    <t>Cust Charge (Excl. Meter Cost)</t>
  </si>
  <si>
    <t>EDB Rev</t>
  </si>
  <si>
    <t>SC1 Rate III</t>
  </si>
  <si>
    <t>Set Customer Charge Rate for SC1 Rate III in the Calculation:</t>
  </si>
  <si>
    <t>Set Customer Charge Rate for SC1 Rate II in the Calculation:</t>
  </si>
  <si>
    <t>Less: Meter Cost</t>
  </si>
  <si>
    <t>(Orig Billing Det)</t>
  </si>
  <si>
    <t>Price-out SC1 Rate II with Actual Customers @ Proposed Rates</t>
  </si>
  <si>
    <t>(For SC1 Rate I - Rate Design)</t>
  </si>
  <si>
    <t>SC2 Rate II</t>
  </si>
  <si>
    <t>*Based on SC1 Rate I Allocation</t>
  </si>
  <si>
    <t>*Based on SC2 Rate I Conv Allocation</t>
  </si>
  <si>
    <t xml:space="preserve"># Bills - SC2 Rate II: </t>
  </si>
  <si>
    <t>Current Level Energy Charge (Excl. Cust Chg) Excl. EDB - SC2 Rate I:</t>
  </si>
  <si>
    <t>Current Level Energy Charge (Excl. Cust Chg) Excl. EDB - SC2 Rate II:</t>
  </si>
  <si>
    <t>SC6</t>
  </si>
  <si>
    <t xml:space="preserve"># Bills - SC6: </t>
  </si>
  <si>
    <t xml:space="preserve">Proposed Level Cust Charge SC6: </t>
  </si>
  <si>
    <t xml:space="preserve">Current Level Cust Charge SC6: </t>
  </si>
  <si>
    <t>EDB Rev &amp; % (SC6):</t>
  </si>
  <si>
    <t>Total Revenue Requirement (Incl. EDB) for Rate Design of SC6</t>
  </si>
  <si>
    <t>T&amp;D Revenue Price-Out at Proposed Rates - SC6</t>
  </si>
  <si>
    <t>SC6 Target:</t>
  </si>
  <si>
    <t>SC12 Energy Only_Blk1 (Summer)</t>
  </si>
  <si>
    <t>SC12 Energy Only_Blk2 (Summer)</t>
  </si>
  <si>
    <t>SC12 Energy Only_Blk1 (Winter)</t>
  </si>
  <si>
    <t>SC12 Energy Only_Blk2 (Winter)</t>
  </si>
  <si>
    <t>Current Blk 1 Energy Charge  - SC12 Energy Only:</t>
  </si>
  <si>
    <t>Current Level Total Energy Charge  - SC12 Energy Only:</t>
  </si>
  <si>
    <t>Current Blk 2 Energy Charge  - SC12 Energy Only:</t>
  </si>
  <si>
    <t>Less: Blk 1 Energy Revenue @ Current Level (Excl. EDB)</t>
  </si>
  <si>
    <t>Energy Only</t>
  </si>
  <si>
    <t>EDB Rev &amp; % (SC12 Energy Only):</t>
  </si>
  <si>
    <t xml:space="preserve">Proposed Energy Revenue Change (Incl. LI) Incl. EDB - SC2 Rate I: </t>
  </si>
  <si>
    <t xml:space="preserve">Proposed Energy Revenue Change (Incl. EDB) - SC6: </t>
  </si>
  <si>
    <t xml:space="preserve">Proposed Energy Revenue Change Incl. EDB - SC12 (Non-Demand): </t>
  </si>
  <si>
    <t>Proposed Revenue Change Applicable to T&amp;D Rev (Excl. Cust Chg and Incl EDB)</t>
  </si>
  <si>
    <t>T&amp;D Revenue @ Current Level (Excl Cust Chg) and Excl EDB</t>
  </si>
  <si>
    <t xml:space="preserve">         Blk 1 Energy Revenue @ Current Level (Incl. EDB)</t>
  </si>
  <si>
    <t>Net Revenue Requirement @ Current Rates Level (Excl EDB) - Excl. Blk 1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</si>
  <si>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Proposed T&amp;D Revenue Change for Block Rates (Excl. EDB)</t>
    </r>
  </si>
  <si>
    <t xml:space="preserve">         Blk 1 Revenue Change Effect (= % Increase in SC12)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</si>
  <si>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Proposed T&amp;D Revenue Change for Blk 1 (Min Charge)</t>
    </r>
  </si>
  <si>
    <t>(Rate per kWhr)</t>
  </si>
  <si>
    <t>Calculation for Winter Energy Rate (X)</t>
  </si>
  <si>
    <t>T&amp;D Revenue Price-Out @ Proposed Rates</t>
  </si>
  <si>
    <t>Rate Design Period:</t>
  </si>
  <si>
    <t>Proposed</t>
  </si>
  <si>
    <t>T&amp;D Revenue Price-Out at Proposed Rates - Rate I &amp; II</t>
  </si>
  <si>
    <t>&lt;= Input</t>
  </si>
  <si>
    <t>ESCO Unit Cost HT/LT %</t>
  </si>
  <si>
    <t>Current Demand Rate HT/LT %</t>
  </si>
  <si>
    <t>Change</t>
  </si>
  <si>
    <t>Rate Summary</t>
  </si>
  <si>
    <t>Tab Name:</t>
  </si>
  <si>
    <t>Service Class:</t>
  </si>
  <si>
    <t>4.)</t>
  </si>
  <si>
    <t>3.)</t>
  </si>
  <si>
    <t>2.)</t>
  </si>
  <si>
    <t>1.)</t>
  </si>
  <si>
    <t>Redesign Rate for:</t>
  </si>
  <si>
    <t>Add: SC9 T&amp;D - Rate III</t>
  </si>
  <si>
    <t>Price-Out Demand Rev (Incl. EDB) - Rate I</t>
  </si>
  <si>
    <t>Add: SC8 T&amp;D - Rate III</t>
  </si>
  <si>
    <t>Year 1</t>
  </si>
  <si>
    <t>(Redesigned)</t>
  </si>
  <si>
    <t>CECONY - Electric Demand Rates Design Summary</t>
  </si>
  <si>
    <t>10H.)Energy_RateDesign_SC12_EN</t>
  </si>
  <si>
    <t>7.)</t>
  </si>
  <si>
    <t>10G.)Energy_RateDesign_SC6</t>
  </si>
  <si>
    <t>6.)</t>
  </si>
  <si>
    <t>Price-Out Energy Rev (Incl. EDB) - Rate I &amp; II</t>
  </si>
  <si>
    <t>Add: SC2 T&amp;D - Rate II</t>
  </si>
  <si>
    <t>Price-Out Energy Rev (Incl. EDB) - Rate I</t>
  </si>
  <si>
    <t>10F.)Energy_RateDesign_SC2_II</t>
  </si>
  <si>
    <t>5.)</t>
  </si>
  <si>
    <t>10E.)Energy_RateDesign_SC2_I</t>
  </si>
  <si>
    <t>10D.)Energy_RateDesign_SC1_III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</si>
  <si>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Rider H&amp;D</t>
    </r>
  </si>
  <si>
    <t>10C.)Energy_RateDesign_SC1_II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</si>
  <si>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T&amp;D Revenue Reduction Due to Low Income Dis</t>
    </r>
  </si>
  <si>
    <t>10B.)Energy_RateDesign_SC1_I</t>
  </si>
  <si>
    <t>CECONY - Electric Energy Rates Design Summary</t>
  </si>
  <si>
    <t>Service Class</t>
  </si>
  <si>
    <t>Tab Name</t>
  </si>
  <si>
    <t>Rates Summary for Shifting Revenue from Energy to Demand</t>
  </si>
  <si>
    <t>File Name:</t>
  </si>
  <si>
    <t>Content</t>
  </si>
  <si>
    <t>7A</t>
  </si>
  <si>
    <t>HY_ED RevShifting</t>
  </si>
  <si>
    <t>ED Shift_RedesignRate</t>
  </si>
  <si>
    <t>8A</t>
  </si>
  <si>
    <t>8B</t>
  </si>
  <si>
    <t>8C</t>
  </si>
  <si>
    <t>HL_RedesignRateSummary</t>
  </si>
  <si>
    <t>HL_RedesignRateComp</t>
  </si>
  <si>
    <t>HL_RedgnRate_SC8_II</t>
  </si>
  <si>
    <t>HL_RedgnRate_SC12_II</t>
  </si>
  <si>
    <t>8D</t>
  </si>
  <si>
    <t>8E</t>
  </si>
  <si>
    <t>8F</t>
  </si>
  <si>
    <t>HL_RedgnRate_SC5_I</t>
  </si>
  <si>
    <t>HL_RedgnRate_SC12_I</t>
  </si>
  <si>
    <t>9A</t>
  </si>
  <si>
    <t>9B</t>
  </si>
  <si>
    <t>9C</t>
  </si>
  <si>
    <t>9D</t>
  </si>
  <si>
    <t>9E</t>
  </si>
  <si>
    <t>DemandRateDesignSummary</t>
  </si>
  <si>
    <t>Decision for the High / Low Tension Shifting (Only Apply Shifting for the Service Classes if Needed)</t>
  </si>
  <si>
    <t>Redesign Rate Model for High/Low Tension Shifting (SC8 Rate II)</t>
  </si>
  <si>
    <t>Redesign Rate Model for High/Low Tension Shifting (SC12 Rate II)</t>
  </si>
  <si>
    <t>Redesign Rate Model for High/Low Tension Shifting (SC5 Rate I)</t>
  </si>
  <si>
    <t>Redesign Rate Model for High/Low Tension Shifting (SC12 Rate I)</t>
  </si>
  <si>
    <t>ED Shift_RedgnRate_SC5_I</t>
  </si>
  <si>
    <t>ED Shift_RedgnRate_SC8_I</t>
  </si>
  <si>
    <t>Demand_RateDesign_SC5_I</t>
  </si>
  <si>
    <t>Demand_RateDesign_SC8_I</t>
  </si>
  <si>
    <t>Demand_RateDesign_SC9_I</t>
  </si>
  <si>
    <t>Demand_RateDesign_SC12_I</t>
  </si>
  <si>
    <t>10A</t>
  </si>
  <si>
    <t>10B</t>
  </si>
  <si>
    <t>10C</t>
  </si>
  <si>
    <t>10D</t>
  </si>
  <si>
    <t>10E</t>
  </si>
  <si>
    <t>EnergyRateDesignSummary</t>
  </si>
  <si>
    <t>Energy_RateDesign_SC1_I</t>
  </si>
  <si>
    <t>Energy_RateDesign_SC1_II</t>
  </si>
  <si>
    <t>Energy_RateDesign_SC1_III</t>
  </si>
  <si>
    <t>Energy_RateDesign_SC2_I</t>
  </si>
  <si>
    <t>Energy_RateDesign_SC2_II</t>
  </si>
  <si>
    <t>Energy_RateDesign_SC12_EN</t>
  </si>
  <si>
    <t>10F</t>
  </si>
  <si>
    <t>10G</t>
  </si>
  <si>
    <t>10H</t>
  </si>
  <si>
    <t>Energy_RateDesign_SC6</t>
  </si>
  <si>
    <t>Demand Rate Design Model (SC5 Rate I)</t>
  </si>
  <si>
    <t>Demand Rate Design Model (SC8 Rate I)</t>
  </si>
  <si>
    <t>Demand Rate Design Model (SC9 Rate I)</t>
  </si>
  <si>
    <t>Demand Rate Design Model (SC12 Rate I)</t>
  </si>
  <si>
    <t>Energy Rate Design Model (SC1 Rate I)</t>
  </si>
  <si>
    <t>Energy Rate Design Model (SC1 Rate II)</t>
  </si>
  <si>
    <t>Energy Rate Design Model (SC1 Rate III)</t>
  </si>
  <si>
    <t>Energy Rate Design Model (SC2 Rate I)</t>
  </si>
  <si>
    <t>Energy Rate Design Model (SC2 Rate II)</t>
  </si>
  <si>
    <t>Energy Rate Design Model (SC6)</t>
  </si>
  <si>
    <t>Energy Rate Design Model (SC12 Energy Only)</t>
  </si>
  <si>
    <t>Redesign Rate Model for Energy Demand Revenue Shifting (SC5 Rate I)</t>
  </si>
  <si>
    <t>Redesign Rate Model for Energy Demand Revenue Shifting (SC8 Rate I)</t>
  </si>
  <si>
    <t>Redesign Rate Model for Energy Demand Revenue Shifting (SC9 Rate I)</t>
  </si>
  <si>
    <t>Redesign Rate Model for Energy Demand Revenue Shifting (SC12 Rate I)</t>
  </si>
  <si>
    <t>ED Shift_RedgnRate_SC12_I</t>
  </si>
  <si>
    <t>Redesigned Rate Summary of Demand Revenue Shifting (Rate I - SC5, 8, 9, and 12)</t>
  </si>
  <si>
    <t>Revenue Summary of Demand Revenue Shifting (Rate I - SC5, 8, 9, and 12)</t>
  </si>
  <si>
    <t>Demand Rate Design Summary for Rate I - SC5, SC8, SC9, and SC12</t>
  </si>
  <si>
    <t>Energy Rate Design Summary for SC1 Rate I, SC1 Rate II, SC1 Rate III, SC2 Rate I, SC2 Rate II, SC6, and SC12 Energy Only</t>
  </si>
  <si>
    <t>10B.)</t>
  </si>
  <si>
    <t>10A.)</t>
  </si>
  <si>
    <t>10C.)</t>
  </si>
  <si>
    <t>10D.)</t>
  </si>
  <si>
    <t>10E.)</t>
  </si>
  <si>
    <t>10F.)</t>
  </si>
  <si>
    <t>10G.)</t>
  </si>
  <si>
    <t>10H.)</t>
  </si>
  <si>
    <t>11B.)</t>
  </si>
  <si>
    <t>SC5 Rate II</t>
  </si>
  <si>
    <t>D1</t>
  </si>
  <si>
    <t>D2</t>
  </si>
  <si>
    <t>D3</t>
  </si>
  <si>
    <t>8-6</t>
  </si>
  <si>
    <t>8-8</t>
  </si>
  <si>
    <t>All Day</t>
  </si>
  <si>
    <t>TOD Billing Determinants (FS+RA):</t>
  </si>
  <si>
    <t>Rate II LT - Energy (Summer)_OnPeak</t>
  </si>
  <si>
    <t>Rate II LT - Energy (Summer)_OffPeak</t>
  </si>
  <si>
    <t>Rate II LT - Energy (Winter)_OnPeak</t>
  </si>
  <si>
    <t>Rate II LT - Energy (Winter)_OffPeak</t>
  </si>
  <si>
    <t>Rate II HT - Energy (Summer)_OnPeak</t>
  </si>
  <si>
    <t>Rate II HT - Energy (Summer)_OffPeak</t>
  </si>
  <si>
    <t>Rate II HT - Energy (Winter)_OnPeak</t>
  </si>
  <si>
    <t>Rate II HT - Energy (Winter)_OffPeak</t>
  </si>
  <si>
    <t>Demand Rate Change (Excl. EDB)</t>
  </si>
  <si>
    <t>(HT &amp; LT)</t>
  </si>
  <si>
    <t>Demand Revenue Requirement Reflecting Rate Change</t>
  </si>
  <si>
    <t>Proposed % Change for Block Rates:</t>
  </si>
  <si>
    <t>Demand Revenue Requirement</t>
  </si>
  <si>
    <t>Calculation for Winter Demand Rate (X)</t>
  </si>
  <si>
    <t>Proposed Rates vs. Current Rates</t>
  </si>
  <si>
    <t>Proposed Demand Revenue:</t>
  </si>
  <si>
    <t>A.) Development for Demand Rates:</t>
  </si>
  <si>
    <t>Proposed Energy Revenue Change</t>
  </si>
  <si>
    <t>C.) Calculation for Energy Revenue:</t>
  </si>
  <si>
    <t>B.) Calculation of Block Differentials in Demand Rates to be Used in Rate Design Equations:</t>
  </si>
  <si>
    <t>Demand Charge</t>
  </si>
  <si>
    <t>Proposed Energy Rates</t>
  </si>
  <si>
    <t>Proposed Energy Revenue:</t>
  </si>
  <si>
    <t>Energy Rate Change (Excl. EDB)</t>
  </si>
  <si>
    <t>Current Level Energy Charge (Excl. EDB)</t>
  </si>
  <si>
    <t>Energy Revenue Requirement Reflecting Rate Change</t>
  </si>
  <si>
    <r>
      <rPr>
        <b/>
        <sz val="11"/>
        <color theme="4"/>
        <rFont val="Calibri"/>
        <family val="2"/>
        <scheme val="minor"/>
      </rPr>
      <t xml:space="preserve">E.) </t>
    </r>
    <r>
      <rPr>
        <b/>
        <u/>
        <sz val="11"/>
        <color theme="4"/>
        <rFont val="Calibri"/>
        <family val="2"/>
        <scheme val="minor"/>
      </rPr>
      <t>Priceout with Proposed Rates</t>
    </r>
  </si>
  <si>
    <t>kWhrs</t>
  </si>
  <si>
    <t>Energy Rev (Incl. EDB)</t>
  </si>
  <si>
    <t>En Rev (Excl. EDB)</t>
  </si>
  <si>
    <t>Proposed Energy Revenue</t>
  </si>
  <si>
    <t>Proposed Demand Revenue</t>
  </si>
  <si>
    <t>T&amp;D Revenue Price-Out at Proposed Rates - Rate II</t>
  </si>
  <si>
    <t>Current Energy Rate</t>
  </si>
  <si>
    <t>Proposed % Change for Energy Rates:</t>
  </si>
  <si>
    <t>D.) Calculation of Seasonal and Block Differentials in Current Energy Rates to be Used in Rate Design Equations:</t>
  </si>
  <si>
    <t xml:space="preserve">Energy Rate Change Effect: </t>
  </si>
  <si>
    <t>Proposed Annual Demand &amp; Energy Revenue - Incl. EDB</t>
  </si>
  <si>
    <t>Total Annual Demand Charge &amp; Energy Revenue - Incl EDB</t>
  </si>
  <si>
    <t>11C.)</t>
  </si>
  <si>
    <t>SC8 Rate II</t>
  </si>
  <si>
    <t xml:space="preserve">Demand Rate Change Effect: </t>
  </si>
  <si>
    <t>11D.)</t>
  </si>
  <si>
    <t>SC9 Rate II</t>
  </si>
  <si>
    <t>LT Energy_Blk2 (Summer)</t>
  </si>
  <si>
    <t>LT Energy_Blk3 (Summer)</t>
  </si>
  <si>
    <t>LT Energy_Blk2 (Winter)</t>
  </si>
  <si>
    <t>LT Energy_Blk3 (Winter)</t>
  </si>
  <si>
    <t>Proposed Block 2 Energy Rev</t>
  </si>
  <si>
    <t>Proposed % of Rate Change</t>
  </si>
  <si>
    <t>ECO DEV @ Current Rate:</t>
  </si>
  <si>
    <t>MMC @ Current Rate:</t>
  </si>
  <si>
    <t>Standby Full Charge (Incl. Phase-in) @Current Rate:</t>
  </si>
  <si>
    <t>Add:</t>
  </si>
  <si>
    <t>EDB Factor</t>
  </si>
  <si>
    <t>Rate Change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</si>
  <si>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: </t>
    </r>
  </si>
  <si>
    <t xml:space="preserve">  MMC @ Current Rate</t>
  </si>
  <si>
    <t xml:space="preserve">  ECO DEV Discount @ Current Rate</t>
  </si>
  <si>
    <t xml:space="preserve">  Standby @ Current Rate</t>
  </si>
  <si>
    <t>Subtotal Excl. EDB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</si>
  <si>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Current Level Demand Charge (Excl. EDB)</t>
    </r>
  </si>
  <si>
    <t xml:space="preserve">  Proposed MMC (Current Rate + Rate Change)</t>
  </si>
  <si>
    <t xml:space="preserve">  Proposed Standby (Current Rate + Rate Change)</t>
  </si>
  <si>
    <t xml:space="preserve">  Proposed ECO DEV Discount (Current Rate + Rate Change)</t>
  </si>
  <si>
    <t>11E.)</t>
  </si>
  <si>
    <t>SC12 Rate II</t>
  </si>
  <si>
    <t>SC13 Rate II</t>
  </si>
  <si>
    <t>11F.)</t>
  </si>
  <si>
    <t>SC8 Rate III</t>
  </si>
  <si>
    <t>Rate III</t>
  </si>
  <si>
    <t>(Rate I &amp; III)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</si>
  <si>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Current Level Demand &amp; Energy Charge (Incl. EDB)</t>
    </r>
  </si>
  <si>
    <t>Current Level Energy Charge</t>
  </si>
  <si>
    <t xml:space="preserve">  Standby @ Current Rate (Incl. EDB)</t>
  </si>
  <si>
    <t>Proposed Demand Rate Change (Incl. EDB)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</si>
  <si>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Energy Revenue  - Rate I &amp; III</t>
    </r>
  </si>
  <si>
    <t>Demand Revenue Requirement Reflecting Rate Change (Incl. EDB)</t>
  </si>
  <si>
    <t>Demand Revenue Requirement Reflecting Rate Change (Excl. EDB)</t>
  </si>
  <si>
    <t xml:space="preserve">  Subtotal</t>
  </si>
  <si>
    <t>LT Demand_Blk1 (Summer)</t>
  </si>
  <si>
    <t>LT Demand_Blk1 (Winter)</t>
  </si>
  <si>
    <t>HT Demand_Blk1 (Summer)</t>
  </si>
  <si>
    <t>HT Demand_Blk1 (Winter)</t>
  </si>
  <si>
    <t>Price-out Demand Rate I &amp; III w.Current Rate:</t>
  </si>
  <si>
    <t>Rate I - kW</t>
  </si>
  <si>
    <t>Rate III - kW</t>
  </si>
  <si>
    <t>(HT&amp;LT)</t>
  </si>
  <si>
    <t>Cur Rates</t>
  </si>
  <si>
    <t>Current Price-out Demand Revenue (Excl. EDB)</t>
  </si>
  <si>
    <t>Rate I &amp; III - kW</t>
  </si>
  <si>
    <t xml:space="preserve">SC8 I&amp;III Current Demand &amp; Energy Rev: </t>
  </si>
  <si>
    <t>SC9 Rate III</t>
  </si>
  <si>
    <t>SC12 Rate III</t>
  </si>
  <si>
    <t xml:space="preserve">SC9 I&amp;III Current Demand &amp; Energy Rev: </t>
  </si>
  <si>
    <t>11A</t>
  </si>
  <si>
    <t>11B</t>
  </si>
  <si>
    <t>11C</t>
  </si>
  <si>
    <t>11D</t>
  </si>
  <si>
    <t>11E</t>
  </si>
  <si>
    <t>Current Eenergy Revenue for Rate I</t>
  </si>
  <si>
    <t xml:space="preserve">SC12 III Current Energy Rev: </t>
  </si>
  <si>
    <t xml:space="preserve">SC9 III Current Energy Rev: </t>
  </si>
  <si>
    <t xml:space="preserve">SC8 III Current Energy Rev: </t>
  </si>
  <si>
    <t>11A.)</t>
  </si>
  <si>
    <t>Proposed Revenue vs. Target</t>
  </si>
  <si>
    <r>
      <rPr>
        <u/>
        <sz val="11"/>
        <color theme="1"/>
        <rFont val="Calibri"/>
        <family val="2"/>
        <scheme val="minor"/>
      </rPr>
      <t xml:space="preserve"> Add</t>
    </r>
    <r>
      <rPr>
        <sz val="11"/>
        <color theme="1"/>
        <rFont val="Calibri"/>
        <family val="2"/>
        <scheme val="minor"/>
      </rPr>
      <t>: Proposed MMC</t>
    </r>
  </si>
  <si>
    <t xml:space="preserve">           Proposed ECO DEV Discount</t>
  </si>
  <si>
    <t xml:space="preserve">           Proposed Standby</t>
  </si>
  <si>
    <r>
      <rPr>
        <u/>
        <sz val="11"/>
        <color theme="1"/>
        <rFont val="Calibri"/>
        <family val="2"/>
        <scheme val="minor"/>
      </rPr>
      <t xml:space="preserve"> Add</t>
    </r>
    <r>
      <rPr>
        <sz val="11"/>
        <color theme="1"/>
        <rFont val="Calibri"/>
        <family val="2"/>
        <scheme val="minor"/>
      </rPr>
      <t>: Proposed Standby</t>
    </r>
  </si>
  <si>
    <t>Price-Out Demand &amp; Energy Rev (Incl. EDB) - Rate I &amp; III</t>
  </si>
  <si>
    <t>Price-Out Demand &amp; Energy Rev (Incl. EDB) - Rate II</t>
  </si>
  <si>
    <t>Price-out Revenue with Redesigned Rate</t>
  </si>
  <si>
    <t>7E.)ED Shift_RedgnRate_SC9_I</t>
  </si>
  <si>
    <t>NYPA</t>
  </si>
  <si>
    <t xml:space="preserve">         *Summarize the Demand &amp; Energy Revenues for Rate I - For Demand &amp; Energy Revenue Shifting Calculation.</t>
  </si>
  <si>
    <t>Demand Revenue Incl. Demand &amp; Energy Rev Shifting</t>
  </si>
  <si>
    <t xml:space="preserve">1.) Based on the Ratio between Demand HT/LT and ECOS Unit Cost HT/LT to calculate the difference. </t>
  </si>
  <si>
    <t>2.) Set a criteria of shifting HT and LT.  (Last Rate Case is 10%)</t>
  </si>
  <si>
    <t>3.) Calculate the Differentials for the rates needed to do the shifting.</t>
  </si>
  <si>
    <t>4.) Calculate the phasing differentials to redesign the rates</t>
  </si>
  <si>
    <t>Facilities Charge</t>
  </si>
  <si>
    <t>NYPA Facilities Charge</t>
  </si>
  <si>
    <t>Number of NYPA Facilities:</t>
  </si>
  <si>
    <t># Facilities</t>
  </si>
  <si>
    <t>Rate</t>
  </si>
  <si>
    <t>Monthly</t>
  </si>
  <si>
    <t>Annually</t>
  </si>
  <si>
    <t>Round 2</t>
  </si>
  <si>
    <t>Round 0</t>
  </si>
  <si>
    <t>T&amp;D Revenue Price-Out at Proposed Rates - Rate I (Incl. Energy Revenue &amp; Facilities Revenue</t>
  </si>
  <si>
    <t>Demand Revenue Price-Out at Proposed Rates - Rate I (Incl. Facilities Charge)</t>
  </si>
  <si>
    <t>Energy Revenue Price-Out at Proposed Rates - Rate I (Energy Only)</t>
  </si>
  <si>
    <t>NYPA Rate I</t>
  </si>
  <si>
    <t>NYPA Rate II</t>
  </si>
  <si>
    <t>(NYPA &amp; KIAC)</t>
  </si>
  <si>
    <t>ED Shift_RedgnRate_SC9_I</t>
  </si>
  <si>
    <t>Total Cust Charge (Incl. EDB)</t>
  </si>
  <si>
    <t>Total EDB Rev (CC)</t>
  </si>
  <si>
    <t>Total Cust Charge (Excl. EDB)</t>
  </si>
  <si>
    <t>Cust Charge (Summer)</t>
  </si>
  <si>
    <t>Cust Charge (Winter)</t>
  </si>
  <si>
    <t>Cust Charge (Incl. EDB)</t>
  </si>
  <si>
    <t>Annual EDB (Current)</t>
  </si>
  <si>
    <t>Summer EDB</t>
  </si>
  <si>
    <t>Winter EDB</t>
  </si>
  <si>
    <t>SC2 (Rate II)</t>
  </si>
  <si>
    <t>SC2 (Rate I)</t>
  </si>
  <si>
    <t>SC1 (Rate II)</t>
  </si>
  <si>
    <t>SC1 (Rate I)</t>
  </si>
  <si>
    <t>Summer EDB (Current)</t>
  </si>
  <si>
    <t>Winter EDB (Current)</t>
  </si>
  <si>
    <t>Total # Bills</t>
  </si>
  <si>
    <t>Summer Bills (LI)</t>
  </si>
  <si>
    <t>Winter Bills (LI)</t>
  </si>
  <si>
    <t>Summer Bills</t>
  </si>
  <si>
    <t>Winter Bills</t>
  </si>
  <si>
    <t># Bills</t>
  </si>
  <si>
    <t>Proposed Rate:</t>
  </si>
  <si>
    <t>HY</t>
  </si>
  <si>
    <t>9F</t>
  </si>
  <si>
    <t>12A</t>
  </si>
  <si>
    <t>12B</t>
  </si>
  <si>
    <t>12C</t>
  </si>
  <si>
    <t>12D</t>
  </si>
  <si>
    <t>12E</t>
  </si>
  <si>
    <t>12F</t>
  </si>
  <si>
    <t>12G</t>
  </si>
  <si>
    <t>CustCharge_Summary</t>
  </si>
  <si>
    <t>Customer Charge Revenues at Current and Proposed Level Summary (SC1 - Rate I &amp; II, SC2 - Rate I &amp; II, and SC6)</t>
  </si>
  <si>
    <t>TODL Demand Rate Design Model (SC5 Rate II)</t>
  </si>
  <si>
    <t>TODL Demand Rate Design Model (SC8 Rate II)</t>
  </si>
  <si>
    <t>TODL Demand Rate Design Model (SC9 Rate II)</t>
  </si>
  <si>
    <t>TODL Demand Rate Design Model (SC12 Rate II)</t>
  </si>
  <si>
    <t>TODL Demand Rate Design Model (SC13 Rate II)</t>
  </si>
  <si>
    <t>TODL Demand Rate Design Model (NYPA Rate II)</t>
  </si>
  <si>
    <t>TODM Demand Rate Design Model (SC8 Rate III)</t>
  </si>
  <si>
    <t>TODM Demand Rate Design Model (SC9 Rate III)</t>
  </si>
  <si>
    <t>TODM Demand Rate Design Model (SC12 Rate III)</t>
  </si>
  <si>
    <r>
      <rPr>
        <b/>
        <sz val="14"/>
        <color theme="1"/>
        <rFont val="Calibri"/>
        <family val="2"/>
        <scheme val="minor"/>
      </rPr>
      <t xml:space="preserve">8B.) </t>
    </r>
    <r>
      <rPr>
        <b/>
        <u/>
        <sz val="14"/>
        <color theme="1"/>
        <rFont val="Calibri"/>
        <family val="2"/>
        <scheme val="minor"/>
      </rPr>
      <t>Revenue Neutral Rate Redesign to Reflect Revenue Shift from Energy to Demand</t>
    </r>
  </si>
  <si>
    <r>
      <rPr>
        <b/>
        <sz val="14"/>
        <color theme="1"/>
        <rFont val="Calibri"/>
        <family val="2"/>
        <scheme val="minor"/>
      </rPr>
      <t xml:space="preserve">8C.) </t>
    </r>
    <r>
      <rPr>
        <b/>
        <u/>
        <sz val="14"/>
        <color theme="1"/>
        <rFont val="Calibri"/>
        <family val="2"/>
        <scheme val="minor"/>
      </rPr>
      <t>Revenue Neutral Rate Redesign to Reflect Revenue Shift from Energy to Demand</t>
    </r>
  </si>
  <si>
    <r>
      <rPr>
        <b/>
        <sz val="14"/>
        <color theme="1"/>
        <rFont val="Calibri"/>
        <family val="2"/>
        <scheme val="minor"/>
      </rPr>
      <t xml:space="preserve">8D.) </t>
    </r>
    <r>
      <rPr>
        <b/>
        <u/>
        <sz val="14"/>
        <color theme="1"/>
        <rFont val="Calibri"/>
        <family val="2"/>
        <scheme val="minor"/>
      </rPr>
      <t>Revenue Neutral Rate Redesign to Reflect Revenue Shift from Energy to Demand</t>
    </r>
  </si>
  <si>
    <r>
      <rPr>
        <b/>
        <sz val="14"/>
        <color theme="1"/>
        <rFont val="Calibri"/>
        <family val="2"/>
        <scheme val="minor"/>
      </rPr>
      <t xml:space="preserve">8E.) </t>
    </r>
    <r>
      <rPr>
        <b/>
        <u/>
        <sz val="14"/>
        <color theme="1"/>
        <rFont val="Calibri"/>
        <family val="2"/>
        <scheme val="minor"/>
      </rPr>
      <t>Revenue Neutral Rate Redesign to Reflect Revenue Shift from Energy to Demand</t>
    </r>
  </si>
  <si>
    <r>
      <rPr>
        <b/>
        <sz val="14"/>
        <color theme="1"/>
        <rFont val="Calibri"/>
        <family val="2"/>
        <scheme val="minor"/>
      </rPr>
      <t xml:space="preserve">8F.) </t>
    </r>
    <r>
      <rPr>
        <b/>
        <u/>
        <sz val="14"/>
        <color theme="1"/>
        <rFont val="Calibri"/>
        <family val="2"/>
        <scheme val="minor"/>
      </rPr>
      <t>Revenue Neutral Rate Redesign to Reflect Revenue Shift from Energy to Demand</t>
    </r>
  </si>
  <si>
    <t>9B.) Redesign Rates - High Tension &amp; Low Tension Shifting</t>
  </si>
  <si>
    <t>12A.)</t>
  </si>
  <si>
    <t>12B.)</t>
  </si>
  <si>
    <t>12C.)</t>
  </si>
  <si>
    <t>12D.)</t>
  </si>
  <si>
    <t>12E.)</t>
  </si>
  <si>
    <t>12F.)</t>
  </si>
  <si>
    <t>12G.)</t>
  </si>
  <si>
    <t>CECONY - Electric TODL Rates Design Summary</t>
  </si>
  <si>
    <t>13A.)</t>
  </si>
  <si>
    <t>CECONY - Electric TODM Rates Design Summary</t>
  </si>
  <si>
    <t>13A</t>
  </si>
  <si>
    <t>13B</t>
  </si>
  <si>
    <t>13C</t>
  </si>
  <si>
    <t>13D</t>
  </si>
  <si>
    <t>TODM Demand Rate Design Summary for SC8 Rate III, SC9 Rate III, and SC12 Rate III.</t>
  </si>
  <si>
    <t>TOD Demand Rate Design Summary for SC5 Rate II, SC8 Rate II, SC9 Rate II, SC12 Rate II, SC13 Rate II, and NYPA Rate II.</t>
  </si>
  <si>
    <t>TODL_RateDesignSummary</t>
  </si>
  <si>
    <t>TODL_RateDesign_SC5_II</t>
  </si>
  <si>
    <t>TODL_RateDesign_SC8_II</t>
  </si>
  <si>
    <t>TODL_RateDesign_SC9_II</t>
  </si>
  <si>
    <t>TODL_RateDesign_SC12_II</t>
  </si>
  <si>
    <t>TODL_RateDesign_SC13_II</t>
  </si>
  <si>
    <t>TODL_RateDesign_NYPA_II</t>
  </si>
  <si>
    <t>TODM_RateDesignSummary</t>
  </si>
  <si>
    <t>TODM_RateDesign_SC8_III</t>
  </si>
  <si>
    <t>TODM_RateDesign_SC9_III</t>
  </si>
  <si>
    <t>TODM_RateDesign_SC12_III</t>
  </si>
  <si>
    <t>8C.)ED Shift_RedgnRate_SC5 I</t>
  </si>
  <si>
    <t>8D.)ED Shift_RedgnRate_SC8 I</t>
  </si>
  <si>
    <t>8E.)ED Shift_RedgnRate_SC9</t>
  </si>
  <si>
    <t>8F.)ED Shift_RedgnRate_SC12</t>
  </si>
  <si>
    <t>11C.)Demand_RateDesign_SC8</t>
  </si>
  <si>
    <t>11E.)Demand_RateDesign_SC12</t>
  </si>
  <si>
    <t>11F.)Demand_RateDesign_NYPA</t>
  </si>
  <si>
    <t>11D.)Demand_RateDesign_SC9</t>
  </si>
  <si>
    <t>12B.)TOD_RateDesign_SC5_II</t>
  </si>
  <si>
    <t>12C.)TOD_RateDesign_SC8_II</t>
  </si>
  <si>
    <t>12D.)TOD_RateDesign_SC9_II</t>
  </si>
  <si>
    <t>12E.)TOD_RateDesign_SC12_II</t>
  </si>
  <si>
    <t>12F.)TOD_RateDesign_SC13_II</t>
  </si>
  <si>
    <t>12G.)TOD_RateDesign_NYPA_II</t>
  </si>
  <si>
    <t>13B.)TOD_RateDesign_SC8_III</t>
  </si>
  <si>
    <t>13C.)TOD_RateDesign_SC9_III</t>
  </si>
  <si>
    <t>13D.)TOD_RateDesign_SC12_III</t>
  </si>
  <si>
    <t>SC8 Rate II (Winter)_(8-6)</t>
  </si>
  <si>
    <t>SC8 Rate II (Winter)_(8-10)</t>
  </si>
  <si>
    <t>SC8 Rate II (Winter)_(All Day)</t>
  </si>
  <si>
    <t>SC8 Rate II (Summer)_(8-6)</t>
  </si>
  <si>
    <t>SC8 Rate II (Summer)_(8-10)</t>
  </si>
  <si>
    <t>SC8 Rate II (Summer)_(All Day)</t>
  </si>
  <si>
    <t>SC12 Rate II (Winter)_(8-6)</t>
  </si>
  <si>
    <t>SC12 Rate II (Winter)_(8-10)</t>
  </si>
  <si>
    <t>SC12 Rate II (Winter)_(All Day)</t>
  </si>
  <si>
    <t>SC12 Rate II (Summer)_(8-6)</t>
  </si>
  <si>
    <t>SC12 Rate II (Summer)_(8-10)</t>
  </si>
  <si>
    <t>SC12 Rate II (Summer)_(All Day)</t>
  </si>
  <si>
    <t>8-10</t>
  </si>
  <si>
    <t>SC1 Rate I Summer_Blk1</t>
  </si>
  <si>
    <t>SC1 Rate I Summer_Blk2</t>
  </si>
  <si>
    <t>SC1 Rate I Winter_Blk1</t>
  </si>
  <si>
    <t>SC1 Rate I Winter_Blk2</t>
  </si>
  <si>
    <t>SC1 Rate II Summer_OnPeak</t>
  </si>
  <si>
    <t>SC1 Rate II Summer_OffPeak</t>
  </si>
  <si>
    <t>SC1 Rate II Winter_OnPeak</t>
  </si>
  <si>
    <t>SC1 Rate II Winter_OffPeak</t>
  </si>
  <si>
    <t>SC1 Rate III Summer_OnPeak</t>
  </si>
  <si>
    <t>SC1 Rate III Summer_OffPeak</t>
  </si>
  <si>
    <t>SC1 Rate III Winter_OnPeak</t>
  </si>
  <si>
    <t>SC1 Rate III Winter_OffPeak</t>
  </si>
  <si>
    <t>SC2 Rate I Summer_Blk1</t>
  </si>
  <si>
    <t>SC2 Rate I Summer_Blk2</t>
  </si>
  <si>
    <t>SC2 Rate I Winter_Blk1</t>
  </si>
  <si>
    <t>SC2 Rate I Winter_Blk2</t>
  </si>
  <si>
    <t>SC2 Rate II Summer_OnPeak</t>
  </si>
  <si>
    <t>SC2 Rate II Summer_OffPeak</t>
  </si>
  <si>
    <t>SC2 Rate II Winter_OnPeak</t>
  </si>
  <si>
    <t>SC2 Rate II Winter_OffPeak</t>
  </si>
  <si>
    <t>SC6 (Summer)</t>
  </si>
  <si>
    <t>SC6 (Winter)</t>
  </si>
  <si>
    <t>11B.)Demand_RateDesign_SC5_I</t>
  </si>
  <si>
    <t>NYPA LT Energy (Summer)</t>
  </si>
  <si>
    <t>NYPA LT Energy (Winter)</t>
  </si>
  <si>
    <t>NYPA LT Demand (Summer)</t>
  </si>
  <si>
    <t>NYPA LT Demand (Winter)</t>
  </si>
  <si>
    <t>NYPA HT Energy (Summer)</t>
  </si>
  <si>
    <t>NYPA HT Energy (Winter)</t>
  </si>
  <si>
    <t>NYPA HT Demand (Summer)</t>
  </si>
  <si>
    <t>NYPA HT Demand (Winter)</t>
  </si>
  <si>
    <t>NYPA Rate II (Winter)_(8-6)</t>
  </si>
  <si>
    <t>NYPA Rate II (Winter)_(8-10)</t>
  </si>
  <si>
    <t>NYPA Rate II (Winter)_(All Day)</t>
  </si>
  <si>
    <t>NYPA Rate II (Summer)_(8-6)</t>
  </si>
  <si>
    <t>NYPA Rate II (Summer)_(8-10)</t>
  </si>
  <si>
    <t>NYPA Rate II (Summer)_(All Day)</t>
  </si>
  <si>
    <t>SC13 Rate II (Summer)_(All Day)</t>
  </si>
  <si>
    <t>SC13 Rate II (Winter)_(8-6)</t>
  </si>
  <si>
    <t>SC13 Rate II (Winter)_(8-10)</t>
  </si>
  <si>
    <t>SC13 Rate II (Winter)_(All Day)</t>
  </si>
  <si>
    <t>SC13 Rate II (Summer)_(8-6)</t>
  </si>
  <si>
    <t>SC13 Rate II (Summer)_(8-10)</t>
  </si>
  <si>
    <t>SC9 Rate II (Winter)_(8-6)</t>
  </si>
  <si>
    <t>SC9 Rate II (Winter)_(8-10)</t>
  </si>
  <si>
    <t>SC9 Rate II (Winter)_(All Day)</t>
  </si>
  <si>
    <t>SC9 Rate II (Summer)_(8-6)</t>
  </si>
  <si>
    <t>SC9 Rate II (Summer)_(8-10)</t>
  </si>
  <si>
    <t>SC9 Rate II (Summer)_(All Day)</t>
  </si>
  <si>
    <t>SC5 Rate II (Winter)_(8-6)</t>
  </si>
  <si>
    <t>SC5 Rate II (Winter)_(8-10)</t>
  </si>
  <si>
    <t>SC5 Rate II (Winter)_(All Day)</t>
  </si>
  <si>
    <t>SC5 Rate II (Summer)_(8-6)</t>
  </si>
  <si>
    <t>SC5 Rate II (Summer)_(8-10)</t>
  </si>
  <si>
    <t>SC5 Rate II (Summer)_(All Day)</t>
  </si>
  <si>
    <t>SC8 Rate III (Winter)_(8-6)</t>
  </si>
  <si>
    <t>SC8 Rate III (Winter)_(8-10)</t>
  </si>
  <si>
    <t>SC8 Rate III (Winter)_(All Day)</t>
  </si>
  <si>
    <t>SC8 Rate III (Summer)_(8-6)</t>
  </si>
  <si>
    <t>SC8 Rate III (Summer)_(8-10)</t>
  </si>
  <si>
    <t>SC8 Rate III (Summer)_(All Day)</t>
  </si>
  <si>
    <t>SC9 Rate III (Winter)_(8-6)</t>
  </si>
  <si>
    <t>SC9 Rate III (Winter)_(8-10)</t>
  </si>
  <si>
    <t>SC9 Rate III (Winter)_(All Day)</t>
  </si>
  <si>
    <t>SC9 Rate III (Summer)_(8-6)</t>
  </si>
  <si>
    <t>SC9 Rate III (Summer)_(8-10)</t>
  </si>
  <si>
    <t>SC9 Rate III (Summer)_(All Day)</t>
  </si>
  <si>
    <t>SC12 Rate III (Winter)_(8-6)</t>
  </si>
  <si>
    <t>SC12 Rate III (Winter)_(8-10)</t>
  </si>
  <si>
    <t>SC12 Rate III (Winter)_(All Day)</t>
  </si>
  <si>
    <t>SC12 Rate III (Summer)_(8-6)</t>
  </si>
  <si>
    <t>SC12 Rate III (Summer)_(8-10)</t>
  </si>
  <si>
    <t>SC12 Rate III (Summer)_(All Day)</t>
  </si>
  <si>
    <t>SC1 (Rate III)</t>
  </si>
  <si>
    <t>(Currnet - Original)</t>
  </si>
  <si>
    <t>(For Exhibit)</t>
  </si>
  <si>
    <t>kVar</t>
  </si>
  <si>
    <t>14A.)</t>
  </si>
  <si>
    <t>CECONY - Electric Riders Rates Design Summary</t>
  </si>
  <si>
    <t>Historical Year:</t>
  </si>
  <si>
    <t>Proposed Year:</t>
  </si>
  <si>
    <t>Rider D</t>
  </si>
  <si>
    <t>14B.)RateDesign_RiderD</t>
  </si>
  <si>
    <t>Service Connection - Summer</t>
  </si>
  <si>
    <t>Metered Service ($/Mo) - Summer</t>
  </si>
  <si>
    <t>Unmetered Service ($/Mo) - Summer</t>
  </si>
  <si>
    <t>Chg Per Add'l 125 mA ($/Mo) - Summer</t>
  </si>
  <si>
    <t>Service Connection - Winter</t>
  </si>
  <si>
    <t>Metered Service ($/Mo) - Winter</t>
  </si>
  <si>
    <t>Unmetered Service ($/Mo) - Winter</t>
  </si>
  <si>
    <t>Chg Per Add'l 125 mA ($/Mo) - Winter</t>
  </si>
  <si>
    <t>Price-Out</t>
  </si>
  <si>
    <t>T&amp;D Chg ($/kW) - Summer</t>
  </si>
  <si>
    <t>Meter Chg ($/Bill) - Summer</t>
  </si>
  <si>
    <t>T&amp;D Chg ($/kW) - Winter</t>
  </si>
  <si>
    <t>Meter Chg ($/Bill) - Winter</t>
  </si>
  <si>
    <t>14D.)RateDesign_kVar</t>
  </si>
  <si>
    <t>NYPA Facilities</t>
  </si>
  <si>
    <t>14E.)RateDesign_NY Facilities</t>
  </si>
  <si>
    <t>Furnishing &amp; Maintaining Control Eqpt</t>
  </si>
  <si>
    <t>Facilities Charge ($/Calendar Month)</t>
  </si>
  <si>
    <t>Service Connection</t>
  </si>
  <si>
    <t>Each Gong or Signal Circuit &lt; 125 milliamperes</t>
  </si>
  <si>
    <t>For Each Additional 125 Milliamperes</t>
  </si>
  <si>
    <t>14B.)</t>
  </si>
  <si>
    <t>HY Current T&amp;D Rev (Incl. CC):</t>
  </si>
  <si>
    <t>Sales (kWhs):</t>
  </si>
  <si>
    <t># Bills - Rider D:</t>
  </si>
  <si>
    <t>HY Rev @ Current Rate:</t>
  </si>
  <si>
    <t>A.) Rider D Proposed Revenue</t>
  </si>
  <si>
    <t>Rate Year:</t>
  </si>
  <si>
    <t>Proposed Rev</t>
  </si>
  <si>
    <t>HY @ Current</t>
  </si>
  <si>
    <t>B.) Rider D - Revenue Allocation for Summer &amp; Winter (Based on HY Bills):</t>
  </si>
  <si>
    <t>Proposed Revenue</t>
  </si>
  <si>
    <t>C.) Rider D - Revenue Allocation for Summer &amp; Winter (Based on Rate Increase %):</t>
  </si>
  <si>
    <t>SC1</t>
  </si>
  <si>
    <t>% Rate Increase</t>
  </si>
  <si>
    <t>Proposed Rate</t>
  </si>
  <si>
    <t>For Service Connection</t>
  </si>
  <si>
    <t>Metered Service - $/Month</t>
  </si>
  <si>
    <t>Unmetered Service - $/Month</t>
  </si>
  <si>
    <t>Change Per Additional 125 Milliamperes - $/Month</t>
  </si>
  <si>
    <t xml:space="preserve">HY Rev @ Current Rate (Excl. EDB): </t>
  </si>
  <si>
    <t xml:space="preserve">HY Rev @ Current Rate (Incl. EDB): </t>
  </si>
  <si>
    <t>HY w. Current Rates</t>
  </si>
  <si>
    <t>HY @ Current Rate</t>
  </si>
  <si>
    <t>T&amp;D Charge</t>
  </si>
  <si>
    <t>x</t>
  </si>
  <si>
    <t>Meter Charge</t>
  </si>
  <si>
    <t>HY w. Proposed Rates</t>
  </si>
  <si>
    <t>kVar Charge</t>
  </si>
  <si>
    <t>Reactive Power Demand Charge</t>
  </si>
  <si>
    <t>For each kvar determined in accordance with Special Provision E: CECONY</t>
  </si>
  <si>
    <t>at Current Rate</t>
  </si>
  <si>
    <t>per kilovar per month</t>
  </si>
  <si>
    <t>Overall Rate Change</t>
  </si>
  <si>
    <t>at New Rate Effective</t>
  </si>
  <si>
    <t>For each kvar determined in accordance with General Provision I: NYPA</t>
  </si>
  <si>
    <t>A.) NY Facilities Rate Design</t>
  </si>
  <si>
    <t>NY Facilities - Revenue Allocation for Summer &amp; Winter (Based on Rate Increase %):</t>
  </si>
  <si>
    <t>Facilities and Service Connection Charges - For Street Lighting and Fire Alarm or Signal Systems</t>
  </si>
  <si>
    <t>Furnishing &amp; Maintaining Control Equipment Charge ($/Calendar Month)</t>
  </si>
  <si>
    <t>Service Connection &amp; Gong or Signal Circuit -</t>
  </si>
  <si>
    <t>For Each Gong or Signal Circuit or Combination of Gong or Signal Circuits &lt; 125 milliamperes</t>
  </si>
  <si>
    <t>14A</t>
  </si>
  <si>
    <t>Riders__RateDesignSummary</t>
  </si>
  <si>
    <t>14B</t>
  </si>
  <si>
    <t>RateDesign_RiderD</t>
  </si>
  <si>
    <t>14C</t>
  </si>
  <si>
    <t>RateDesign_RiderH</t>
  </si>
  <si>
    <t>14D</t>
  </si>
  <si>
    <t>RateDesign_kVar</t>
  </si>
  <si>
    <t>RateDesign_NY Facilities</t>
  </si>
  <si>
    <t>Riders Rates Summary</t>
  </si>
  <si>
    <t>Rider D Rate Design</t>
  </si>
  <si>
    <t>Rigerh H Rate Design</t>
  </si>
  <si>
    <t>kVar Charges Rates</t>
  </si>
  <si>
    <t>NY Facilities Rates from NYPA</t>
  </si>
  <si>
    <t>(Option 1)</t>
  </si>
  <si>
    <t>(Option 2)</t>
  </si>
  <si>
    <t>(Option 3)</t>
  </si>
  <si>
    <t>(Option 4)</t>
  </si>
  <si>
    <t>(Option 5)</t>
  </si>
  <si>
    <t>Option #1.)</t>
  </si>
  <si>
    <t>Option #2.)</t>
  </si>
  <si>
    <t>Option #3.)</t>
  </si>
  <si>
    <t>Option #4.)</t>
  </si>
  <si>
    <t>Option #5.)</t>
  </si>
  <si>
    <r>
      <rPr>
        <b/>
        <sz val="14"/>
        <color theme="1"/>
        <rFont val="Calibri"/>
        <family val="2"/>
        <scheme val="minor"/>
      </rPr>
      <t xml:space="preserve">8A.) </t>
    </r>
    <r>
      <rPr>
        <b/>
        <u/>
        <sz val="14"/>
        <color theme="1"/>
        <rFont val="Calibri"/>
        <family val="2"/>
        <scheme val="minor"/>
      </rPr>
      <t>Demand Revenue Shifting for Different % Options:</t>
    </r>
  </si>
  <si>
    <t xml:space="preserve">           *Choose the % Shifting in the "8B" worksheet.  After shifting, generate the results (redesigned rates) in "8B" for rate design use.</t>
  </si>
  <si>
    <t>(Input)</t>
  </si>
  <si>
    <t xml:space="preserve">  </t>
  </si>
  <si>
    <t xml:space="preserve">Customer Charge: </t>
  </si>
  <si>
    <t xml:space="preserve">Energy Charge: </t>
  </si>
  <si>
    <t>SC6 - Cust Charge</t>
  </si>
  <si>
    <t>SC1 Rate I - Cust Charge</t>
  </si>
  <si>
    <t>SC1(LI) Rate I - Cust Charge</t>
  </si>
  <si>
    <t>SC1 Rate II - Cust Charge</t>
  </si>
  <si>
    <t>SC1 Rate III - Cust Charge</t>
  </si>
  <si>
    <t>SC2 Rate I - Cust Charge</t>
  </si>
  <si>
    <t>SC2 Rate II - Cust Charge</t>
  </si>
  <si>
    <t>(Redesigned Rate)</t>
  </si>
  <si>
    <t>Original (Incl. EDB) - Rev from Pxout</t>
  </si>
  <si>
    <t>Current Rate Use:</t>
  </si>
  <si>
    <t>ED Shifting</t>
  </si>
  <si>
    <t>ECOS Study  =&gt;</t>
  </si>
  <si>
    <t>Current Demand =&gt;</t>
  </si>
  <si>
    <t>ED Shifting Option:</t>
  </si>
  <si>
    <t>ECOS = &gt;</t>
  </si>
  <si>
    <t>Current Demand Rate= &gt;</t>
  </si>
  <si>
    <t>- Based on ED Shifting of:</t>
  </si>
  <si>
    <t>SC9</t>
  </si>
  <si>
    <t xml:space="preserve"> </t>
  </si>
  <si>
    <t>(a3)=(a2) / (a1)</t>
  </si>
  <si>
    <t>(a8)=sum(a4:a7)</t>
  </si>
  <si>
    <t>(a4) = bills * rate</t>
  </si>
  <si>
    <t>(a5) = bills * rate</t>
  </si>
  <si>
    <t>(a6) = bills * rate</t>
  </si>
  <si>
    <t>(a7) = bills * rate</t>
  </si>
  <si>
    <t>(a3)</t>
  </si>
  <si>
    <t>(b7)</t>
  </si>
  <si>
    <t>(b8)</t>
  </si>
  <si>
    <t>(b9)=(b2)-(b6)</t>
  </si>
  <si>
    <t>(b10)=(b4)-(b6)</t>
  </si>
  <si>
    <t>(b11)=(b8)-(b6)</t>
  </si>
  <si>
    <t>(b14)</t>
  </si>
  <si>
    <t>(b12)=(b9)*(1+(a3))</t>
  </si>
  <si>
    <t>(b13)=(b10)*(1+(a3))</t>
  </si>
  <si>
    <t>Blk 2 - Demand Revenue</t>
  </si>
  <si>
    <t>(b15)=(b11)*(1+(a3))</t>
  </si>
  <si>
    <t>kW*X+kW*(b12)</t>
  </si>
  <si>
    <t>kW*X+kW*(b14)</t>
  </si>
  <si>
    <t>kW*X+kW*(b13)</t>
  </si>
  <si>
    <t>kW*X+kW*(b15)</t>
  </si>
  <si>
    <t>(a12)=kW*X+kW*Variation</t>
  </si>
  <si>
    <t>(a12)=(b16)*X+(b17)</t>
  </si>
  <si>
    <t>(a12)-(b17) = (b16) * X</t>
  </si>
  <si>
    <t>X = ((a12)-(b17)) / (b16)</t>
  </si>
  <si>
    <t>(b18)</t>
  </si>
  <si>
    <t>Proposed Rate Increase</t>
  </si>
  <si>
    <t>(a9)=(a8)+(1+(a3))</t>
  </si>
  <si>
    <t>(a10)</t>
  </si>
  <si>
    <t>(a11)=(a10)*(1+(a10))</t>
  </si>
  <si>
    <t>Increase for Blk 1</t>
  </si>
  <si>
    <t>kW*(X+(b12))</t>
  </si>
  <si>
    <t>kW*(X+(b13))</t>
  </si>
  <si>
    <t>kW*(X+(b15))</t>
  </si>
  <si>
    <t>kW*(X+(b14))</t>
  </si>
  <si>
    <t>(c1)=(b1)*(1+(a3))</t>
  </si>
  <si>
    <t>(c3)=(b3)*(1+(a3))</t>
  </si>
  <si>
    <t>(c5)=(b5)*(1+(a3))</t>
  </si>
  <si>
    <t>(c2)=(b12)+(b18)</t>
  </si>
  <si>
    <t>(c4)=(b13)+(b18)</t>
  </si>
  <si>
    <t>(c6)=(b7)*(1+(a3))</t>
  </si>
  <si>
    <t>(c7)=(b15)+(b18)</t>
  </si>
  <si>
    <t>(d2)=(a2)+(1+EDB)</t>
  </si>
  <si>
    <t>(d3)=(d1)-(d2)</t>
  </si>
  <si>
    <t>(d6)</t>
  </si>
  <si>
    <t>Ratio of Winter LT</t>
  </si>
  <si>
    <t>kWh * (Ratio * X)</t>
  </si>
  <si>
    <t>(d10)</t>
  </si>
  <si>
    <t>(d8)=(d4)/(d6)</t>
  </si>
  <si>
    <t>(d9)=(d5)/(d6)</t>
  </si>
  <si>
    <t>(d11)=(d7)/(d6)</t>
  </si>
  <si>
    <t>(d12) * X</t>
  </si>
  <si>
    <t>(d13) * X</t>
  </si>
  <si>
    <t>(d14) * X</t>
  </si>
  <si>
    <t>(d15) * X</t>
  </si>
  <si>
    <t>(d3)= (d16) * X</t>
  </si>
  <si>
    <t>(d16)=sum(d12:d15)</t>
  </si>
  <si>
    <t>X = (d3) / (d16)</t>
  </si>
  <si>
    <t>(d17)</t>
  </si>
  <si>
    <t>Blk 2&amp;3 - Demand Revenue</t>
  </si>
  <si>
    <t>(d18)=(d7)*(d8)</t>
  </si>
  <si>
    <t>(d19)=(d7)*(d9)</t>
  </si>
  <si>
    <t>(d20)=(d7)*(d11)</t>
  </si>
  <si>
    <t>Proposed Block 2&amp;3 Demand Rev</t>
  </si>
  <si>
    <t>Proposed Rates Px-out Rev Details:</t>
  </si>
  <si>
    <t>Target</t>
  </si>
  <si>
    <t>On-Peak</t>
  </si>
  <si>
    <t>Off-Peak</t>
  </si>
  <si>
    <t>Less: Unmetered Customer Charge</t>
  </si>
  <si>
    <t>Demand Revenue (Incl. EDB)</t>
  </si>
  <si>
    <t>Proposed MMC (Current Rate + Rate Change)</t>
  </si>
  <si>
    <t>Proposed ECO DEV Discount (Current Rate + Rate Change)</t>
  </si>
  <si>
    <t>Proposed Standby (Current Rate + Rate Change)</t>
  </si>
  <si>
    <t>Subtotal</t>
  </si>
  <si>
    <t>SC12 Rate III - Priceout with Proposed Rates</t>
  </si>
  <si>
    <t>(Rate III)</t>
  </si>
  <si>
    <t>SC12 Rate III Only</t>
  </si>
  <si>
    <t>SC9 Rate III - Priceout with Proposed Rates</t>
  </si>
  <si>
    <t>SC9 Rate III Only</t>
  </si>
  <si>
    <t>SC8 Rate I&amp;III</t>
  </si>
  <si>
    <t>SC8 Rate III Only</t>
  </si>
  <si>
    <t>Current Effective Rate for:</t>
  </si>
  <si>
    <t>Summer &amp; Winter Details</t>
  </si>
  <si>
    <t>(HY Data w.Current Rates)</t>
  </si>
  <si>
    <t>(HY Data w.Proposed Rates)</t>
  </si>
  <si>
    <t>RY Level</t>
  </si>
  <si>
    <t>14E</t>
  </si>
  <si>
    <t>15A</t>
  </si>
  <si>
    <t>15B</t>
  </si>
  <si>
    <t>15C</t>
  </si>
  <si>
    <t>(a4)</t>
  </si>
  <si>
    <t>Customer Charge</t>
  </si>
  <si>
    <t>7B</t>
  </si>
  <si>
    <t>CustCharge_RateDesign</t>
  </si>
  <si>
    <t>Customer Charge Rate Design (SC1, SC2 Rate I, SC2 Rate II, and SC6)</t>
  </si>
  <si>
    <r>
      <rPr>
        <b/>
        <sz val="14"/>
        <color theme="1"/>
        <rFont val="Calibri"/>
        <family val="2"/>
        <scheme val="minor"/>
      </rPr>
      <t xml:space="preserve">7B.) </t>
    </r>
    <r>
      <rPr>
        <b/>
        <u/>
        <sz val="14"/>
        <color theme="1"/>
        <rFont val="Calibri"/>
        <family val="2"/>
        <scheme val="minor"/>
      </rPr>
      <t>Customer Charge Rates Design</t>
    </r>
  </si>
  <si>
    <t>Rounding $:</t>
  </si>
  <si>
    <t>RY 1</t>
  </si>
  <si>
    <t>Customer Cost</t>
  </si>
  <si>
    <t>SC1 &amp; 7</t>
  </si>
  <si>
    <t>Proposed Annual Historical Rate Increase to be in RY1 - System</t>
  </si>
  <si>
    <t>Embedded Customer Cost Excl. BPP at RY1 Level</t>
  </si>
  <si>
    <t>(a5)=(a3)*(1+a4)</t>
  </si>
  <si>
    <t>Add: BPP Charge</t>
  </si>
  <si>
    <t>Embedded Customer Cost at RY1 Level</t>
  </si>
  <si>
    <t>(a6)=(a5)+(a2)</t>
  </si>
  <si>
    <t>Customer Charge at Current Rate Level Excl. BPP</t>
  </si>
  <si>
    <t>Incremental Metering Charge for Rate II</t>
  </si>
  <si>
    <t>Cust Charge at Current Rate Level (Excl. Incremental Metering)</t>
  </si>
  <si>
    <t>(b3)=(b1)-(b2)</t>
  </si>
  <si>
    <t>Add: BPP Charge at Current Level</t>
  </si>
  <si>
    <t>Customer Charge Incl. BPP at Current Level</t>
  </si>
  <si>
    <t>(b5)=(b3)+(b4)</t>
  </si>
  <si>
    <t>Difference (Current Rate vs. Embedded Cost)</t>
  </si>
  <si>
    <t>Current Cust Charge vs. Embedded Cust Cost (Excl. BPP)</t>
  </si>
  <si>
    <t>(c1)=(b3)-(a5)</t>
  </si>
  <si>
    <t>Current Cust Charge vs. Embedded Cust Cost (Incl. BPP)</t>
  </si>
  <si>
    <t>(c2)=(b5)-(a6)</t>
  </si>
  <si>
    <t>Increase % in Customer Charge Excl. BPP</t>
  </si>
  <si>
    <t>Customer Charge at Current Level (Excl. BPP)</t>
  </si>
  <si>
    <t>(d1)=(b3)</t>
  </si>
  <si>
    <t>Embedded Customer Cost at RY1 Level (Excl. BPP)</t>
  </si>
  <si>
    <t>(d2)=(a5)</t>
  </si>
  <si>
    <t>% Increase in Customer Charge (Excl. BPP)</t>
  </si>
  <si>
    <t>(d3)=(d2)/(d1)-1</t>
  </si>
  <si>
    <t>Customer Charge at Current Level (Incl. BPP)</t>
  </si>
  <si>
    <t>(e1)=(b5)</t>
  </si>
  <si>
    <t>Embedded Customer Cost at RY1 Level (Incl. BPP)</t>
  </si>
  <si>
    <t>(e2)=(a6)</t>
  </si>
  <si>
    <t>% Increase in Customer Charge (Incl. BPP)</t>
  </si>
  <si>
    <t>(e3)=(e2)/(e1)-1</t>
  </si>
  <si>
    <t xml:space="preserve">Mutiplier of avg. system increase </t>
  </si>
  <si>
    <t>which would yield escalated embedded customer cost (excl BPP)</t>
  </si>
  <si>
    <t>(f1)=((d2)-(d1))/((d1)*(a4))</t>
  </si>
  <si>
    <t>[ (Cost - Current Charge) / (Current Rate Increase) ]</t>
  </si>
  <si>
    <t>Proposed Rate Year Multiplier</t>
  </si>
  <si>
    <t>(f2) = INPUT</t>
  </si>
  <si>
    <t>&lt;= Set the Multiplier</t>
  </si>
  <si>
    <t>Proposed % Rate Increase in RY1 - Avg. System Rate Increase times Multiplier</t>
  </si>
  <si>
    <t>(f3)=(a4)*(f2)</t>
  </si>
  <si>
    <t>Gauge for Proposed Customer Charge - Eff. In RY1</t>
  </si>
  <si>
    <t>(f4)=(d1)*(1+(f3))</t>
  </si>
  <si>
    <t>Final Decision for Proposed Customer Charge (Excl. BPP)</t>
  </si>
  <si>
    <t>(g1) = INPUT</t>
  </si>
  <si>
    <t>&lt;= Update Links to Choose the Rates</t>
  </si>
  <si>
    <t xml:space="preserve">      *Choose (f4) for change or (d1) for no change.</t>
  </si>
  <si>
    <t>Incremental Metering Charge for Rate II at Current Level</t>
  </si>
  <si>
    <t>(g2) = (b2)</t>
  </si>
  <si>
    <t>Proposed Incremental Metering Charge (Escalated by System Average Increase)</t>
  </si>
  <si>
    <t>(g3) = (g2)*(1+(a4))</t>
  </si>
  <si>
    <t>Final Decision for Proposed Incremental Metering Charge</t>
  </si>
  <si>
    <t>(g4) = INPUT</t>
  </si>
  <si>
    <t xml:space="preserve">      *Choose (g3) for change or (g2) for no change.</t>
  </si>
  <si>
    <t>Final Decision for Proposed BPP</t>
  </si>
  <si>
    <t>(g5) = INPUT</t>
  </si>
  <si>
    <t>Proposed Customer Charge in RY1</t>
  </si>
  <si>
    <t>Proposed Customer Charge Excl. BPP</t>
  </si>
  <si>
    <t>(h1) = (g1)</t>
  </si>
  <si>
    <t>Proposed Incremental Metering Charge for Rate II</t>
  </si>
  <si>
    <t>(h2) = (g4)</t>
  </si>
  <si>
    <t>Proposed Cust Charge (Excl. Incremental Metering)</t>
  </si>
  <si>
    <t>(h3) = (h1) + (h2)</t>
  </si>
  <si>
    <t>Add: Proposed BPP Charge</t>
  </si>
  <si>
    <t>(h4) = (g5)</t>
  </si>
  <si>
    <t>Proposed Customer Charge Incl. BPP</t>
  </si>
  <si>
    <t>(h5) = (h3) + (g5)</t>
  </si>
  <si>
    <t>(Current - Original)</t>
  </si>
  <si>
    <t>SC8 Rate III - Priceout with Proposed Rates</t>
  </si>
  <si>
    <t>13B.)</t>
  </si>
  <si>
    <t>13C.)</t>
  </si>
  <si>
    <t>13D.)</t>
  </si>
  <si>
    <t>HL_RedgnRate_SC9_II</t>
  </si>
  <si>
    <t>Redesign Rate Model for High/Low Tension Shifting (SC9 Rate II)</t>
  </si>
  <si>
    <t>HL_RedgnRate_NYPA_I</t>
  </si>
  <si>
    <t>Redesign Rate Model for High/Low Tension Shifting (NYPA Rate I)</t>
  </si>
  <si>
    <t>9G</t>
  </si>
  <si>
    <t>9H</t>
  </si>
  <si>
    <t>9I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</si>
  <si>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Current Level Blk 1 Demand Charge (Incl. EDB)</t>
    </r>
  </si>
  <si>
    <t>Demand Revenue in Remaining Blocks at Current Level (Excl. EDB)</t>
  </si>
  <si>
    <t>(a12)</t>
  </si>
  <si>
    <t>(a15)</t>
  </si>
  <si>
    <t>(a13)=(a8)*(a12)</t>
  </si>
  <si>
    <t>(a14)=(a9)*(a12)</t>
  </si>
  <si>
    <t>(a15)=(a11)*(a12)</t>
  </si>
  <si>
    <t>(a16)</t>
  </si>
  <si>
    <t>(a17)</t>
  </si>
  <si>
    <t>(a18)=((a16)+(a17)-(a15))/(a12)</t>
  </si>
  <si>
    <t>Less: Current Level Blk 1 Demand Charge (Incl. EDB)</t>
  </si>
  <si>
    <r>
      <rPr>
        <b/>
        <sz val="14"/>
        <color theme="1"/>
        <rFont val="Calibri"/>
        <family val="2"/>
        <scheme val="minor"/>
      </rPr>
      <t xml:space="preserve">15A.) </t>
    </r>
    <r>
      <rPr>
        <b/>
        <u/>
        <sz val="14"/>
        <color theme="1"/>
        <rFont val="Calibri"/>
        <family val="2"/>
        <scheme val="minor"/>
      </rPr>
      <t>Revenue Neutral Rate Redesign to Reflect Revenue Shift to Minimum Demand</t>
    </r>
  </si>
  <si>
    <t>Demand Revenue in Remaining Blocks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</si>
  <si>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Blk 1 Demand Charge (Excl. EDB)</t>
    </r>
  </si>
  <si>
    <t>Demand Charge (Excl. EDB)</t>
  </si>
  <si>
    <t>Current Level</t>
  </si>
  <si>
    <t>Proposed Level</t>
  </si>
  <si>
    <t>% Increase for Blk 2 Demand Rev with Rev Shifting:</t>
  </si>
  <si>
    <t>Minimum Demand Shifting:</t>
  </si>
  <si>
    <r>
      <rPr>
        <b/>
        <sz val="14"/>
        <color theme="1"/>
        <rFont val="Calibri"/>
        <family val="2"/>
        <scheme val="minor"/>
      </rPr>
      <t xml:space="preserve">15B.) </t>
    </r>
    <r>
      <rPr>
        <b/>
        <u/>
        <sz val="14"/>
        <color theme="1"/>
        <rFont val="Calibri"/>
        <family val="2"/>
        <scheme val="minor"/>
      </rPr>
      <t>Revenue Neutral Rate Redesign to Reflect Revenue Shift to Minimum Demand</t>
    </r>
  </si>
  <si>
    <r>
      <rPr>
        <b/>
        <sz val="14"/>
        <color theme="1"/>
        <rFont val="Calibri"/>
        <family val="2"/>
        <scheme val="minor"/>
      </rPr>
      <t xml:space="preserve">15C.) </t>
    </r>
    <r>
      <rPr>
        <b/>
        <u/>
        <sz val="14"/>
        <color theme="1"/>
        <rFont val="Calibri"/>
        <family val="2"/>
        <scheme val="minor"/>
      </rPr>
      <t>Revenue Neutral Rate Redesign to Reflect Revenue Shift to Minimum Demand</t>
    </r>
  </si>
  <si>
    <r>
      <rPr>
        <b/>
        <sz val="14"/>
        <color theme="1"/>
        <rFont val="Calibri"/>
        <family val="2"/>
        <scheme val="minor"/>
      </rPr>
      <t xml:space="preserve">15D.) </t>
    </r>
    <r>
      <rPr>
        <b/>
        <u/>
        <sz val="14"/>
        <color theme="1"/>
        <rFont val="Calibri"/>
        <family val="2"/>
        <scheme val="minor"/>
      </rPr>
      <t>Revenue Neutral Rate Redesign to Reflect Revenue Shift to Minimum Demand</t>
    </r>
  </si>
  <si>
    <r>
      <rPr>
        <b/>
        <sz val="14"/>
        <color theme="1"/>
        <rFont val="Calibri"/>
        <family val="2"/>
        <scheme val="minor"/>
      </rPr>
      <t xml:space="preserve">15E.) </t>
    </r>
    <r>
      <rPr>
        <b/>
        <u/>
        <sz val="14"/>
        <color theme="1"/>
        <rFont val="Calibri"/>
        <family val="2"/>
        <scheme val="minor"/>
      </rPr>
      <t>Revenue Neutral Rate Redesign to Reflect Revenue Shift to Minimum Demand</t>
    </r>
  </si>
  <si>
    <t>15D</t>
  </si>
  <si>
    <t>15E</t>
  </si>
  <si>
    <t>Redesign Rate Model for Minimum Demand Revenue Shifting (SC5 Rate I)</t>
  </si>
  <si>
    <t>Redesign Rate Model for Minimum Demand Revenue Shifting (SC8 Rate I)</t>
  </si>
  <si>
    <t>Redesign Rate Model for Minimum Demand Revenue Shifting (SC9 Rate I)</t>
  </si>
  <si>
    <t>Redesign Rate Model for Minimum Demand Revenue Shifting (SC12 Rate I)</t>
  </si>
  <si>
    <t>Redesigned Rate Summary of Minimum Demand Revenue Shifting (Rate I - SC5, 8, 9, and 12)</t>
  </si>
  <si>
    <t>MD Shift_RedesignRate</t>
  </si>
  <si>
    <t>MD Shift_RedgnRate_SC5_I</t>
  </si>
  <si>
    <t>MD Shift_RedgnRate_SC8_I</t>
  </si>
  <si>
    <t>MD Shift_RedgnRate_SC9_I</t>
  </si>
  <si>
    <t>MD Shift_RedgnRate_SC12_I</t>
  </si>
  <si>
    <t>15C.)ED Shift_RedgnRate_SC5 I</t>
  </si>
  <si>
    <t>15D.)ED Shift_RedgnRate_SC15 I</t>
  </si>
  <si>
    <t>15F.)ED Shift_RedgnRate_SC12</t>
  </si>
  <si>
    <t>(a10)=(a9)*(a3)</t>
  </si>
  <si>
    <t>(a11)=(a9)+(a10)</t>
  </si>
  <si>
    <t>Proposed Minimum Demand Increase</t>
  </si>
  <si>
    <t>(a11)</t>
  </si>
  <si>
    <t>(a12)=(a1)+(a2)-(a11)</t>
  </si>
  <si>
    <t>(a9)</t>
  </si>
  <si>
    <t>(a13)=(a1)+(a2)-(a9)</t>
  </si>
  <si>
    <t>(a14)=(a12)/(a13)</t>
  </si>
  <si>
    <t>Current (H/L Shift)</t>
  </si>
  <si>
    <t>ED shifting</t>
  </si>
  <si>
    <t>*Redesigned Rate</t>
  </si>
  <si>
    <t>*Redesigned Rates</t>
  </si>
  <si>
    <t>Price-out SC1 Rate III with Actual Customers @ Proposed Rates</t>
  </si>
  <si>
    <t>Rate III %</t>
  </si>
  <si>
    <t>14C.)RateDesign_SC1(ProvD)</t>
  </si>
  <si>
    <t>SC1 Provision D (Formly Rider H)</t>
  </si>
  <si>
    <t># Bills - SC1(ProvD)</t>
  </si>
  <si>
    <t>Rider D &amp; Prov D:</t>
  </si>
  <si>
    <t>Sources:</t>
  </si>
  <si>
    <t>BPP Charges</t>
  </si>
  <si>
    <t>Total BPP Charge</t>
  </si>
  <si>
    <t>Unit Cost for Printing and Mailing a Bill</t>
  </si>
  <si>
    <t>Unit Cost for Payment Processing</t>
  </si>
  <si>
    <t>(2017 ECOS)</t>
  </si>
  <si>
    <t>(2013 ECOS)</t>
  </si>
  <si>
    <t xml:space="preserve">*I:\Rate Engineering\ELECRATE\RateCase 2019\Initial Filing\ECOS Study\ECOS Study Results\EXHIBIT ___(DAC_2), Schedule 5.xlsx </t>
  </si>
  <si>
    <t xml:space="preserve">  (Tabs: "2017 Printing &amp; Mailing a Bill" and "2017 Receipts Processing")</t>
  </si>
  <si>
    <t>7C</t>
  </si>
  <si>
    <t>BPP_Rates</t>
  </si>
  <si>
    <t>BPP Rates in Detailed (Summary for Proposed, Current, and Last Case Proposed)</t>
  </si>
  <si>
    <r>
      <t>Less: BPP Cost</t>
    </r>
    <r>
      <rPr>
        <vertAlign val="superscript"/>
        <sz val="11"/>
        <color theme="1"/>
        <rFont val="Calibri"/>
        <family val="2"/>
        <scheme val="minor"/>
      </rPr>
      <t xml:space="preserve"> (2)</t>
    </r>
  </si>
  <si>
    <r>
      <t>HY Embedded Customer Cost in the 2017 ECOS Study</t>
    </r>
    <r>
      <rPr>
        <vertAlign val="superscript"/>
        <sz val="11"/>
        <color theme="1"/>
        <rFont val="Calibri"/>
        <family val="2"/>
        <scheme val="minor"/>
      </rPr>
      <t xml:space="preserve"> (1)</t>
    </r>
  </si>
  <si>
    <t>HY Embedded Customer Cost Excl. BPP</t>
  </si>
  <si>
    <t>Round %</t>
  </si>
  <si>
    <t>9D.)HL_RedgnRate_SC12_I</t>
  </si>
  <si>
    <t>9E.)HL_RedgnRate_NYPA_I</t>
  </si>
  <si>
    <t>9F.)HL_RedgnRate_SC5_II</t>
  </si>
  <si>
    <t>9G.)HL_RedgnRate_SC8_II</t>
  </si>
  <si>
    <t>9H.)HL_RedgnRate_SC9_II</t>
  </si>
  <si>
    <t>9I.)HL_RedgnRate_SC12_II</t>
  </si>
  <si>
    <t>9C.)HL_RedgnRate_SC5_I</t>
  </si>
  <si>
    <t>*ECOS Unit Cost is based on the 2017 ECOS Study.</t>
  </si>
  <si>
    <t>5.) Use the Redesigned Rates for Rate Design.</t>
  </si>
  <si>
    <t>LT Unit Costs</t>
  </si>
  <si>
    <t>HT Unit Costs</t>
  </si>
  <si>
    <t>Tariff HT Rates</t>
  </si>
  <si>
    <t>Tariff LT Rates</t>
  </si>
  <si>
    <t>H/L Tension Rates Differential</t>
  </si>
  <si>
    <t>ECOS</t>
  </si>
  <si>
    <t>(a3) = (a2) - (a1)</t>
  </si>
  <si>
    <t>(a4) = (a1) / (a2)</t>
  </si>
  <si>
    <t>(b3) = (b2) - (b1)</t>
  </si>
  <si>
    <t>(b4) = (b1) / (b2)</t>
  </si>
  <si>
    <t>(c) = (b4) - (a4)</t>
  </si>
  <si>
    <r>
      <t xml:space="preserve">Selection Criteria </t>
    </r>
    <r>
      <rPr>
        <sz val="11"/>
        <color theme="1"/>
        <rFont val="Calibri"/>
        <family val="2"/>
        <scheme val="minor"/>
      </rPr>
      <t>***</t>
    </r>
  </si>
  <si>
    <t>*ECOS Study</t>
  </si>
  <si>
    <t>ECOS Study</t>
  </si>
  <si>
    <t>Adj for Incremental Metering Charge</t>
  </si>
  <si>
    <t>Total Adjustments</t>
  </si>
  <si>
    <t>Rate I - Customer Charge</t>
  </si>
  <si>
    <t>Total Cust Charge (Excl. EDB) - Current Level</t>
  </si>
  <si>
    <t>Total Cust Charge (Incl. EDB) - Current Level</t>
  </si>
  <si>
    <t>Customer Charge at Current Level:</t>
  </si>
  <si>
    <t>Total Cust Charge (Excl. EDB) - Proposed Level</t>
  </si>
  <si>
    <t>EDB Rev (For CC) - Current Level</t>
  </si>
  <si>
    <t>EDB Rev (For CC) - Proposed Level</t>
  </si>
  <si>
    <t>SC2 Unmetered</t>
  </si>
  <si>
    <t>SC2 Unmetered D</t>
  </si>
  <si>
    <t>Adj for Unmetered Credit</t>
  </si>
  <si>
    <t>HY # Bills (Non-Low Income)</t>
  </si>
  <si>
    <t>HY # Bills (Low Income)</t>
  </si>
  <si>
    <t>Est. Average Rate System Rate Increase</t>
  </si>
  <si>
    <t>RY Forecast Customer</t>
  </si>
  <si>
    <t>RY Forecast Customer (Based on Allocation)</t>
  </si>
  <si>
    <t>Annual EDB</t>
  </si>
  <si>
    <t>HY - Total Cust Charge at Current Level</t>
  </si>
  <si>
    <t>HY - Total Cust Charge at Proposed Level</t>
  </si>
  <si>
    <t>RY - Total Cust Charge at Current Level</t>
  </si>
  <si>
    <t>RY - Total Cust Charge at Proposed Level</t>
  </si>
  <si>
    <t>CC Fore</t>
  </si>
  <si>
    <t>Diff</t>
  </si>
  <si>
    <t>HY Cust Charge - Proposed Level</t>
  </si>
  <si>
    <t>HY Cust Charge (Incl. EDB) - Proposed Level</t>
  </si>
  <si>
    <t>HY Data</t>
  </si>
  <si>
    <t>Seasonal Differential</t>
  </si>
  <si>
    <t>Block Differential</t>
  </si>
  <si>
    <t xml:space="preserve">Proposed Energy Revenue Change Incl. EDB - SC1 Rate I: </t>
  </si>
  <si>
    <t xml:space="preserve">Proposed Energy Revenue Change Incl. EDB - SC1 Rate I &amp; II: </t>
  </si>
  <si>
    <t>Proposed T&amp;D Revenue - Rider D &amp; Prov D:</t>
  </si>
  <si>
    <t>Current Level Energy Charge (Excl. Cust Chg) - SC1 Rate I &amp;II:</t>
  </si>
  <si>
    <t>Proposed Revenue Change Applicable to T&amp;D Rev (Excl. Cust Chg) Incl. EDB - Rate I &amp; II</t>
  </si>
  <si>
    <t>Proposed Revenue Change Applicable to T&amp;D Rev (Excl. Cust Chg) Incl. EDB - Rate I</t>
  </si>
  <si>
    <t>Add: Meter Cost</t>
  </si>
  <si>
    <t>On Peak kWh</t>
  </si>
  <si>
    <t>On Peak</t>
  </si>
  <si>
    <t>Cust Charge (Incl. Meter Cost)</t>
  </si>
  <si>
    <t xml:space="preserve"># Bills - SC1 Rate III: </t>
  </si>
  <si>
    <t xml:space="preserve">Proposed Energy Revenue Change (Incl. LI) Incl. EDB - SC1 Rate I, II, III: </t>
  </si>
  <si>
    <t>(Rate I, II, III)</t>
  </si>
  <si>
    <t>T&amp;D Revenue @ Current Level (Excl Cust Chg &amp; Incl EDB) - Rate I, II, III</t>
  </si>
  <si>
    <t>Proposed Revenue Change Applicable to T&amp;D Rev (Excl. Cust Chg &amp; Incl EDB) - Rate I, II, III</t>
  </si>
  <si>
    <t>Proposed T&amp;D Revenue (Excl. Cust Chg &amp; Incl. EDB) - Rate I, II, III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</si>
  <si>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Proposed Cust Charge Incl. EDB (Rate I, II, III)</t>
    </r>
  </si>
  <si>
    <t>Total Revenue Requirement (Incl. EDB) for Rate Design of SC1 Rate III</t>
  </si>
  <si>
    <t>Less: Customer Charge - Rate I, II, III</t>
  </si>
  <si>
    <t># Bills - Rate I, II, III</t>
  </si>
  <si>
    <t>Assume: (Rate I &amp; II Customers can transfer to Rate III)</t>
  </si>
  <si>
    <t>Proposed Revenue Requirement for Block Rate Excl EDB</t>
  </si>
  <si>
    <t>Current Energy Revenue (Based On-Peak &amp; Off-Peak) - Rate I, II, III:</t>
  </si>
  <si>
    <t>SC1 T&amp;D Target for SC1 - Rate II (Excl. LI Dis):</t>
  </si>
  <si>
    <t>SC1 T&amp;D Target for SC1 - Rate II (Excl. LI Dis &amp; Riders):</t>
  </si>
  <si>
    <t>T&amp;D Revenue @ Current Level (Excl Cust Chg &amp; Excl EDB) - Rate I &amp; II</t>
  </si>
  <si>
    <t>SC2 Rate I Unmetered</t>
  </si>
  <si>
    <t>SC2 Rate I Unmetered D</t>
  </si>
  <si>
    <t>vs. HY Pxout</t>
  </si>
  <si>
    <t xml:space="preserve">Current Level Cust Charge SC2 Rate I Unmetered: </t>
  </si>
  <si>
    <t xml:space="preserve">Current Level Cust Charge SC2 Rate I Unmetered D: </t>
  </si>
  <si>
    <t>SC2 Rate I:</t>
  </si>
  <si>
    <t>SC2 Unmetered:</t>
  </si>
  <si>
    <t>SC2 Unmetered D:</t>
  </si>
  <si>
    <t>Bills (Summer)</t>
  </si>
  <si>
    <t>Bills (Winter)</t>
  </si>
  <si>
    <t xml:space="preserve"># Bills - SC2 Rate I (Incl. Unmetered &amp; Unmetered D): </t>
  </si>
  <si>
    <t xml:space="preserve">Proposed Level Cust Charge SC2 Rate I (Incl. Unmetered &amp; Unmetered D): </t>
  </si>
  <si>
    <t>Current Level Energy Charge (Excl. Cust Chg) - SC2 Rate I&amp;II:</t>
  </si>
  <si>
    <t xml:space="preserve">Proposed Energy Revenue Change Incl. EDB - SC2 Rate I &amp; II: </t>
  </si>
  <si>
    <t>T&amp;D Revenue @ Current Level (Excl Cust Chg &amp; Excl EDB) - SC6</t>
  </si>
  <si>
    <t>Customer Charge Price-Out at Proposed Rates - SC6</t>
  </si>
  <si>
    <t>Energy Charge Price-Out at Proposed Rates - SC6</t>
  </si>
  <si>
    <t>HY Data:</t>
  </si>
  <si>
    <t>T&amp;D Revenue Price-Out at Proposed Rates - NYPA Rate II</t>
  </si>
  <si>
    <t>SC12 Rate I Energy Only Proposed:</t>
  </si>
  <si>
    <t>Low Income Only</t>
  </si>
  <si>
    <t>Reconnection Fee Waiver</t>
  </si>
  <si>
    <t>Updated RY Low Income:</t>
  </si>
  <si>
    <t>LI. W.RFW</t>
  </si>
  <si>
    <t>RY Low Income Discount (From Rev Rqt)</t>
  </si>
  <si>
    <t>EDB Adjustment for SC1 Energy Revenue</t>
  </si>
  <si>
    <t>Energy to Demand Revenue Shifting:</t>
  </si>
  <si>
    <t>&lt;= RY at Proposed Level</t>
  </si>
  <si>
    <t>&lt;= HY at Proposed Level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</si>
  <si>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T&amp;D Rev at Proposed Rates - Rate II &amp; III</t>
    </r>
  </si>
  <si>
    <t>Current Level Energy Charge (Excl. Cust Chg) - SC1 Rate I:</t>
  </si>
  <si>
    <t>Current Level Energy Charge (Excl. Cust Chg) - SC1 Rate II:</t>
  </si>
  <si>
    <t>Current Level Energy Charge (Excl. Cust Chg) - SC1 Rate III:</t>
  </si>
  <si>
    <t>T&amp;D Revenue @ Current Level (Excl Cust Chg &amp; Incl EDB) - Rate I &amp; II</t>
  </si>
  <si>
    <t>Current Level Energy Charge (Excl. Cust Chg) - SC1 Rate I (add EDB Adj for Energy Rev):</t>
  </si>
  <si>
    <t>SC1 Rate II - Proposed T&amp;D Revenue:</t>
  </si>
  <si>
    <t>SC1 Rate III - Proposed T&amp;D Revenue:</t>
  </si>
  <si>
    <t>Rider D &amp; Prov D - Proposed T&amp;D Revenue:</t>
  </si>
  <si>
    <t>SC1 T&amp;D Target for SC1 (Incl. LI Dis):</t>
  </si>
  <si>
    <t>Current Level Energy Charge (Excl. Cust Chg) - SC1 Rate I (Non-LI):</t>
  </si>
  <si>
    <t>Current Level Energy Charge (Excl. Cust Chg) - SC1 Rate I (LI):</t>
  </si>
  <si>
    <t>Current Level Energy Charge (Excl. Cust Chg) - SC1 Rate I (Incl. LI):</t>
  </si>
  <si>
    <t>Less:</t>
  </si>
  <si>
    <t>(Per Rate III %)</t>
  </si>
  <si>
    <t xml:space="preserve">Proposed Level Cust Charge SC1 Rate I (Incl. EDB): </t>
  </si>
  <si>
    <t>Current Level Energy Charge (Excl. Cust Chg) Incl. EDB - SC6</t>
  </si>
  <si>
    <t>Proposed Revenue Change Applicable to T&amp;D Rev (Excl. Cust Chg &amp; Incl EDB)</t>
  </si>
  <si>
    <t>Current Blk 1 Energy Charge  - SC12 Energy Only (Incl. EDB):</t>
  </si>
  <si>
    <t xml:space="preserve">           Proposed T&amp;D Revenue Change for Blk 2 (Block Rates)</t>
  </si>
  <si>
    <t xml:space="preserve">           EDB Adj for Energy Charge</t>
  </si>
  <si>
    <t>check</t>
  </si>
  <si>
    <t xml:space="preserve">SC12 III - Current Demand Rev: </t>
  </si>
  <si>
    <t xml:space="preserve">SC12 III - Current Energy Rev: </t>
  </si>
  <si>
    <t xml:space="preserve">SC12 I - Current Energy Rev: </t>
  </si>
  <si>
    <t xml:space="preserve">SC12 I - Current Demand Rev: </t>
  </si>
  <si>
    <t>Current Eenergy Revenue for Rate I &amp; III</t>
  </si>
  <si>
    <t>Rate I &amp; III - Demand Rate Change:</t>
  </si>
  <si>
    <t>Demand Rate Change (Incl. EDB) - Rate I &amp; III</t>
  </si>
  <si>
    <t>T&amp;D Revenue Price-Out at Proposed Rates - Rate I &amp; III</t>
  </si>
  <si>
    <t>Current Level Energy Charge (Excl. Cust Chg) - SC1 Rate I, II, III:</t>
  </si>
  <si>
    <t>Proposed Level Cust Charge- SC1 Rate I:</t>
  </si>
  <si>
    <t>Proposed Level Cust Charge- SC1 Rate II:</t>
  </si>
  <si>
    <t>Proposed Level Cust Charge- SC1 Rate III:</t>
  </si>
  <si>
    <t>Proposed Level Cust Charge- SC1 Rate I, II, III:</t>
  </si>
  <si>
    <t>CC (Excl. EDB)</t>
  </si>
  <si>
    <t>Energy &amp; Demand Revenue Shifting:</t>
  </si>
  <si>
    <t>Rate Change - Rate I &amp; III:</t>
  </si>
  <si>
    <t xml:space="preserve">Rate Change % (T&amp;D Excl. CC)- SC1 Rate I: </t>
  </si>
  <si>
    <t xml:space="preserve">Rate Change % (T&amp;D Excl. CC)- SC1 Rate II: </t>
  </si>
  <si>
    <t xml:space="preserve">Rate Change % (T&amp;D Excl. CC)- SC1 Rate III: </t>
  </si>
  <si>
    <t xml:space="preserve">Rate Change % (T&amp;D Excl. CC)- SC2 Rate I: </t>
  </si>
  <si>
    <t xml:space="preserve">Rate Change % (T&amp;D Excl. CC)- SC2 Rate II: </t>
  </si>
  <si>
    <t xml:space="preserve">Rate Change % (T&amp;D Excl. CC)- SC6: </t>
  </si>
  <si>
    <t>Rate Change % - SC12 Rate I (EN):</t>
  </si>
  <si>
    <t xml:space="preserve">Rate Change % (T&amp;D Excl. CC)- SC5 Rate I: </t>
  </si>
  <si>
    <t xml:space="preserve">Rate Change % (T&amp;D Excl. CC)- SC8 Rate I: </t>
  </si>
  <si>
    <t xml:space="preserve">Rate Change % (T&amp;D Excl. CC)- SC9 Rate I: </t>
  </si>
  <si>
    <t xml:space="preserve">Rate Change % - SC12 Rate I (Demand): </t>
  </si>
  <si>
    <t xml:space="preserve">Rate Change % - NYPA: </t>
  </si>
  <si>
    <t>SC2 Rate I &amp; II - T&amp;D Target:</t>
  </si>
  <si>
    <t>SC9 Rate I &amp; III</t>
  </si>
  <si>
    <t>SC9 Rate III - T&amp;D Target:</t>
  </si>
  <si>
    <r>
      <rPr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>: Rate I &amp; III - Current Level Demand &amp; Energy Charge (Incl. EDB)</t>
    </r>
  </si>
  <si>
    <t>Energy Revenue Requirement Reflecting Rate Change (Rate III Only)</t>
  </si>
  <si>
    <t>Rate Design Variance Summary</t>
  </si>
  <si>
    <t>A.)</t>
  </si>
  <si>
    <t>Proposed Px-out</t>
  </si>
  <si>
    <t>B.)</t>
  </si>
  <si>
    <t>HL Shifting</t>
  </si>
  <si>
    <t>(Not to use this case)</t>
  </si>
  <si>
    <t>C.)</t>
  </si>
  <si>
    <t>D.)</t>
  </si>
  <si>
    <t>E.)</t>
  </si>
  <si>
    <t>TODL Rate Design</t>
  </si>
  <si>
    <t>F.)</t>
  </si>
  <si>
    <t>TODM Rate Design</t>
  </si>
  <si>
    <t>G.)</t>
  </si>
  <si>
    <t>MD Shifting Rate Design</t>
  </si>
  <si>
    <t>Current Level Energy Charge (Incl. EDB)</t>
  </si>
  <si>
    <t>Annual Bills</t>
  </si>
  <si>
    <t>Metered Cost</t>
  </si>
  <si>
    <t>Price-out SC2 Rate II with Actual Customers @ Proposed Rates</t>
  </si>
  <si>
    <t>(For SC2 Rate I - Rate Design)</t>
  </si>
  <si>
    <t>Total Revenue Requirement (Incl. EDB) for Rate Design of SC2 Rate II</t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</si>
  <si>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I:\Rate Engineering\ELECRATE\RateCase 2019\Initial Filing\ECOS Study\ECOS Study Results\EXHIBIT ___ (DAC_2), Schedule 1.xlsx (Tab: 2017 Customer Costs)</t>
    </r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</si>
  <si>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I:\Rate Engineering\ELECRATE\RateCase 2019\Initial Filing\ECOS Study\ECOS Study Results\EXHIBIT ___(DAC_2), Schedule 5.xlsx   (Tabs: "2017 Printing &amp; Mailing a Bill" and "2017 Receipts Processing")</t>
    </r>
  </si>
  <si>
    <t xml:space="preserve">Proposed Level Cust Charge SC2 Rate II: </t>
  </si>
  <si>
    <t xml:space="preserve">Proposed Level Cust Charge SC1 Rate II (Incl. EDB): </t>
  </si>
  <si>
    <t>Set Customer Charge Equal to Rate II Cust Charge</t>
  </si>
  <si>
    <t>Total Customer Charge (Excl. EDB) - Rate I, II, III</t>
  </si>
  <si>
    <t>T&amp;D Revenue Price-Out at Proposed Rates - Rate I, II, III</t>
  </si>
  <si>
    <t>MMD @ Current Rate:</t>
  </si>
  <si>
    <t xml:space="preserve">  MMD @ Current Rate</t>
  </si>
  <si>
    <t>MMD Adjustment @ Current Rate (Excl. EDB)</t>
  </si>
  <si>
    <t>RY Cust Charge w.Current Rates (Incl. EDB)</t>
  </si>
  <si>
    <t>RY Cust Charge w.Proposed Rates (Incl. EDB)</t>
  </si>
  <si>
    <t>HY Cust Charge w.Proposed Rates (Incl. EDB)</t>
  </si>
  <si>
    <t>HY Cust Charge w.Current Rates (Incl. EDB)</t>
  </si>
  <si>
    <t>HY Cust Charge Change (Proposed vs. Current)</t>
  </si>
  <si>
    <t>RY Cust Charge Change (Proposed vs. Current)</t>
  </si>
  <si>
    <t>Proposed Customer Charge</t>
  </si>
  <si>
    <t>&lt;= Don't change formula here</t>
  </si>
  <si>
    <t>(1) Set available options</t>
  </si>
  <si>
    <t>(1) Set Available Options:</t>
  </si>
  <si>
    <t>(2) Input % for Shifting Energy Rev to Demand Rev.  (From Option #1-5)</t>
  </si>
  <si>
    <r>
      <t xml:space="preserve">C.) </t>
    </r>
    <r>
      <rPr>
        <b/>
        <u/>
        <sz val="11"/>
        <rFont val="Calibri"/>
        <family val="2"/>
        <scheme val="minor"/>
      </rPr>
      <t>Calculation of Relationships in Current Demand Rates to be Used in Rate Design Equations</t>
    </r>
  </si>
  <si>
    <r>
      <t xml:space="preserve">A.) </t>
    </r>
    <r>
      <rPr>
        <b/>
        <u/>
        <sz val="11"/>
        <rFont val="Calibri"/>
        <family val="2"/>
        <scheme val="minor"/>
      </rPr>
      <t>Calcluation for the Block 1 Increase:</t>
    </r>
  </si>
  <si>
    <r>
      <rPr>
        <b/>
        <sz val="11"/>
        <rFont val="Calibri"/>
        <family val="2"/>
        <scheme val="minor"/>
      </rPr>
      <t xml:space="preserve">D.) </t>
    </r>
    <r>
      <rPr>
        <b/>
        <u/>
        <sz val="11"/>
        <rFont val="Calibri"/>
        <family val="2"/>
        <scheme val="minor"/>
      </rPr>
      <t>Calculation of Relationships in Current Energy Rates to be Used in Rate Design Equations</t>
    </r>
  </si>
  <si>
    <r>
      <rPr>
        <b/>
        <sz val="11"/>
        <rFont val="Calibri"/>
        <family val="2"/>
        <scheme val="minor"/>
      </rPr>
      <t xml:space="preserve">E.) </t>
    </r>
    <r>
      <rPr>
        <b/>
        <u/>
        <sz val="11"/>
        <rFont val="Calibri"/>
        <family val="2"/>
        <scheme val="minor"/>
      </rPr>
      <t>Proposed T&amp;D Revenue Price-Out at Proposed Rates</t>
    </r>
  </si>
  <si>
    <t>- Selection Criteria - H/L Tension Shifting:</t>
  </si>
  <si>
    <r>
      <rPr>
        <b/>
        <sz val="11"/>
        <rFont val="Calibri"/>
        <family val="2"/>
        <scheme val="minor"/>
      </rPr>
      <t xml:space="preserve">A.) </t>
    </r>
    <r>
      <rPr>
        <b/>
        <u/>
        <sz val="11"/>
        <rFont val="Calibri"/>
        <family val="2"/>
        <scheme val="minor"/>
      </rPr>
      <t>Develop the Differentials into the Current Rates Variation:</t>
    </r>
  </si>
  <si>
    <r>
      <t xml:space="preserve">C.) </t>
    </r>
    <r>
      <rPr>
        <b/>
        <u/>
        <sz val="11"/>
        <rFont val="Calibri"/>
        <family val="2"/>
        <scheme val="minor"/>
      </rPr>
      <t>Calculation of Relationships in Current Demand Rates to be Used in Rate Design Equations:</t>
    </r>
  </si>
  <si>
    <r>
      <t xml:space="preserve">B.) </t>
    </r>
    <r>
      <rPr>
        <b/>
        <u/>
        <sz val="11"/>
        <rFont val="Calibri"/>
        <family val="2"/>
        <scheme val="minor"/>
      </rPr>
      <t>Calcluate Block 1 Demand Revenue for Redesign:</t>
    </r>
  </si>
  <si>
    <r>
      <t xml:space="preserve">D.) </t>
    </r>
    <r>
      <rPr>
        <b/>
        <u/>
        <sz val="11"/>
        <rFont val="Calibri"/>
        <family val="2"/>
        <scheme val="minor"/>
      </rPr>
      <t>Demand Rates Redesigned to Reflect ECOS HT/LT Indication:</t>
    </r>
  </si>
  <si>
    <r>
      <t xml:space="preserve">E.) </t>
    </r>
    <r>
      <rPr>
        <b/>
        <u/>
        <sz val="11"/>
        <rFont val="Calibri"/>
        <family val="2"/>
        <scheme val="minor"/>
      </rPr>
      <t>T&amp;D Revenue Price-Out at Redesigned Rates</t>
    </r>
  </si>
  <si>
    <r>
      <rPr>
        <b/>
        <sz val="11"/>
        <rFont val="Calibri"/>
        <family val="2"/>
        <scheme val="minor"/>
      </rPr>
      <t xml:space="preserve">B.) </t>
    </r>
    <r>
      <rPr>
        <b/>
        <u/>
        <sz val="11"/>
        <rFont val="Calibri"/>
        <family val="2"/>
        <scheme val="minor"/>
      </rPr>
      <t>Solve for Redesigned D3 rates maintaining the Same Seasonal Differential of:</t>
    </r>
  </si>
  <si>
    <r>
      <rPr>
        <b/>
        <sz val="11"/>
        <rFont val="Calibri"/>
        <family val="2"/>
        <scheme val="minor"/>
      </rPr>
      <t xml:space="preserve">C.) </t>
    </r>
    <r>
      <rPr>
        <b/>
        <u/>
        <sz val="11"/>
        <rFont val="Calibri"/>
        <family val="2"/>
        <scheme val="minor"/>
      </rPr>
      <t>Maintaining the Current Charge for Summer 8am - 6pm Period (D1) at:</t>
    </r>
  </si>
  <si>
    <r>
      <rPr>
        <b/>
        <sz val="11"/>
        <rFont val="Calibri"/>
        <family val="2"/>
        <scheme val="minor"/>
      </rPr>
      <t xml:space="preserve">D.) </t>
    </r>
    <r>
      <rPr>
        <b/>
        <u/>
        <sz val="11"/>
        <rFont val="Calibri"/>
        <family val="2"/>
        <scheme val="minor"/>
      </rPr>
      <t xml:space="preserve">Solve for D2 Rates Maintaining the Current Differentials from Winter D2: </t>
    </r>
  </si>
  <si>
    <r>
      <rPr>
        <b/>
        <sz val="11"/>
        <rFont val="Calibri"/>
        <family val="2"/>
        <scheme val="minor"/>
      </rPr>
      <t xml:space="preserve">A.) </t>
    </r>
    <r>
      <rPr>
        <b/>
        <u/>
        <sz val="11"/>
        <rFont val="Calibri"/>
        <family val="2"/>
        <scheme val="minor"/>
      </rPr>
      <t>Rates Information:</t>
    </r>
  </si>
  <si>
    <t>(No Redesign for Energy Rates)</t>
  </si>
  <si>
    <t>(a4)=(a2)/(a3)</t>
  </si>
  <si>
    <t>(a5)=(a1)+(a4)</t>
  </si>
  <si>
    <t>(b5)=(b1)-(b4)</t>
  </si>
  <si>
    <t>(b6)=(b2)-(b4)</t>
  </si>
  <si>
    <t>(b7)=(b3)-(b4)</t>
  </si>
  <si>
    <t>(b9)</t>
  </si>
  <si>
    <t>kWh*(X+(b12))</t>
  </si>
  <si>
    <t>kWh*(X+(b9))</t>
  </si>
  <si>
    <t>kWh*(X+(b10))</t>
  </si>
  <si>
    <t>kWh*(X+(b11))</t>
  </si>
  <si>
    <t>kWh*X+kWh*(b12)</t>
  </si>
  <si>
    <t>kWh*X+kWh*(b13)</t>
  </si>
  <si>
    <t>(a12)=kWh*X+kWh*Variation</t>
  </si>
  <si>
    <t>kWh*X+kWh*(b9)</t>
  </si>
  <si>
    <t>kWh*X+kWh*(b10)</t>
  </si>
  <si>
    <t>kWh*X+kWh*(b11)</t>
  </si>
  <si>
    <t>(a5)=kWh*X+kWh*Variation</t>
  </si>
  <si>
    <t>(b16)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</si>
  <si>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(b17)</t>
    </r>
  </si>
  <si>
    <t>(a18)=kW*X+kW*Variation</t>
  </si>
  <si>
    <t>(a18)=(b16)*X+(b17)</t>
  </si>
  <si>
    <t>(a18)-(b17) = (b16) * X</t>
  </si>
  <si>
    <t>X = ((a18)-(b17)) / (b16)</t>
  </si>
  <si>
    <t>(c3)</t>
  </si>
  <si>
    <r>
      <rPr>
        <b/>
        <u/>
        <sz val="11"/>
        <rFont val="Calibri"/>
        <family val="2"/>
        <scheme val="minor"/>
      </rPr>
      <t>Add</t>
    </r>
    <r>
      <rPr>
        <b/>
        <sz val="11"/>
        <rFont val="Calibri"/>
        <family val="2"/>
        <scheme val="minor"/>
      </rPr>
      <t>: T&amp;D Revenue Price-Out at Proposed Rates - Rate II</t>
    </r>
  </si>
  <si>
    <r>
      <rPr>
        <b/>
        <u/>
        <sz val="11"/>
        <rFont val="Calibri"/>
        <family val="2"/>
        <scheme val="minor"/>
      </rPr>
      <t>Add</t>
    </r>
    <r>
      <rPr>
        <b/>
        <sz val="11"/>
        <rFont val="Calibri"/>
        <family val="2"/>
        <scheme val="minor"/>
      </rPr>
      <t>: T&amp;D Revenue Price-Out at Proposed Rates - Rate III</t>
    </r>
  </si>
  <si>
    <r>
      <rPr>
        <b/>
        <u/>
        <sz val="11"/>
        <rFont val="Calibri"/>
        <family val="2"/>
        <scheme val="minor"/>
      </rPr>
      <t>Add</t>
    </r>
    <r>
      <rPr>
        <b/>
        <sz val="11"/>
        <rFont val="Calibri"/>
        <family val="2"/>
        <scheme val="minor"/>
      </rPr>
      <t>: Rider D &amp; Prov D</t>
    </r>
  </si>
  <si>
    <r>
      <rPr>
        <b/>
        <u/>
        <sz val="11"/>
        <rFont val="Calibri"/>
        <family val="2"/>
        <scheme val="minor"/>
      </rPr>
      <t>Add</t>
    </r>
    <r>
      <rPr>
        <b/>
        <sz val="11"/>
        <rFont val="Calibri"/>
        <family val="2"/>
        <scheme val="minor"/>
      </rPr>
      <t>: T&amp;D Revenue Reduction Due to Low Income Dis</t>
    </r>
  </si>
  <si>
    <r>
      <rPr>
        <b/>
        <sz val="11"/>
        <rFont val="Calibri"/>
        <family val="2"/>
        <scheme val="minor"/>
      </rPr>
      <t xml:space="preserve">C.) </t>
    </r>
    <r>
      <rPr>
        <b/>
        <u/>
        <sz val="11"/>
        <rFont val="Calibri"/>
        <family val="2"/>
        <scheme val="minor"/>
      </rPr>
      <t>Priceout with Proposed Rates</t>
    </r>
  </si>
  <si>
    <t>(a3)=(a1)+(a2)</t>
  </si>
  <si>
    <t>(a6)=(a4)+(a5)</t>
  </si>
  <si>
    <t>(a7)=(a3)+(a6)</t>
  </si>
  <si>
    <t>(a8)</t>
  </si>
  <si>
    <t>(a10)=(a8)*(a9)</t>
  </si>
  <si>
    <t>(a12)=(a10)*(a11)</t>
  </si>
  <si>
    <t>(a13)=(a7)+(a12)</t>
  </si>
  <si>
    <t>Current Level Energy Revenue for Blk Rate Excl EDB-Rate I&amp;II</t>
  </si>
  <si>
    <t>(a14)</t>
  </si>
  <si>
    <t>(a19)=sum(a15:a18)</t>
  </si>
  <si>
    <t>(a20)=(a13)/(a19)-1</t>
  </si>
  <si>
    <t>(a20)</t>
  </si>
  <si>
    <t>(b9)=(b5)*(1+(a20))</t>
  </si>
  <si>
    <t>(b10)=(b6)*(1+(a20))</t>
  </si>
  <si>
    <t>(b11)=(b7)*(1+(a20))</t>
  </si>
  <si>
    <t>(b12)=(b8)*(1+(a20))</t>
  </si>
  <si>
    <t>(b13)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</si>
  <si>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(b14)</t>
    </r>
  </si>
  <si>
    <t>(a13)=kWh*X+kWh*Variation</t>
  </si>
  <si>
    <t>(a13)=(b13)*X+(b14)</t>
  </si>
  <si>
    <t>(a13)-(b14) = (b13) * X</t>
  </si>
  <si>
    <t>(b15)</t>
  </si>
  <si>
    <t>X=((a13)-(b14))/(b13)</t>
  </si>
  <si>
    <t>(c7)</t>
  </si>
  <si>
    <t>(c8)</t>
  </si>
  <si>
    <t>(c7)=(c2)/(b1)-1</t>
  </si>
  <si>
    <t>(c8)=(c3)/(b2)-1</t>
  </si>
  <si>
    <t>(C9)=(c5)/(b3)-1</t>
  </si>
  <si>
    <t>(C10)=(c6)/(b4)-1</t>
  </si>
  <si>
    <t>(a6)=(a4)*(a5)</t>
  </si>
  <si>
    <t>(a11)=(a10)*(a5)</t>
  </si>
  <si>
    <t>Current Level Energy Rev for Blk Rate Excl EDB-RateI,II,III</t>
  </si>
  <si>
    <t>(a15)=kWh*Rate</t>
  </si>
  <si>
    <t>(a16)=kWh*Rate</t>
  </si>
  <si>
    <t>(a17)=kWh*Rate</t>
  </si>
  <si>
    <t>(a18)=kWh*Rate</t>
  </si>
  <si>
    <t>(a13)=kWh*Rate</t>
  </si>
  <si>
    <t>(a14)=kWh*Rate</t>
  </si>
  <si>
    <t>(a17)=sum(a13:a16)</t>
  </si>
  <si>
    <t>(a18)=(a12)/(a17)-1</t>
  </si>
  <si>
    <t>Proposed % Increase for Blk 1 Energy Rev with Rev Shifting:</t>
  </si>
  <si>
    <t>(a18)</t>
  </si>
  <si>
    <t>(b9)=(b5)*(1+(a18))</t>
  </si>
  <si>
    <t>(b10)=(b6)*(1+(a18))</t>
  </si>
  <si>
    <t>(b11)=(b7)*(1+(a18))</t>
  </si>
  <si>
    <t>(b12)=(b8)*(1+(a18))</t>
  </si>
  <si>
    <t>(a12)=(b13)*X+(b14)</t>
  </si>
  <si>
    <t>(a12)-(b14) = (b13) * X</t>
  </si>
  <si>
    <t>X=((a12)-(b14))/(b13)</t>
  </si>
  <si>
    <r>
      <rPr>
        <b/>
        <u/>
        <sz val="11"/>
        <rFont val="Calibri"/>
        <family val="2"/>
        <scheme val="minor"/>
      </rPr>
      <t>Add</t>
    </r>
    <r>
      <rPr>
        <b/>
        <sz val="11"/>
        <rFont val="Calibri"/>
        <family val="2"/>
        <scheme val="minor"/>
      </rPr>
      <t>: Rider D &amp; Prov D:</t>
    </r>
  </si>
  <si>
    <t>(b10)=(b5)*(b9)</t>
  </si>
  <si>
    <t>(b11)=(b6)*(b9)</t>
  </si>
  <si>
    <t>(b12)=(b7)*(b9)</t>
  </si>
  <si>
    <t>(b13)=(b8)*(b9)</t>
  </si>
  <si>
    <t>(a5)=(b14)*X+(b15)</t>
  </si>
  <si>
    <t>(a5)-(b15) = (b14) * X</t>
  </si>
  <si>
    <t>X=((a5)-(b15))/(b14)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</si>
  <si>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(b15)</t>
    </r>
  </si>
  <si>
    <t>(c4)</t>
  </si>
  <si>
    <t>(c5)</t>
  </si>
  <si>
    <t>(c6)</t>
  </si>
  <si>
    <t>kWh*(X+(b3))</t>
  </si>
  <si>
    <t>kWh*(X)</t>
  </si>
  <si>
    <t>kWh*X+kWh*(b3)</t>
  </si>
  <si>
    <t>kWh*X+kWh*(b4)</t>
  </si>
  <si>
    <t>(a3)=kWh*X+kWh*Variation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</si>
  <si>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(b6)</t>
    </r>
  </si>
  <si>
    <t>(a3)=(b5)*X+(b6)</t>
  </si>
  <si>
    <t>X=((a3)-(b6))/(b5)</t>
  </si>
  <si>
    <t>(c5)=(c2)/(b1)-1</t>
  </si>
  <si>
    <t>(c6)=(c4)/(b2)-1</t>
  </si>
  <si>
    <t>A.) Calculation for the Block 1 Increase:</t>
  </si>
  <si>
    <t>B.) Calculation for the Block 2 Increase:</t>
  </si>
  <si>
    <t>(a4)=(a1)/((a2)+(a3))</t>
  </si>
  <si>
    <t>(a5)=Bills*Blk1 Rate</t>
  </si>
  <si>
    <t>(a6)=Bills*Blk1 Rate</t>
  </si>
  <si>
    <t>(a7)=Bills*Blk1 Rate</t>
  </si>
  <si>
    <t>(a8)=Bills*Blk1 Rate</t>
  </si>
  <si>
    <t>(a9)=(a5)+(a6)+(a7)+(a8)</t>
  </si>
  <si>
    <t>(a11)=(a9)+(1+(a10))</t>
  </si>
  <si>
    <t>(b3)=(b1)+(b2)-(b3)</t>
  </si>
  <si>
    <t>(b9)=(b4)-(b8)</t>
  </si>
  <si>
    <t>(b10)=(b1)+(b9)</t>
  </si>
  <si>
    <t>(b11)=(b10)+(b2)-(a10)</t>
  </si>
  <si>
    <t>(b12)=(b11)/(b3)-1</t>
  </si>
  <si>
    <t>(c11)</t>
  </si>
  <si>
    <t>(c9)=(c2)-(c6)</t>
  </si>
  <si>
    <t>(c10)=(c4)-(c6)</t>
  </si>
  <si>
    <t>(c12)=(c8)-(c6)</t>
  </si>
  <si>
    <t>(c13)=(c9)*(1+(b12))</t>
  </si>
  <si>
    <t>(c14)=(c10)*(1+(b12))</t>
  </si>
  <si>
    <t>(c15)=(c12)*(1+(b12))</t>
  </si>
  <si>
    <t>(c16)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</si>
  <si>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(c17)</t>
    </r>
  </si>
  <si>
    <t>(c18)</t>
  </si>
  <si>
    <t>(b11)=(c16)*X+(c17)</t>
  </si>
  <si>
    <t>(b11)-(c17) = (c16) * X</t>
  </si>
  <si>
    <t>X=('(b11)-(c17))/(c16)</t>
  </si>
  <si>
    <t>(d6)=(c18)+(c13)</t>
  </si>
  <si>
    <t>(d12)=(c18)+(c15)</t>
  </si>
  <si>
    <t>(d8)=(c18)+(c14)</t>
  </si>
  <si>
    <t>(d10)=(c18)</t>
  </si>
  <si>
    <t>(d13)=(d5)/(c1)-1</t>
  </si>
  <si>
    <t>(d14)=(d6)/(c2)-1</t>
  </si>
  <si>
    <t>(d15)=(d7)/(c3)-1</t>
  </si>
  <si>
    <t>(d16)=(d8)/(c4)-1</t>
  </si>
  <si>
    <t>(d17)=(d9)/(c5)-1</t>
  </si>
  <si>
    <t>(d18)=(d10)/(c6)-1</t>
  </si>
  <si>
    <t>(d19)=(d11)/(c7)-1</t>
  </si>
  <si>
    <t>(d20)=(d12)/(c8)-1</t>
  </si>
  <si>
    <t>(e1)</t>
  </si>
  <si>
    <t>(e2)</t>
  </si>
  <si>
    <t>(e3)</t>
  </si>
  <si>
    <t>(e4)=(e1)-(e2)+(e3)</t>
  </si>
  <si>
    <t>(f1)</t>
  </si>
  <si>
    <t>(f2)</t>
  </si>
  <si>
    <t>(f3)</t>
  </si>
  <si>
    <t>(f4)</t>
  </si>
  <si>
    <t>kW*(X+(c13))</t>
  </si>
  <si>
    <t>kW*(X+(c11))</t>
  </si>
  <si>
    <t>kW*(X+(c14))</t>
  </si>
  <si>
    <t>kW*(X+(c15))</t>
  </si>
  <si>
    <t>kW*X+kW*(c13)</t>
  </si>
  <si>
    <t>kW*X+kW*(c11)</t>
  </si>
  <si>
    <t>kW*X+kW*(c14)</t>
  </si>
  <si>
    <t>kW*X+kW*(c15)</t>
  </si>
  <si>
    <t>(b11)=kW*X+kW*Variation</t>
  </si>
  <si>
    <t>kWh*X</t>
  </si>
  <si>
    <t>(f5)</t>
  </si>
  <si>
    <t>(e4)=kWh*X+kWh*Variation</t>
  </si>
  <si>
    <t>(g1)</t>
  </si>
  <si>
    <t>(g2)</t>
  </si>
  <si>
    <t>(g3)</t>
  </si>
  <si>
    <t>(g4)</t>
  </si>
  <si>
    <t>(a3)=(a1)-(a2)</t>
  </si>
  <si>
    <t>(a7)=(a5)*(a6)</t>
  </si>
  <si>
    <t>(a8)=(a4)-(a7)</t>
  </si>
  <si>
    <t>(a10)=(a8)/(a9)</t>
  </si>
  <si>
    <t>(a11)=(a3)+(a10)</t>
  </si>
  <si>
    <t>Proposed % Increase for Blk 1 Energy:</t>
  </si>
  <si>
    <t>(b10)*(b5)*(b9)</t>
  </si>
  <si>
    <t>(b11)*(b6)*(b9)</t>
  </si>
  <si>
    <t>(b12)*(b7)*(b9)</t>
  </si>
  <si>
    <t>(b13)*(b8)*(b9)</t>
  </si>
  <si>
    <t>(a11)=kWh*X+kWh*Variation</t>
  </si>
  <si>
    <t>(a11)=(b14)*X+(b15)</t>
  </si>
  <si>
    <t>(a11)-(b15) = (b14) * X</t>
  </si>
  <si>
    <t>X=((a11)-(b15))/(b14)</t>
  </si>
  <si>
    <r>
      <rPr>
        <u/>
        <sz val="11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: MMC &amp; ECO DEV Discount @Current Rate (Incl. EDB)</t>
    </r>
  </si>
  <si>
    <r>
      <rPr>
        <u/>
        <sz val="11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: Non-Competitive Rate Change for MMC &amp; ECO DEV Discount (Incl. EDB)</t>
    </r>
  </si>
  <si>
    <r>
      <rPr>
        <u/>
        <sz val="11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: Standby Phase-in &amp; Full Charge @Current Rate (Incl. EDB)</t>
    </r>
  </si>
  <si>
    <r>
      <rPr>
        <u/>
        <sz val="11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: Non-Competitive Rate Change for Standby (Incl.EDB)</t>
    </r>
  </si>
  <si>
    <t>Adj for Rate III</t>
  </si>
  <si>
    <t>(c9)</t>
  </si>
  <si>
    <t>(c10)</t>
  </si>
  <si>
    <t>(c12)</t>
  </si>
  <si>
    <t>(c13)=(c2)-(c9)</t>
  </si>
  <si>
    <t>(c14)=(c3)-(c9)</t>
  </si>
  <si>
    <t>(c15)=(c5)-(c9)</t>
  </si>
  <si>
    <t>(c16)=(c6)-(c9)</t>
  </si>
  <si>
    <t>(c17)=(c8)-(c9)</t>
  </si>
  <si>
    <t>(c19)=(c11)-(c9)</t>
  </si>
  <si>
    <t>(c20)=(c12)-(c9)</t>
  </si>
  <si>
    <t>kW*(X+(c21))</t>
  </si>
  <si>
    <t>kW*(X+(c22))</t>
  </si>
  <si>
    <t>kW*(X+(c23))</t>
  </si>
  <si>
    <t>kW*(X)</t>
  </si>
  <si>
    <t>(a9)=(a8)*(1+(a3))</t>
  </si>
  <si>
    <t>kW*X+kW*(c21)</t>
  </si>
  <si>
    <t>(c21)=(c13)*(b12)</t>
  </si>
  <si>
    <t>(c22)=(c14)*(b12)</t>
  </si>
  <si>
    <t>(c23)=(c15)*(b12)</t>
  </si>
  <si>
    <t>(c24)=(c16)*(b12)</t>
  </si>
  <si>
    <t>(c25)=(c17)*(b12)</t>
  </si>
  <si>
    <t>(c26)=(c19)*(b12)</t>
  </si>
  <si>
    <t>(c27)=(c20)*(b12)</t>
  </si>
  <si>
    <t>(c28)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</si>
  <si>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(c29)</t>
    </r>
  </si>
  <si>
    <t>(c30)</t>
  </si>
  <si>
    <t>kW*(X+(c25))</t>
  </si>
  <si>
    <t>kW*(X+(c24))</t>
  </si>
  <si>
    <t>kW*(X+(c26))</t>
  </si>
  <si>
    <t>kW*(X+(c27))</t>
  </si>
  <si>
    <t>kW*X</t>
  </si>
  <si>
    <t>kW*X+kW*(c22)</t>
  </si>
  <si>
    <t>kW*X+kW*(c25)</t>
  </si>
  <si>
    <t>kW*X+kW*(c23)</t>
  </si>
  <si>
    <t>kW*X+kW*(c24)</t>
  </si>
  <si>
    <t>kW*X+kW*(c26)</t>
  </si>
  <si>
    <t>kW*X+kW*(c27)</t>
  </si>
  <si>
    <t>Adj</t>
  </si>
  <si>
    <t>(c31)</t>
  </si>
  <si>
    <t>(c32)=(c31)/(c28)</t>
  </si>
  <si>
    <t>(c33)=(c30)+(c32)</t>
  </si>
  <si>
    <t>(b11)=(c28)*X+(c29)</t>
  </si>
  <si>
    <t>(b11)-(c29) = (c28) * X</t>
  </si>
  <si>
    <r>
      <rPr>
        <u/>
        <sz val="11"/>
        <rFont val="Calibri"/>
        <family val="2"/>
        <scheme val="minor"/>
      </rPr>
      <t xml:space="preserve"> Add</t>
    </r>
    <r>
      <rPr>
        <sz val="11"/>
        <rFont val="Calibri"/>
        <family val="2"/>
        <scheme val="minor"/>
      </rPr>
      <t>: Proposed Standby</t>
    </r>
  </si>
  <si>
    <t>(a4)=(a1)/(a2)</t>
  </si>
  <si>
    <t>(a7)</t>
  </si>
  <si>
    <t>(a10)=(a5)-(a8)</t>
  </si>
  <si>
    <t>(a12)=(a7)-(a11)</t>
  </si>
  <si>
    <t>(a13)=(a7)-(a12)</t>
  </si>
  <si>
    <t>(a11)=(a6)-(a8)</t>
  </si>
  <si>
    <t>(a12)=(a7)-(a8)</t>
  </si>
  <si>
    <t>(a14)=(a9)-(a8)</t>
  </si>
  <si>
    <t>(a15)=(a10)*(a4)</t>
  </si>
  <si>
    <t>(a16)=(a11)*(a4)</t>
  </si>
  <si>
    <t>(a17)=(a12)*(a4)</t>
  </si>
  <si>
    <t>(a18)=(a14)*(a4)</t>
  </si>
  <si>
    <t>Revenues Shifted as % of Current Demand Revenues (Excl. EDB)</t>
  </si>
  <si>
    <t>(d8)</t>
  </si>
  <si>
    <t>(d9)</t>
  </si>
  <si>
    <t>(d11)</t>
  </si>
  <si>
    <t>(d12)=(d4)/(d8)</t>
  </si>
  <si>
    <t>(d16)</t>
  </si>
  <si>
    <t>(d13)=(d5)/(d8)</t>
  </si>
  <si>
    <t>(d14)=(d6)/(d8)</t>
  </si>
  <si>
    <t>(d15)=(d7)/(d8)</t>
  </si>
  <si>
    <t>(d17)=(d9)/(d8)</t>
  </si>
  <si>
    <t>(d18)=(d10)/(d8)</t>
  </si>
  <si>
    <t>(d19)=(d11)/(d8)</t>
  </si>
  <si>
    <t>(d20)=kW*X</t>
  </si>
  <si>
    <t>(d21)=kW*X</t>
  </si>
  <si>
    <t>(d22)=kW*X</t>
  </si>
  <si>
    <t>(d23)=kW*X</t>
  </si>
  <si>
    <t>(d24)=sum(d20:d23)</t>
  </si>
  <si>
    <t>(d3)= (d24) * X</t>
  </si>
  <si>
    <t>X = (d3) / (d24)</t>
  </si>
  <si>
    <t>(d25)=(d17)*(d12)</t>
  </si>
  <si>
    <t>(d26)=(d17)*(d13)</t>
  </si>
  <si>
    <t>(d27)=(d17)*(d14)</t>
  </si>
  <si>
    <t>(d28)=(d17)*(d15)</t>
  </si>
  <si>
    <t>(d29)=(d17)*(d17)</t>
  </si>
  <si>
    <t>(d30)=(d17)*(d18)</t>
  </si>
  <si>
    <t>(d31)=(d17)*(d19)</t>
  </si>
  <si>
    <t>(d12)=kW*X</t>
  </si>
  <si>
    <t>(d13)=kW*X</t>
  </si>
  <si>
    <t>(d14)=kW*X</t>
  </si>
  <si>
    <t>(d15)=kW*X</t>
  </si>
  <si>
    <t>kWh*(X+(a15))</t>
  </si>
  <si>
    <t>kWh*(X+(a16))</t>
  </si>
  <si>
    <t>kWh*(X+(a17))</t>
  </si>
  <si>
    <t>kWh*(X+(a18))</t>
  </si>
  <si>
    <t>(a19)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</si>
  <si>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(a20)</t>
    </r>
  </si>
  <si>
    <t>(a21)</t>
  </si>
  <si>
    <t>kWh*X+kWh*(a15)</t>
  </si>
  <si>
    <t>kWh*X+kWh*(a16)</t>
  </si>
  <si>
    <t>kWh*X+kWh*X</t>
  </si>
  <si>
    <t>kWh*X+kWh*(a17)</t>
  </si>
  <si>
    <t>kWh*X+kWh*(a18)</t>
  </si>
  <si>
    <t>(a3)=(a19)*X+(a20)</t>
  </si>
  <si>
    <t>(a3)-(a20) = (a19) * X</t>
  </si>
  <si>
    <t>X=((a3)-(a20))/(a19)</t>
  </si>
  <si>
    <t>(b1)=(b4)+(a15)</t>
  </si>
  <si>
    <t>(b4) = (a21)</t>
  </si>
  <si>
    <t>(b2)=(b4)+(a16)</t>
  </si>
  <si>
    <t>(b3)=(b4)+(a17)</t>
  </si>
  <si>
    <t>(b5)=(b4)+(a18)</t>
  </si>
  <si>
    <t>(b9</t>
  </si>
  <si>
    <t>(b6)=(b1)/(a5)-1</t>
  </si>
  <si>
    <t>(b7)=(b2)/(a6)-1</t>
  </si>
  <si>
    <t>(b8)=(b3)/(a7)-1</t>
  </si>
  <si>
    <t>(b9)=(b4)/(a8)-1</t>
  </si>
  <si>
    <t>(b10)=(b5)/(a9)-1</t>
  </si>
  <si>
    <t>(c3)=(c1)+(c2)</t>
  </si>
  <si>
    <t>(c4)=(c1)/(c2)</t>
  </si>
  <si>
    <t>(c9)=(c5)-(c8)</t>
  </si>
  <si>
    <t>(c11)=(c7)-(c8)</t>
  </si>
  <si>
    <t>(c10)=(c6)-(c8)</t>
  </si>
  <si>
    <t>(c13)=(c9)*(1+(c4))</t>
  </si>
  <si>
    <t>(c14)=(c10)*(1+(c4))</t>
  </si>
  <si>
    <t>(c15)=(c11)*(1+(c4))</t>
  </si>
  <si>
    <t>(c16)=(c12)*(1+(c4))</t>
  </si>
  <si>
    <t>kWh*(X+(c13))</t>
  </si>
  <si>
    <t>kWh*(X+(c14))</t>
  </si>
  <si>
    <t>kWh*(X+(c15))</t>
  </si>
  <si>
    <t>kWh*(X+(c16))</t>
  </si>
  <si>
    <t>(c17)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</si>
  <si>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(c18)</t>
    </r>
  </si>
  <si>
    <t>(c19)</t>
  </si>
  <si>
    <t>kWh*X+kWh*(c13)</t>
  </si>
  <si>
    <t>kWh*X+kWh*(c14)</t>
  </si>
  <si>
    <t>kWh*X+kWh*(c15)</t>
  </si>
  <si>
    <t>kWh*X+kWh*(c16)</t>
  </si>
  <si>
    <t>(c3)=kWh*X+kWh*Variation</t>
  </si>
  <si>
    <t>(c3)=(c18)*X+(c19)</t>
  </si>
  <si>
    <t>(c3)-(c19) = (c18) * X</t>
  </si>
  <si>
    <t>X=((c3)-(c19))/(c18)</t>
  </si>
  <si>
    <t>(d5)=(d1)/(c5)</t>
  </si>
  <si>
    <t>(d6)=(d2)/(c6)</t>
  </si>
  <si>
    <t>(d7)=(d3)/(c7)</t>
  </si>
  <si>
    <t>(d8)=(d4)/(c8)</t>
  </si>
  <si>
    <r>
      <rPr>
        <b/>
        <sz val="11"/>
        <rFont val="Calibri"/>
        <family val="2"/>
        <scheme val="minor"/>
      </rPr>
      <t xml:space="preserve">E.) </t>
    </r>
    <r>
      <rPr>
        <b/>
        <u/>
        <sz val="11"/>
        <rFont val="Calibri"/>
        <family val="2"/>
        <scheme val="minor"/>
      </rPr>
      <t>Priceout with Proposed Rates</t>
    </r>
  </si>
  <si>
    <t>Rate Development for Demand Rates:</t>
  </si>
  <si>
    <r>
      <t xml:space="preserve">B.) </t>
    </r>
    <r>
      <rPr>
        <b/>
        <u/>
        <sz val="11"/>
        <rFont val="Calibri"/>
        <family val="2"/>
        <scheme val="minor"/>
      </rPr>
      <t>Calcluation for the Block 2:</t>
    </r>
  </si>
  <si>
    <t>Proposed Blk 2 Demand Rev with Rev Shifting:</t>
  </si>
  <si>
    <t>Proposed Change for Blk 2</t>
  </si>
  <si>
    <t>(a3)=Current Rev*Change%</t>
  </si>
  <si>
    <t>(a4)=Current Rev*Change%</t>
  </si>
  <si>
    <t>(a5)=Current Rev*Change%</t>
  </si>
  <si>
    <t>(a6)=(a3)+(a4)+(a5)</t>
  </si>
  <si>
    <t>(a8)=(a6)/(a7)</t>
  </si>
  <si>
    <t>(a9)=(a1)-(a8)</t>
  </si>
  <si>
    <t>(a12)=(a9)/(a10)</t>
  </si>
  <si>
    <t>(b6)=(b1)-(b4)</t>
  </si>
  <si>
    <t>(b7)=(b2)-(b4)</t>
  </si>
  <si>
    <t>(b8)=(b3)-(b4)</t>
  </si>
  <si>
    <t>(b10)=(b5)-(b4)</t>
  </si>
  <si>
    <t>(b11)=(b6)*(a12)</t>
  </si>
  <si>
    <t>(b12)=(b7)*(a12)</t>
  </si>
  <si>
    <t>(b13)=(b8)*(a12)</t>
  </si>
  <si>
    <t>(b14)=(b10)*(a12)</t>
  </si>
  <si>
    <t>kWh*(X+(b13))</t>
  </si>
  <si>
    <t>kWh*(X+(b14))</t>
  </si>
  <si>
    <t>kWh*X+kWh*(b14)</t>
  </si>
  <si>
    <t>(c1)=(c4)+(b11)</t>
  </si>
  <si>
    <t>(c2)=(c4)+(b12)</t>
  </si>
  <si>
    <t>(c3)=(c4)+(b13)</t>
  </si>
  <si>
    <t>(c4) = (b15)</t>
  </si>
  <si>
    <t>(c5)=(c4)+(b14)</t>
  </si>
  <si>
    <t>(c6)=(c1)/(b1)-1</t>
  </si>
  <si>
    <t>(c7)=(c2)/(b2)-1</t>
  </si>
  <si>
    <t>(c8)=(c3)/(b3)-1</t>
  </si>
  <si>
    <t>(c9)=(c4)/(b4)-1</t>
  </si>
  <si>
    <t>(c10)=(c5)/(b5)-1</t>
  </si>
  <si>
    <t>(d3)=(d1)+(d2)</t>
  </si>
  <si>
    <t>(d4)=(d1)/(d2)</t>
  </si>
  <si>
    <t>(d9)=(d5)-(d8)</t>
  </si>
  <si>
    <t>(d10)=(d6)-(d8)</t>
  </si>
  <si>
    <t>(d11)=(d7)-(d8)</t>
  </si>
  <si>
    <t>(d12)</t>
  </si>
  <si>
    <t>(d15)=(d11)*(1+(d4))</t>
  </si>
  <si>
    <t>(d16)=(d12)*(1+(d4))</t>
  </si>
  <si>
    <t>(d13)=(d9)*(1+(d4))</t>
  </si>
  <si>
    <t>(d14)=(d10)*(1+(d4))</t>
  </si>
  <si>
    <t>(d19)</t>
  </si>
  <si>
    <t>kWh*(X+(d13))</t>
  </si>
  <si>
    <t>kWh*(X+(d14))</t>
  </si>
  <si>
    <t>kWh*(X+(d15))</t>
  </si>
  <si>
    <t>kWh*(X+(d16))</t>
  </si>
  <si>
    <t>kWh*X+kWh*(d13)</t>
  </si>
  <si>
    <t>kWh*X+kWh*(d14)</t>
  </si>
  <si>
    <t>kWh*X+kWh*(d15)</t>
  </si>
  <si>
    <t>kWh*X+kWh*(d16)</t>
  </si>
  <si>
    <t>(d3)=kWh*X+kWh*Variation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</si>
  <si>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(d18)</t>
    </r>
  </si>
  <si>
    <t>(Energy Rate Desgin - Not to Use)</t>
  </si>
  <si>
    <t>(a7)=(a5)+(a6)</t>
  </si>
  <si>
    <t>(a8)=(a7)/(a5)-1</t>
  </si>
  <si>
    <t>(b5)=(b1)-(b3)</t>
  </si>
  <si>
    <t>(b6)=(b2)-(b3)</t>
  </si>
  <si>
    <t>(b8)=(b3)-(b3)</t>
  </si>
  <si>
    <t>(b9)=(b5)*(a8)</t>
  </si>
  <si>
    <t>(b10)=(b6)*(a8)</t>
  </si>
  <si>
    <t>(b11)=(b8)*(a8)</t>
  </si>
  <si>
    <t>(b12)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</si>
  <si>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(b13)</t>
    </r>
  </si>
  <si>
    <t>(a7)=kWh*X+kWh*Variation</t>
  </si>
  <si>
    <t>(a7)=(b13)*X+(b14)</t>
  </si>
  <si>
    <t>X=((a7)-(b14))/(b13))</t>
  </si>
  <si>
    <t>(c1)=(b14)+(b9)</t>
  </si>
  <si>
    <t>(c2)=(b14)+(b10)</t>
  </si>
  <si>
    <t>(c3)=(b14)+(b7)</t>
  </si>
  <si>
    <t>(c4)=(b14)+(b11)</t>
  </si>
  <si>
    <t>(c5)=(c1)/(b1)-1</t>
  </si>
  <si>
    <t>(d5)=(d1)/(c5)-1</t>
  </si>
  <si>
    <t>(d6)=(d2)/(c6)-1</t>
  </si>
  <si>
    <t>(d7)=(d3)/(c7)-1</t>
  </si>
  <si>
    <t>(d8)=(d4)/(c8)-1</t>
  </si>
  <si>
    <t>(c6)=(c2)/(b2)-1</t>
  </si>
  <si>
    <t>(c7)=(c3)/(b3)-1</t>
  </si>
  <si>
    <t>(c8)=(c4)/(b4)-1</t>
  </si>
  <si>
    <t>(d4)=(d1)-(d2)+(d3)</t>
  </si>
  <si>
    <t>(d9)=(d5)/(d7)</t>
  </si>
  <si>
    <t>Ratio of Winter  LT</t>
  </si>
  <si>
    <t>(d10)=(d6)/(d7)</t>
  </si>
  <si>
    <t>(d12)=(d8)/(d7)</t>
  </si>
  <si>
    <t>kWh*(X+(d9))</t>
  </si>
  <si>
    <t>kWh*(X+(d10))</t>
  </si>
  <si>
    <t>kWh*(X+(d11))</t>
  </si>
  <si>
    <t>kWh*(X+(d12))</t>
  </si>
  <si>
    <t>(d13)</t>
  </si>
  <si>
    <t>(d4)=kWh*X</t>
  </si>
  <si>
    <t>(d4)=(d13)*X</t>
  </si>
  <si>
    <t>X=(d4)/(d13)</t>
  </si>
  <si>
    <t>(d1)=(c19)+(c13)</t>
  </si>
  <si>
    <t>(d2)=(c19)+(c14)</t>
  </si>
  <si>
    <t>(d3)=(c19)+(c15)</t>
  </si>
  <si>
    <t>(d4)=(c19)+(c16)</t>
  </si>
  <si>
    <t>(b3)=(b1)+(b2)-(a9)</t>
  </si>
  <si>
    <t>(d9)=(d3)*(1+(a10))*(1+(a4))</t>
  </si>
  <si>
    <t>(d11)=(d4)*(1+(a10))*(1+(a4))</t>
  </si>
  <si>
    <t>(a7)-(b14)=(b13)*X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</si>
  <si>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(b16)</t>
    </r>
  </si>
  <si>
    <t>(b17)</t>
  </si>
  <si>
    <t>(a11)=(b15)*X+(b16)</t>
  </si>
  <si>
    <t>(a11)-(b16) = (b15) * X</t>
  </si>
  <si>
    <t>X=((a11)-(b16))/(b15)</t>
  </si>
  <si>
    <t>(a7)=(a1)-(a6)</t>
  </si>
  <si>
    <t>(a10)=(a7)+(a8)-(a9)</t>
  </si>
  <si>
    <t>(a12)=(a10)/(a11)</t>
  </si>
  <si>
    <t>(a13)=Rate*kW</t>
  </si>
  <si>
    <t>(a14)=Rate*kW</t>
  </si>
  <si>
    <t>(a15)=Rate*kW</t>
  </si>
  <si>
    <t>(a16)=Rate*kW</t>
  </si>
  <si>
    <t>(a17)=Rate*kW</t>
  </si>
  <si>
    <t>(a18)=Sum(a13:a17)</t>
  </si>
  <si>
    <t>(a19)=(a12)/(a18)-1</t>
  </si>
  <si>
    <t>(d3)=(d17)*X+(d18)</t>
  </si>
  <si>
    <t>(d3)-(d18) = (d17) * X</t>
  </si>
  <si>
    <t>X=((d3)-(d18))/(d17)</t>
  </si>
  <si>
    <t>(d18)</t>
  </si>
  <si>
    <t>(e5)=(e1)/(d5)</t>
  </si>
  <si>
    <t>(e6)=(e2)/(d6)</t>
  </si>
  <si>
    <t>(e7)=(e3)/(d7)</t>
  </si>
  <si>
    <t>(e8)=(e4)/(d8)</t>
  </si>
  <si>
    <t>kWh*X+kWh*(b15)</t>
  </si>
  <si>
    <t>X=((a12)-(b17))/(b16)</t>
  </si>
  <si>
    <t>(e1)=(d19)+(d13)</t>
  </si>
  <si>
    <t>(e2)=(d19)+(d14)</t>
  </si>
  <si>
    <t>(e3)=(d19)+(d15)</t>
  </si>
  <si>
    <t>(e4)=(d19)+(d16)</t>
  </si>
  <si>
    <t>(c4)=(b18)</t>
  </si>
  <si>
    <t>(d14)=(d9)*(d13)</t>
  </si>
  <si>
    <t>(d15)=(d10)*(d13)</t>
  </si>
  <si>
    <t>(d16)=(d11)*(d13)</t>
  </si>
  <si>
    <t>(d17)=(d12)*(d13)</t>
  </si>
  <si>
    <t>kWh*(X+(d17))</t>
  </si>
  <si>
    <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5"/>
        <rFont val="Calibri"/>
        <family val="2"/>
        <scheme val="minor"/>
      </rPr>
      <t>(d20)</t>
    </r>
  </si>
  <si>
    <t>(d21)</t>
  </si>
  <si>
    <t>kWh*X+kWh*(d17)</t>
  </si>
  <si>
    <t>(e1)=(d21)+(d14)</t>
  </si>
  <si>
    <t>(e2)=(d21)+(d15)</t>
  </si>
  <si>
    <t>(e3)=(d21)+(d16)</t>
  </si>
  <si>
    <t>(e4)=(d21)+(d17)</t>
  </si>
  <si>
    <t>(a9)=(d3)+(d9)</t>
  </si>
  <si>
    <t>(a9)=kWh*X+kWh*Variation</t>
  </si>
  <si>
    <t>(a9)=(d18)*X+(d20)</t>
  </si>
  <si>
    <t>(a9)-(d20) = (d18) * X</t>
  </si>
  <si>
    <t>X=((a9)-(d20))/(d18)</t>
  </si>
  <si>
    <t>(a3)=(a1)*(a2)</t>
  </si>
  <si>
    <t>(a4)=(a1)+(a3)</t>
  </si>
  <si>
    <t>(c4)=(c1)+(c3)</t>
  </si>
  <si>
    <t>A.) SC1 Provision D Rate Design</t>
  </si>
  <si>
    <t>(a4)=(a3)*(a5)</t>
  </si>
  <si>
    <t>(a4)=(a3)</t>
  </si>
  <si>
    <t>A.) kVar Charge Summary</t>
  </si>
  <si>
    <t>*See kVar Workpaper for the Rate Design Details</t>
  </si>
  <si>
    <t>14D.)</t>
  </si>
  <si>
    <t>Rates Design</t>
  </si>
  <si>
    <t>NY Facilities</t>
  </si>
  <si>
    <t>11F</t>
  </si>
  <si>
    <t>Demand_RateDesign_NYPA_I</t>
  </si>
  <si>
    <t>Demand Rate Design Model (NYPA I)</t>
  </si>
  <si>
    <t xml:space="preserve">Rate Change (NYPA): </t>
  </si>
  <si>
    <t>Rate Change (SC1):</t>
  </si>
  <si>
    <t>SC12 Rate I&amp;III (Excl. Non-Demand) - T&amp;D Target:</t>
  </si>
  <si>
    <t>(a9)=(d3)+(d19)</t>
  </si>
  <si>
    <t>Current Energy Revenue for Rate I</t>
  </si>
  <si>
    <t xml:space="preserve">Rate Change - NYPA: </t>
  </si>
  <si>
    <t>Rate Change - SC13 Rate II:</t>
  </si>
  <si>
    <t xml:space="preserve">Rate Change - SC9 Rate II: </t>
  </si>
  <si>
    <t>Workpaper</t>
  </si>
  <si>
    <t>Yes</t>
  </si>
  <si>
    <r>
      <rPr>
        <b/>
        <sz val="14"/>
        <color theme="1"/>
        <rFont val="Calibri"/>
        <family val="2"/>
        <scheme val="minor"/>
      </rPr>
      <t xml:space="preserve">7A-2.) </t>
    </r>
    <r>
      <rPr>
        <b/>
        <u/>
        <sz val="14"/>
        <color theme="1"/>
        <rFont val="Calibri"/>
        <family val="2"/>
        <scheme val="minor"/>
      </rPr>
      <t xml:space="preserve">Rate Year Customer Charge Revenues at Proposed Level </t>
    </r>
  </si>
  <si>
    <t>(b14)=(b10)*(1+(b15))</t>
  </si>
  <si>
    <t>(b11)=(b6)*(1+(b15))</t>
  </si>
  <si>
    <t>(b12)=(b7)*(1+(b15))</t>
  </si>
  <si>
    <t>(b13)=(b8)*(1+(b15))</t>
  </si>
  <si>
    <t>8.)</t>
  </si>
  <si>
    <t>9.)</t>
  </si>
  <si>
    <t xml:space="preserve">9J.)HL_RedgnRate_SC8_I </t>
  </si>
  <si>
    <t>9K.)HL_RedgnRate_SC9_I</t>
  </si>
  <si>
    <t>(c3)=((c1)*4+(c2)*8)/12</t>
  </si>
  <si>
    <t>(c4)=LT(c3)-HT(c3)</t>
  </si>
  <si>
    <t>(c5)=HT(c3)/LT(c3)</t>
  </si>
  <si>
    <t>(c6)=(a4)</t>
  </si>
  <si>
    <t>(c7)=((c5)-(c6))*((b1)/(b2))</t>
  </si>
  <si>
    <t>(c8)=(c4)/(1-(c5))*(1-(c7))</t>
  </si>
  <si>
    <t>Diff in Differential</t>
  </si>
  <si>
    <t>Reflected in Rate</t>
  </si>
  <si>
    <t>(c9)=((c8)-(c4))*Blk Lmts</t>
  </si>
  <si>
    <t>(c10)=(c8)-(c4)</t>
  </si>
  <si>
    <t>Blk1: (d2)</t>
  </si>
  <si>
    <t>Blk2: (d2)</t>
  </si>
  <si>
    <t>(d5)=(d1)-(d2)</t>
  </si>
  <si>
    <t>(d6)=(d3)-(d2)</t>
  </si>
  <si>
    <t>(d7)=(d4)-(d2)</t>
  </si>
  <si>
    <t>(d8)=(d6)-(c9)</t>
  </si>
  <si>
    <t>(d9)=(d7)-(c9)</t>
  </si>
  <si>
    <t>(d8)=(d6)-(c10)</t>
  </si>
  <si>
    <t>(d9)=(d7)-(c10)</t>
  </si>
  <si>
    <t>(e1)=Bills*Rate</t>
  </si>
  <si>
    <t>(e2)=Bills*Rate</t>
  </si>
  <si>
    <t>(e3)=Bills*Rate</t>
  </si>
  <si>
    <t>(e4)=Bills*Rate</t>
  </si>
  <si>
    <t>(e5)=sum(e1:e4)</t>
  </si>
  <si>
    <t>(e6)</t>
  </si>
  <si>
    <t>(e7)=(e5)+(e6)</t>
  </si>
  <si>
    <t>(f3)=(f2)+(f3)</t>
  </si>
  <si>
    <t>(e7)</t>
  </si>
  <si>
    <t>(f4)=(f3)-(e7)</t>
  </si>
  <si>
    <t>kW*X+kW*(d5)</t>
  </si>
  <si>
    <t>kW*X+kW*(d8)</t>
  </si>
  <si>
    <t>kW*X+kW*(d9)</t>
  </si>
  <si>
    <r>
      <rPr>
        <sz val="11"/>
        <rFont val="Calibri"/>
        <family val="2"/>
        <scheme val="minor"/>
      </rPr>
      <t xml:space="preserve">) </t>
    </r>
    <r>
      <rPr>
        <sz val="9"/>
        <color theme="5"/>
        <rFont val="Calibri"/>
        <family val="2"/>
        <scheme val="minor"/>
      </rPr>
      <t>(f6)</t>
    </r>
  </si>
  <si>
    <t>(f4)=kW*X+kW*Variation</t>
  </si>
  <si>
    <t>(f4)=(f5)*X+(f6)</t>
  </si>
  <si>
    <t>(f4)-(f6) = (f5) * X</t>
  </si>
  <si>
    <t>X=((f4)-(f6))/(f5)</t>
  </si>
  <si>
    <t>kW*(X+(d5))</t>
  </si>
  <si>
    <t>kW*(X+(d8))</t>
  </si>
  <si>
    <t>kW*(X+(d9))</t>
  </si>
  <si>
    <t>(f7)</t>
  </si>
  <si>
    <t>(e1) &amp; (e2)</t>
  </si>
  <si>
    <t>(g1)=(d5)+(f7);(g2)=(f7)</t>
  </si>
  <si>
    <t>(e3) &amp; (e4)</t>
  </si>
  <si>
    <t>(g3)=(d8)+(f7);(g4)=(d9)+(f7)</t>
  </si>
  <si>
    <t>(g5)=(e3)-(e1)</t>
  </si>
  <si>
    <t>(g6)=(e4)-(e2)</t>
  </si>
  <si>
    <t>(g7)=(g3)-(g1)</t>
  </si>
  <si>
    <t>(g8)=(g4)-(g2)</t>
  </si>
  <si>
    <t>(e4)</t>
  </si>
  <si>
    <t>(c9)=(c8)-(c4)</t>
  </si>
  <si>
    <t>(a11)=1-(a10)</t>
  </si>
  <si>
    <t>(a10)=(a8)-((a8)-(a4))*(b1)/(b2)</t>
  </si>
  <si>
    <t>(b2),(b5)</t>
  </si>
  <si>
    <t>(b3),(b6)</t>
  </si>
  <si>
    <t>(b4),(b7)</t>
  </si>
  <si>
    <t>(b8)=(b2)-(b5)</t>
  </si>
  <si>
    <t>(b9)=(b3)-(b6)</t>
  </si>
  <si>
    <t>(b10)=(b1)*4/12</t>
  </si>
  <si>
    <t>(b11)=((b2)*4+(b5)*8)/12</t>
  </si>
  <si>
    <t>(b12)=((b3)*4+(b6)*8)/12</t>
  </si>
  <si>
    <t>(b13)=sum(b10:b12)</t>
  </si>
  <si>
    <t>(c3)=(c2)/(b14)*(a11)</t>
  </si>
  <si>
    <t>(b14)=(b12)/(b13)</t>
  </si>
  <si>
    <t>(b15)=1-(b14)</t>
  </si>
  <si>
    <t>Summer kW*X+(b9)</t>
  </si>
  <si>
    <t>Winter kW*X</t>
  </si>
  <si>
    <t>(c3)=(c4)*X+kW*(b9)</t>
  </si>
  <si>
    <t>(c3)-(kW*(b9))=(c4)*X</t>
  </si>
  <si>
    <t>(c5)=((c3)-(kW*(b9))/(c4)</t>
  </si>
  <si>
    <t>(c6)=(c5)+(c9)</t>
  </si>
  <si>
    <t>(b6)=kW*(b1)</t>
  </si>
  <si>
    <t>Summer kW*X+(b8)</t>
  </si>
  <si>
    <t>(c7)=(c8)*X+kW*(b8)</t>
  </si>
  <si>
    <t>(c7)-(kW*(b8))=(c8)*X</t>
  </si>
  <si>
    <t>(c9)=((c7)-(kW*(b8))/(c8)</t>
  </si>
  <si>
    <t>(c10)=(c9)+(b8)</t>
  </si>
  <si>
    <t>(c7)=(c1)-(c3)-(b6)</t>
  </si>
  <si>
    <t>(c11)=(b1)+(c10)+(c6)</t>
  </si>
  <si>
    <t>(c12)=(c9)+(c5)</t>
  </si>
  <si>
    <t>) (f6)</t>
  </si>
  <si>
    <t>9J</t>
  </si>
  <si>
    <t>9K</t>
  </si>
  <si>
    <t>HL_RedgnRate_SC8_I</t>
  </si>
  <si>
    <t>HL_RedgnRate_SC9_I</t>
  </si>
  <si>
    <t>Redesign Rate Model for High/Low Tension Shifting (SC8 Rate I)</t>
  </si>
  <si>
    <t>Redesign Rate Model for High/Low Tension Shifting (SC9 Rate I)</t>
  </si>
  <si>
    <t>Rate III LT - Energy (Summer)_OnPeak</t>
  </si>
  <si>
    <t>Rate III LT - Energy (Summer)_OffPeak</t>
  </si>
  <si>
    <t>Rate III LT - Energy (Winter)_OnPeak</t>
  </si>
  <si>
    <t>Rate III LT - Energy (Winter)_OffPeak</t>
  </si>
  <si>
    <t>Rate III HT - Energy (Summer)_OnPeak</t>
  </si>
  <si>
    <t>Rate III HT - Energy (Summer)_OffPeak</t>
  </si>
  <si>
    <t>Rate III HT - Energy (Winter)_OnPeak</t>
  </si>
  <si>
    <t>Rate III HT - Energy (Winter)_OffPeak</t>
  </si>
  <si>
    <t>Current(RY1)</t>
  </si>
  <si>
    <t>Redesigned Rate:</t>
  </si>
  <si>
    <t>Ratio From Winter LT</t>
  </si>
  <si>
    <t>LT Energy (Summer)</t>
  </si>
  <si>
    <t>LT Energy (Winter)</t>
  </si>
  <si>
    <t>HT Energy (Summer)</t>
  </si>
  <si>
    <t>HT Energy (Winter)</t>
  </si>
  <si>
    <t>Proposed Energy Rev</t>
  </si>
  <si>
    <t>(d14)</t>
  </si>
  <si>
    <t>(f5)=(f1)/(f3)</t>
  </si>
  <si>
    <t>(f6)=(f2)/(f3)</t>
  </si>
  <si>
    <t>(f8)=(f4)/(f3)</t>
  </si>
  <si>
    <t>(f9)</t>
  </si>
  <si>
    <t>(e4)=(f9)*X</t>
  </si>
  <si>
    <t>X=(e4)/(f9)</t>
  </si>
  <si>
    <t>(f10)</t>
  </si>
  <si>
    <t>(g1)=(f10)*(f5)</t>
  </si>
  <si>
    <t>(g3)=(f10)</t>
  </si>
  <si>
    <t>(g2)=(f10)*(f6)</t>
  </si>
  <si>
    <t>(g4)=(f10)*(f8)</t>
  </si>
  <si>
    <t>(e1)=(d14)*(d9)</t>
  </si>
  <si>
    <t>(e2)=(d14)*(10)</t>
  </si>
  <si>
    <t>(e4)=(d14)*(d12)</t>
  </si>
  <si>
    <t>(e3)=(d14)</t>
  </si>
  <si>
    <r>
      <rPr>
        <b/>
        <sz val="14"/>
        <color theme="1"/>
        <rFont val="Calibri"/>
        <family val="2"/>
        <scheme val="minor"/>
      </rPr>
      <t xml:space="preserve">7A-1.) </t>
    </r>
    <r>
      <rPr>
        <b/>
        <u/>
        <sz val="14"/>
        <color theme="1"/>
        <rFont val="Calibri"/>
        <family val="2"/>
        <scheme val="minor"/>
      </rPr>
      <t>Historical Customer Charge Revenues at Current and Proposed Level  - RY1</t>
    </r>
  </si>
  <si>
    <t>Min Demand Shifting:</t>
  </si>
  <si>
    <t>Energy Demand Shifting:</t>
  </si>
  <si>
    <t>&lt;= Criteria - H/L Tension Shifting:</t>
  </si>
  <si>
    <t>10.)</t>
  </si>
  <si>
    <t>Energy Rate</t>
  </si>
  <si>
    <t>N</t>
  </si>
  <si>
    <t>SC13 Rate II TODL</t>
  </si>
  <si>
    <t>11.)</t>
  </si>
  <si>
    <t>NYPA Rate II TODL</t>
  </si>
  <si>
    <t>NYPA  Rate I</t>
  </si>
  <si>
    <t>SC12 Rate II TODL</t>
  </si>
  <si>
    <t xml:space="preserve">SC12 Rate I </t>
  </si>
  <si>
    <t>SC9 Rate II TODL</t>
  </si>
  <si>
    <t xml:space="preserve">SC9 Rate I </t>
  </si>
  <si>
    <t>SC8 Rate II TODL</t>
  </si>
  <si>
    <t xml:space="preserve">SC8 Rate I </t>
  </si>
  <si>
    <t>SC5 Rate II TODL</t>
  </si>
  <si>
    <t xml:space="preserve">SC5 Rate I </t>
  </si>
  <si>
    <t>CECONY - Electric Demand Rates Summary (RY1)</t>
  </si>
  <si>
    <t>Current Rate</t>
  </si>
  <si>
    <t>Meter Cost Shift to the Minimum Demand</t>
  </si>
  <si>
    <t>Demand Rate Change (Incl. EDB) - Excl. Min Charge Shifting from Meter Cost</t>
  </si>
  <si>
    <t>Min Demand Rate Change for Meter Cost</t>
  </si>
  <si>
    <t>(a14) = (a13) * Bills</t>
  </si>
  <si>
    <t>(a12)=(a11)+(1+(a4))+(a14)</t>
  </si>
  <si>
    <t>(d5)=(d1)*(1+(a10))*(1+(a4))+(a13)</t>
  </si>
  <si>
    <t>(d9)=(d3)*(1+(a10))*(1+(a4))+(a13)</t>
  </si>
  <si>
    <t>(d7)=(d2)*(1+(a10))*(1+(a4))+(a13)</t>
  </si>
  <si>
    <t>(d11)=(d4)*(1+(a10))*(1+(a4))+(a13)</t>
  </si>
  <si>
    <t>Meter Cost Transferred</t>
  </si>
  <si>
    <t>Meter Ownership</t>
  </si>
  <si>
    <t>Meter Service</t>
  </si>
  <si>
    <t>Meter Data Service</t>
  </si>
  <si>
    <t>Bills:</t>
  </si>
  <si>
    <t>Total Bills</t>
  </si>
  <si>
    <t>Non-MHP Bills:</t>
  </si>
  <si>
    <t>MHP Bills:</t>
  </si>
  <si>
    <t>(Non-MHP)</t>
  </si>
  <si>
    <t>Rate I &amp; III</t>
  </si>
  <si>
    <t>Non-MHP</t>
  </si>
  <si>
    <t>CC Rates:</t>
  </si>
  <si>
    <t>Summer Bills (LT):</t>
  </si>
  <si>
    <t>Winter Bills (LT):</t>
  </si>
  <si>
    <t>Summer Bills (HT):</t>
  </si>
  <si>
    <t>Winter Bills (HT):</t>
  </si>
  <si>
    <t>Demand Rate Change (Incl. EDB) - Rate I &amp; III - Excl. Customer Charge</t>
  </si>
  <si>
    <t xml:space="preserve">Demand Rate Change (Incl. EDB) - Rate I &amp; III </t>
  </si>
  <si>
    <t>Summer (LT):</t>
  </si>
  <si>
    <t>Winter (LT):</t>
  </si>
  <si>
    <t>Summer (HT):</t>
  </si>
  <si>
    <t>Winter (HT):</t>
  </si>
  <si>
    <t>Total:</t>
  </si>
  <si>
    <t>(Incl. Cust Chg)</t>
  </si>
  <si>
    <t>(Excl. Cust Chg)</t>
  </si>
  <si>
    <t>Total Meter Cost</t>
  </si>
  <si>
    <t>Customer Charge (Proposed)</t>
  </si>
  <si>
    <t>SC12 Rate III Customer Charge</t>
  </si>
  <si>
    <t>SC8 Rate III Customer Charge</t>
  </si>
  <si>
    <t>SC9 Rate III Customer Charge</t>
  </si>
  <si>
    <t>SC5 Rate II Customer Charge</t>
  </si>
  <si>
    <t>SC8 Rate II Customer Charge</t>
  </si>
  <si>
    <t>SC9 Rate II Customer Charge</t>
  </si>
  <si>
    <t>S12 Rate II Customer Charge</t>
  </si>
  <si>
    <t>SC13 Rate II Customer Charge</t>
  </si>
  <si>
    <t>Min Demand Rev with Transferred Meter Cost at Proposed Level</t>
  </si>
  <si>
    <t>Current Meter Cost (Excl. EDB) - Non-MHP Charge Transferred to Min Demand</t>
  </si>
  <si>
    <t>Cust Chg</t>
  </si>
  <si>
    <t>(a22)</t>
  </si>
  <si>
    <t>(a23) = (a22)</t>
  </si>
  <si>
    <t>(c13)=(c11)</t>
  </si>
  <si>
    <r>
      <rPr>
        <b/>
        <sz val="14"/>
        <color theme="1"/>
        <rFont val="Calibri"/>
        <family val="2"/>
        <scheme val="minor"/>
      </rPr>
      <t xml:space="preserve">7C.) </t>
    </r>
    <r>
      <rPr>
        <b/>
        <u/>
        <sz val="14"/>
        <color theme="1"/>
        <rFont val="Calibri"/>
        <family val="2"/>
        <scheme val="minor"/>
      </rPr>
      <t>Customer Charge Rates Design</t>
    </r>
  </si>
  <si>
    <r>
      <rPr>
        <b/>
        <sz val="14"/>
        <color theme="1"/>
        <rFont val="Calibri"/>
        <family val="2"/>
        <scheme val="minor"/>
      </rPr>
      <t xml:space="preserve">7D.) </t>
    </r>
    <r>
      <rPr>
        <b/>
        <u/>
        <sz val="14"/>
        <color theme="1"/>
        <rFont val="Calibri"/>
        <family val="2"/>
        <scheme val="minor"/>
      </rPr>
      <t>Billing Payment &amp; Processing Charge (BPP)</t>
    </r>
  </si>
  <si>
    <t>Current Metering Rates</t>
  </si>
  <si>
    <t>Input =&gt;</t>
  </si>
  <si>
    <t>Customer Charge Incl. Metering Excl. BPP for Rate Design</t>
  </si>
  <si>
    <t>7D</t>
  </si>
  <si>
    <t>CustCharge_DemandClasses</t>
  </si>
  <si>
    <t>Customer Charge Rates for Demand Classes (Cust Charges Inputs for SC5, SC8, SC9, and SC12 - Rate I &amp; II, and SC13 - Rate II)</t>
  </si>
  <si>
    <t>9L</t>
  </si>
  <si>
    <t>HL_RedgnRate_NYPA_II</t>
  </si>
  <si>
    <t>Redesign Rate Model for High/Low Tension Shifting (NYPA Rate II)</t>
  </si>
  <si>
    <t>(Rate I)</t>
  </si>
  <si>
    <t>(Rate I&amp;III)</t>
  </si>
  <si>
    <t>w. Cust Cost</t>
  </si>
  <si>
    <t>w.Meter Charge</t>
  </si>
  <si>
    <t>Cust Cost vs. Meter Charge</t>
  </si>
  <si>
    <t>CC</t>
  </si>
  <si>
    <t>CC+Demand</t>
  </si>
  <si>
    <t>CC+D w.EDB</t>
  </si>
  <si>
    <t>Total Change</t>
  </si>
  <si>
    <t>CC Change</t>
  </si>
  <si>
    <t>Demand Change</t>
  </si>
  <si>
    <t>Bill</t>
  </si>
  <si>
    <t>kW / Bill</t>
  </si>
  <si>
    <t>Total Demand Rev w.CC</t>
  </si>
  <si>
    <t>vs. Meter Cost</t>
  </si>
  <si>
    <t>CC Charge</t>
  </si>
  <si>
    <t>Total Demand w.CC</t>
  </si>
  <si>
    <t>A1</t>
  </si>
  <si>
    <t>A2</t>
  </si>
  <si>
    <t>A3=A1+A2</t>
  </si>
  <si>
    <t>B1</t>
  </si>
  <si>
    <t>B2</t>
  </si>
  <si>
    <t>B3=B1+B2</t>
  </si>
  <si>
    <t>C1=B1-A1</t>
  </si>
  <si>
    <t>C2=B2-A2</t>
  </si>
  <si>
    <t>C3=C1+C2</t>
  </si>
  <si>
    <t>*Proposed Customer Charge</t>
  </si>
  <si>
    <t>Total Customer Charges (Incl. EDB):</t>
  </si>
  <si>
    <t>*Input Proposed Customer Charges for the demand rates design.  If the input is zero, the revenue change will be automatically transferred to demand rates design.</t>
  </si>
  <si>
    <t>Updated on 9/19/19</t>
  </si>
  <si>
    <t>T&amp;D Revenue Reduction from Low Income Dis (Excl. RFW):</t>
  </si>
  <si>
    <t>RY Low Income Discount at HY Level</t>
  </si>
  <si>
    <t>Current Low Income Dis at HY Level</t>
  </si>
  <si>
    <t>&lt;= Current LI at RY Level</t>
  </si>
  <si>
    <t>&lt;= Current LI at HY Level</t>
  </si>
  <si>
    <t>Current Low Income Discount at RY Level</t>
  </si>
  <si>
    <t>Rate Redesigned at Current Rate Level to Reflect ECOS % HT/LT Indication - 3/3</t>
  </si>
  <si>
    <t>Development of High Tension / Low Tension Differentials to be used in Revenue Neutral Rate Redesign - 3/3</t>
  </si>
  <si>
    <t>LI Info:</t>
  </si>
  <si>
    <t>(No need for the model)</t>
  </si>
  <si>
    <t>Proposed BPP Charge in Rate Case (Initial Filing):</t>
  </si>
  <si>
    <t>9A.) CECONY - Electric Redesigned Rate Summary - 3/3</t>
  </si>
  <si>
    <t>9L.) Redesign Rates - High Tension &amp; Low Tension Shifting - 3/3</t>
  </si>
  <si>
    <t>9J.) Redesign Rates - High Tension &amp; Low Tension Shifting - 3/3</t>
  </si>
  <si>
    <t>9K.) Redesign Rates - High Tension &amp; Low Tension Shifting - 3/3</t>
  </si>
  <si>
    <t>9I.) Redesign Rates - High Tension &amp; Low Tension Shifting - 3/3</t>
  </si>
  <si>
    <t>9H.) Redesign Rates - High Tension &amp; Low Tension Shifting - 3/3</t>
  </si>
  <si>
    <t>9G.) Redesign Rates - High Tension &amp; Low Tension Shifting - 3/3</t>
  </si>
  <si>
    <t>9F.) Redesign Rates - High Tension &amp; Low Tension Shifting - 3/3</t>
  </si>
  <si>
    <t>9E.) Redesign Rates - High Tension &amp; Low Tension Shifting - 3/3</t>
  </si>
  <si>
    <t>9D.) Redesign Rates - High Tension &amp; Low Tension Shifting - 3/3</t>
  </si>
  <si>
    <t>9C.) Redesign Rates - High Tension &amp; Low Tension Shifting - 3/3</t>
  </si>
  <si>
    <t>9L.)HL_RedgnRate_NYPA_II</t>
  </si>
  <si>
    <t>SC8 Rate I &amp; III</t>
  </si>
  <si>
    <t>SC12 Rate I &amp; III</t>
  </si>
  <si>
    <t>Redesigned Rate Summary of High / Low Tension Shifting (SC5, 8, 9, 12, 13, and NYPA)</t>
  </si>
  <si>
    <t>HL_RedgnRate_SC5_II</t>
  </si>
  <si>
    <t>Redesign Rate Model for High/Low Tension Shifting (SC5 Rate II)</t>
  </si>
  <si>
    <t>14E.)</t>
  </si>
  <si>
    <t>14C.)</t>
  </si>
  <si>
    <t>4_Rates_RateDesign(RY1).xlsx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</si>
</sst>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&quot;$&quot;* #,##0_);_(&quot;$&quot;* \(#,##0\);_(&quot;$&quot;* &quot;-&quot;??_);_(@_)"/>
    <numFmt numFmtId="167" formatCode="_(&quot;$&quot;* #,##0.0000_);_(&quot;$&quot;* \(#,##0.0000\);_(&quot;$&quot;* &quot;-&quot;??_);_(@_)"/>
    <numFmt numFmtId="168" formatCode="&quot;$&quot;#,##0.0000_);\(&quot;$&quot;#,##0.0000\)"/>
    <numFmt numFmtId="169" formatCode="0.000000%"/>
    <numFmt numFmtId="170" formatCode="0.00000%"/>
    <numFmt numFmtId="171" formatCode="0.0000%"/>
    <numFmt numFmtId="172" formatCode="0.00000"/>
    <numFmt numFmtId="173" formatCode="_(* #,##0.00000_);_(* \(#,##0.00000\);_(* &quot;-&quot;??_);_(@_)"/>
    <numFmt numFmtId="174" formatCode="_(&quot;$&quot;* #,##0.00000_);_(&quot;$&quot;* \(#,##0.00000\);_(&quot;$&quot;* &quot;-&quot;??_);_(@_)"/>
    <numFmt numFmtId="175" formatCode="_(* #,##0.000_);_(* \(#,##0.000\);_(* &quot;-&quot;??_);_(@_)"/>
    <numFmt numFmtId="176" formatCode="0.0%"/>
    <numFmt numFmtId="177" formatCode="_(* #,##0.000000_);_(* \(#,##0.000000\);_(* &quot;-&quot;??_);_(@_)"/>
    <numFmt numFmtId="178" formatCode="0.000000"/>
    <numFmt numFmtId="179" formatCode="_(* #,##0.0_);_(* \(#,##0.0\);_(* &quot;-&quot;??_);_(@_)"/>
    <numFmt numFmtId="180" formatCode="0.0000000%"/>
    <numFmt numFmtId="181" formatCode="_(&quot;$&quot;* #,##0.0000_);_(&quot;$&quot;* \(#,##0.0000\);_(&quot;$&quot;* &quot;-&quot;????_);_(@_)"/>
    <numFmt numFmtId="182" formatCode="_(&quot;$&quot;* #,##0.0_);_(&quot;$&quot;* \(#,##0.0\);_(&quot;$&quot;* &quot;-&quot;????_);_(@_)"/>
    <numFmt numFmtId="183" formatCode="_(* #,##0.0000_);_(* \(#,##0.0000\);_(* &quot;-&quot;??_);_(@_)"/>
    <numFmt numFmtId="184" formatCode="_(&quot;$&quot;* #,##0.000000_);_(&quot;$&quot;* \(#,##0.000000\);_(&quot;$&quot;* &quot;-&quot;??_);_(@_)"/>
    <numFmt numFmtId="185" formatCode="0.00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Arial"/>
      <family val="2"/>
    </font>
    <font>
      <u/>
      <sz val="11"/>
      <color rgb="FFFF00FF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rgb="FFFF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vertAlign val="superscript"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0" tint="-0.34998626667073579"/>
      <name val="Calibri"/>
      <family val="2"/>
      <scheme val="minor"/>
    </font>
    <font>
      <sz val="10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sz val="8"/>
      <color theme="5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 style="thin">
        <color auto="1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1360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3" fillId="0" borderId="0" xfId="1" applyNumberFormat="1" applyFont="1" applyAlignment="1">
      <alignment vertical="center"/>
    </xf>
    <xf numFmtId="165" fontId="2" fillId="0" borderId="4" xfId="3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6" fontId="2" fillId="2" borderId="6" xfId="2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2" fillId="3" borderId="4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6" fontId="2" fillId="4" borderId="10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66" fontId="0" fillId="0" borderId="0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0" fillId="0" borderId="1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6" fontId="0" fillId="5" borderId="0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167" fontId="2" fillId="5" borderId="0" xfId="0" applyNumberFormat="1" applyFont="1" applyFill="1" applyBorder="1" applyAlignment="1">
      <alignment vertical="center"/>
    </xf>
    <xf numFmtId="0" fontId="0" fillId="0" borderId="5" xfId="0" applyBorder="1"/>
    <xf numFmtId="167" fontId="2" fillId="0" borderId="0" xfId="0" applyNumberFormat="1" applyFont="1" applyFill="1" applyBorder="1" applyAlignment="1">
      <alignment vertical="center"/>
    </xf>
    <xf numFmtId="167" fontId="8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Border="1" applyAlignment="1">
      <alignment vertical="center"/>
    </xf>
    <xf numFmtId="167" fontId="8" fillId="0" borderId="0" xfId="0" quotePrefix="1" applyNumberFormat="1" applyFont="1" applyBorder="1" applyAlignment="1">
      <alignment horizontal="left" vertical="center"/>
    </xf>
    <xf numFmtId="167" fontId="2" fillId="2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7" fontId="8" fillId="0" borderId="0" xfId="0" quotePrefix="1" applyNumberFormat="1" applyFont="1" applyAlignment="1">
      <alignment horizontal="left" vertical="center"/>
    </xf>
    <xf numFmtId="167" fontId="2" fillId="5" borderId="10" xfId="2" applyNumberFormat="1" applyFont="1" applyFill="1" applyBorder="1" applyAlignment="1">
      <alignment vertical="center"/>
    </xf>
    <xf numFmtId="166" fontId="0" fillId="0" borderId="0" xfId="0" quotePrefix="1" applyNumberForma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164" fontId="10" fillId="0" borderId="12" xfId="0" applyNumberFormat="1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0" fillId="7" borderId="16" xfId="0" applyFill="1" applyBorder="1" applyAlignment="1">
      <alignment horizontal="left" vertical="center"/>
    </xf>
    <xf numFmtId="164" fontId="10" fillId="0" borderId="0" xfId="0" applyNumberFormat="1" applyFont="1" applyFill="1" applyAlignment="1">
      <alignment vertical="center"/>
    </xf>
    <xf numFmtId="0" fontId="0" fillId="7" borderId="17" xfId="0" applyFill="1" applyBorder="1" applyAlignment="1">
      <alignment horizontal="left" vertical="center"/>
    </xf>
    <xf numFmtId="0" fontId="0" fillId="7" borderId="18" xfId="0" applyFill="1" applyBorder="1" applyAlignment="1">
      <alignment vertical="center"/>
    </xf>
    <xf numFmtId="0" fontId="2" fillId="0" borderId="0" xfId="0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0" fontId="0" fillId="0" borderId="0" xfId="3" applyNumberFormat="1" applyFont="1" applyAlignment="1">
      <alignment vertical="center"/>
    </xf>
    <xf numFmtId="168" fontId="11" fillId="0" borderId="0" xfId="0" applyNumberFormat="1" applyFont="1"/>
    <xf numFmtId="167" fontId="0" fillId="2" borderId="0" xfId="0" applyNumberFormat="1" applyFill="1" applyAlignment="1">
      <alignment vertical="center"/>
    </xf>
    <xf numFmtId="10" fontId="0" fillId="2" borderId="0" xfId="3" applyNumberFormat="1" applyFont="1" applyFill="1" applyAlignment="1">
      <alignment vertical="center"/>
    </xf>
    <xf numFmtId="167" fontId="0" fillId="4" borderId="0" xfId="0" applyNumberForma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166" fontId="0" fillId="2" borderId="0" xfId="0" applyNumberFormat="1" applyFill="1" applyAlignment="1">
      <alignment vertical="center"/>
    </xf>
    <xf numFmtId="0" fontId="0" fillId="0" borderId="1" xfId="0" applyBorder="1" applyAlignment="1">
      <alignment vertical="center"/>
    </xf>
    <xf numFmtId="167" fontId="8" fillId="0" borderId="2" xfId="0" quotePrefix="1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4" fontId="2" fillId="5" borderId="0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44" fontId="2" fillId="5" borderId="10" xfId="2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4" fontId="2" fillId="0" borderId="10" xfId="2" applyNumberFormat="1" applyFont="1" applyFill="1" applyBorder="1" applyAlignment="1">
      <alignment vertical="center"/>
    </xf>
    <xf numFmtId="166" fontId="0" fillId="0" borderId="0" xfId="2" applyNumberFormat="1" applyFont="1" applyAlignment="1">
      <alignment vertical="center"/>
    </xf>
    <xf numFmtId="164" fontId="9" fillId="0" borderId="0" xfId="0" applyNumberFormat="1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7" borderId="17" xfId="0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4" fontId="14" fillId="0" borderId="0" xfId="0" applyNumberFormat="1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14" fillId="5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5" fillId="0" borderId="0" xfId="0" applyFont="1"/>
    <xf numFmtId="169" fontId="0" fillId="9" borderId="0" xfId="3" applyNumberFormat="1" applyFont="1" applyFill="1" applyAlignment="1">
      <alignment vertical="center"/>
    </xf>
    <xf numFmtId="166" fontId="0" fillId="0" borderId="10" xfId="0" applyNumberFormat="1" applyBorder="1"/>
    <xf numFmtId="0" fontId="16" fillId="0" borderId="0" xfId="0" applyFont="1" applyAlignment="1">
      <alignment horizontal="right"/>
    </xf>
    <xf numFmtId="166" fontId="0" fillId="0" borderId="0" xfId="0" applyNumberFormat="1"/>
    <xf numFmtId="0" fontId="2" fillId="0" borderId="0" xfId="0" applyFont="1"/>
    <xf numFmtId="44" fontId="0" fillId="0" borderId="12" xfId="0" applyNumberFormat="1" applyBorder="1"/>
    <xf numFmtId="0" fontId="7" fillId="0" borderId="0" xfId="0" applyFont="1"/>
    <xf numFmtId="166" fontId="0" fillId="0" borderId="0" xfId="2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166" fontId="2" fillId="5" borderId="10" xfId="0" applyNumberFormat="1" applyFont="1" applyFill="1" applyBorder="1" applyAlignment="1">
      <alignment vertical="center"/>
    </xf>
    <xf numFmtId="166" fontId="0" fillId="5" borderId="10" xfId="0" applyNumberFormat="1" applyFill="1" applyBorder="1" applyAlignment="1">
      <alignment vertical="center"/>
    </xf>
    <xf numFmtId="9" fontId="0" fillId="0" borderId="0" xfId="3" applyFont="1"/>
    <xf numFmtId="166" fontId="0" fillId="0" borderId="25" xfId="0" applyNumberFormat="1" applyBorder="1"/>
    <xf numFmtId="169" fontId="0" fillId="0" borderId="0" xfId="0" applyNumberFormat="1"/>
    <xf numFmtId="0" fontId="16" fillId="0" borderId="0" xfId="0" applyFont="1" applyFill="1"/>
    <xf numFmtId="0" fontId="16" fillId="0" borderId="0" xfId="0" applyFont="1"/>
    <xf numFmtId="166" fontId="16" fillId="0" borderId="0" xfId="0" applyNumberFormat="1" applyFont="1"/>
    <xf numFmtId="171" fontId="16" fillId="0" borderId="0" xfId="3" applyNumberFormat="1" applyFont="1"/>
    <xf numFmtId="0" fontId="17" fillId="0" borderId="0" xfId="0" applyFont="1" applyAlignment="1">
      <alignment horizontal="center"/>
    </xf>
    <xf numFmtId="0" fontId="18" fillId="0" borderId="0" xfId="0" applyFont="1"/>
    <xf numFmtId="0" fontId="0" fillId="10" borderId="0" xfId="0" applyFill="1"/>
    <xf numFmtId="166" fontId="0" fillId="10" borderId="0" xfId="2" applyNumberFormat="1" applyFont="1" applyFill="1" applyAlignment="1">
      <alignment vertical="center"/>
    </xf>
    <xf numFmtId="164" fontId="0" fillId="0" borderId="0" xfId="0" applyNumberFormat="1" applyBorder="1"/>
    <xf numFmtId="164" fontId="0" fillId="0" borderId="10" xfId="0" applyNumberFormat="1" applyBorder="1"/>
    <xf numFmtId="0" fontId="8" fillId="3" borderId="26" xfId="0" applyFont="1" applyFill="1" applyBorder="1" applyAlignment="1">
      <alignment horizontal="center" vertical="center"/>
    </xf>
    <xf numFmtId="164" fontId="14" fillId="3" borderId="26" xfId="1" applyNumberFormat="1" applyFont="1" applyFill="1" applyBorder="1"/>
    <xf numFmtId="0" fontId="0" fillId="0" borderId="27" xfId="0" applyBorder="1" applyAlignment="1">
      <alignment horizontal="center"/>
    </xf>
    <xf numFmtId="0" fontId="0" fillId="0" borderId="27" xfId="0" applyFill="1" applyBorder="1" applyAlignment="1">
      <alignment vertical="center"/>
    </xf>
    <xf numFmtId="164" fontId="14" fillId="3" borderId="28" xfId="1" applyNumberFormat="1" applyFont="1" applyFill="1" applyBorder="1"/>
    <xf numFmtId="0" fontId="0" fillId="0" borderId="28" xfId="0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8" xfId="0" applyFill="1" applyBorder="1" applyAlignment="1">
      <alignment vertical="center"/>
    </xf>
    <xf numFmtId="164" fontId="14" fillId="3" borderId="29" xfId="1" applyNumberFormat="1" applyFont="1" applyFill="1" applyBorder="1"/>
    <xf numFmtId="0" fontId="0" fillId="0" borderId="29" xfId="0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9" xfId="0" applyFill="1" applyBorder="1"/>
    <xf numFmtId="166" fontId="0" fillId="2" borderId="0" xfId="2" applyNumberFormat="1" applyFont="1" applyFill="1" applyAlignment="1">
      <alignment vertical="center"/>
    </xf>
    <xf numFmtId="167" fontId="0" fillId="0" borderId="30" xfId="2" applyNumberFormat="1" applyFont="1" applyFill="1" applyBorder="1" applyAlignment="1">
      <alignment vertical="center"/>
    </xf>
    <xf numFmtId="0" fontId="0" fillId="0" borderId="27" xfId="0" applyFill="1" applyBorder="1"/>
    <xf numFmtId="167" fontId="0" fillId="0" borderId="31" xfId="2" applyNumberFormat="1" applyFont="1" applyFill="1" applyBorder="1" applyAlignment="1">
      <alignment vertical="center"/>
    </xf>
    <xf numFmtId="0" fontId="0" fillId="0" borderId="28" xfId="0" applyFill="1" applyBorder="1"/>
    <xf numFmtId="0" fontId="8" fillId="0" borderId="26" xfId="0" applyFont="1" applyFill="1" applyBorder="1" applyAlignment="1">
      <alignment horizontal="center" vertical="center"/>
    </xf>
    <xf numFmtId="164" fontId="14" fillId="0" borderId="26" xfId="1" applyNumberFormat="1" applyFont="1" applyFill="1" applyBorder="1"/>
    <xf numFmtId="167" fontId="8" fillId="0" borderId="0" xfId="0" quotePrefix="1" applyNumberFormat="1" applyFont="1" applyAlignment="1">
      <alignment horizontal="center" vertical="center"/>
    </xf>
    <xf numFmtId="164" fontId="14" fillId="4" borderId="28" xfId="1" applyNumberFormat="1" applyFont="1" applyFill="1" applyBorder="1"/>
    <xf numFmtId="164" fontId="14" fillId="4" borderId="29" xfId="1" applyNumberFormat="1" applyFont="1" applyFill="1" applyBorder="1"/>
    <xf numFmtId="0" fontId="0" fillId="0" borderId="27" xfId="0" quotePrefix="1" applyBorder="1" applyAlignment="1">
      <alignment horizontal="center"/>
    </xf>
    <xf numFmtId="167" fontId="0" fillId="0" borderId="32" xfId="2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27" xfId="0" applyBorder="1" applyAlignment="1">
      <alignment vertical="center"/>
    </xf>
    <xf numFmtId="164" fontId="14" fillId="4" borderId="27" xfId="1" applyNumberFormat="1" applyFont="1" applyFill="1" applyBorder="1"/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66" fontId="2" fillId="3" borderId="6" xfId="2" applyNumberFormat="1" applyFont="1" applyFill="1" applyBorder="1" applyAlignment="1">
      <alignment vertical="center"/>
    </xf>
    <xf numFmtId="0" fontId="22" fillId="0" borderId="0" xfId="0" applyFont="1"/>
    <xf numFmtId="0" fontId="16" fillId="0" borderId="0" xfId="0" applyFont="1" applyAlignment="1">
      <alignment vertical="center"/>
    </xf>
    <xf numFmtId="164" fontId="14" fillId="3" borderId="27" xfId="1" applyNumberFormat="1" applyFont="1" applyFill="1" applyBorder="1"/>
    <xf numFmtId="0" fontId="5" fillId="0" borderId="0" xfId="0" applyFont="1" applyFill="1" applyAlignment="1">
      <alignment horizontal="center" vertical="center"/>
    </xf>
    <xf numFmtId="165" fontId="0" fillId="0" borderId="0" xfId="3" applyNumberFormat="1" applyFont="1"/>
    <xf numFmtId="167" fontId="0" fillId="0" borderId="29" xfId="2" applyNumberFormat="1" applyFont="1" applyFill="1" applyBorder="1" applyAlignment="1">
      <alignment vertical="center"/>
    </xf>
    <xf numFmtId="167" fontId="0" fillId="0" borderId="28" xfId="2" applyNumberFormat="1" applyFont="1" applyFill="1" applyBorder="1" applyAlignment="1">
      <alignment vertical="center"/>
    </xf>
    <xf numFmtId="167" fontId="0" fillId="0" borderId="27" xfId="2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0" fillId="0" borderId="0" xfId="3" applyFont="1" applyAlignment="1">
      <alignment vertical="center"/>
    </xf>
    <xf numFmtId="9" fontId="0" fillId="9" borderId="0" xfId="3" applyFont="1" applyFill="1" applyAlignment="1">
      <alignment vertical="center"/>
    </xf>
    <xf numFmtId="9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64" fontId="0" fillId="0" borderId="29" xfId="1" applyNumberFormat="1" applyFont="1" applyBorder="1" applyAlignment="1">
      <alignment vertical="center"/>
    </xf>
    <xf numFmtId="164" fontId="0" fillId="0" borderId="28" xfId="1" applyNumberFormat="1" applyFont="1" applyBorder="1" applyAlignment="1">
      <alignment vertical="center"/>
    </xf>
    <xf numFmtId="164" fontId="0" fillId="0" borderId="27" xfId="1" applyNumberFormat="1" applyFont="1" applyBorder="1" applyAlignment="1">
      <alignment vertical="center"/>
    </xf>
    <xf numFmtId="167" fontId="0" fillId="0" borderId="0" xfId="2" applyNumberFormat="1" applyFont="1" applyAlignment="1">
      <alignment vertical="center"/>
    </xf>
    <xf numFmtId="167" fontId="0" fillId="0" borderId="12" xfId="0" applyNumberFormat="1" applyBorder="1" applyAlignment="1">
      <alignment vertical="center"/>
    </xf>
    <xf numFmtId="167" fontId="0" fillId="0" borderId="12" xfId="2" applyNumberFormat="1" applyFont="1" applyBorder="1" applyAlignment="1">
      <alignment vertical="center"/>
    </xf>
    <xf numFmtId="167" fontId="0" fillId="0" borderId="29" xfId="2" applyNumberFormat="1" applyFont="1" applyBorder="1"/>
    <xf numFmtId="10" fontId="0" fillId="0" borderId="34" xfId="3" applyNumberFormat="1" applyFont="1" applyBorder="1" applyAlignment="1">
      <alignment vertical="center"/>
    </xf>
    <xf numFmtId="10" fontId="0" fillId="0" borderId="35" xfId="0" applyNumberFormat="1" applyBorder="1" applyAlignment="1">
      <alignment vertical="center"/>
    </xf>
    <xf numFmtId="10" fontId="0" fillId="0" borderId="34" xfId="0" applyNumberFormat="1" applyBorder="1" applyAlignment="1">
      <alignment vertical="center"/>
    </xf>
    <xf numFmtId="10" fontId="0" fillId="2" borderId="35" xfId="0" applyNumberForma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166" fontId="0" fillId="0" borderId="1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ill="1" applyAlignment="1">
      <alignment horizontal="right" vertical="center"/>
    </xf>
    <xf numFmtId="167" fontId="0" fillId="0" borderId="0" xfId="0" applyNumberFormat="1" applyFill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12" xfId="0" applyNumberFormat="1" applyFill="1" applyBorder="1" applyAlignment="1">
      <alignment vertical="center"/>
    </xf>
    <xf numFmtId="0" fontId="0" fillId="0" borderId="0" xfId="0" quotePrefix="1" applyAlignment="1">
      <alignment vertical="center"/>
    </xf>
    <xf numFmtId="167" fontId="15" fillId="4" borderId="0" xfId="0" applyNumberFormat="1" applyFont="1" applyFill="1" applyAlignment="1">
      <alignment vertical="center"/>
    </xf>
    <xf numFmtId="44" fontId="0" fillId="0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7" fontId="0" fillId="0" borderId="0" xfId="2" applyNumberFormat="1" applyFont="1" applyFill="1" applyBorder="1"/>
    <xf numFmtId="0" fontId="8" fillId="0" borderId="0" xfId="0" applyFont="1" applyFill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7" fontId="0" fillId="0" borderId="0" xfId="0" applyNumberFormat="1" applyBorder="1" applyAlignment="1">
      <alignment vertical="center"/>
    </xf>
    <xf numFmtId="0" fontId="22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10" fontId="0" fillId="0" borderId="29" xfId="3" applyNumberFormat="1" applyFont="1" applyBorder="1" applyAlignment="1">
      <alignment vertical="center"/>
    </xf>
    <xf numFmtId="10" fontId="0" fillId="0" borderId="27" xfId="3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6" fontId="0" fillId="0" borderId="10" xfId="0" applyNumberFormat="1" applyBorder="1" applyAlignment="1">
      <alignment vertical="center"/>
    </xf>
    <xf numFmtId="165" fontId="0" fillId="0" borderId="0" xfId="3" applyNumberFormat="1" applyFont="1" applyAlignment="1">
      <alignment vertical="center"/>
    </xf>
    <xf numFmtId="166" fontId="10" fillId="0" borderId="0" xfId="2" applyNumberFormat="1" applyFont="1" applyFill="1" applyAlignment="1">
      <alignment vertical="center"/>
    </xf>
    <xf numFmtId="164" fontId="0" fillId="0" borderId="36" xfId="1" applyNumberFormat="1" applyFont="1" applyBorder="1" applyAlignment="1">
      <alignment vertical="center"/>
    </xf>
    <xf numFmtId="166" fontId="10" fillId="0" borderId="10" xfId="0" applyNumberFormat="1" applyFont="1" applyBorder="1" applyAlignment="1">
      <alignment vertical="center"/>
    </xf>
    <xf numFmtId="9" fontId="3" fillId="0" borderId="0" xfId="1" applyNumberFormat="1" applyFont="1" applyAlignment="1">
      <alignment vertical="center"/>
    </xf>
    <xf numFmtId="167" fontId="9" fillId="0" borderId="0" xfId="2" applyNumberFormat="1" applyFont="1" applyFill="1" applyBorder="1" applyAlignment="1">
      <alignment vertical="center"/>
    </xf>
    <xf numFmtId="9" fontId="9" fillId="0" borderId="0" xfId="3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8" xfId="0" applyBorder="1" applyAlignment="1">
      <alignment vertical="center"/>
    </xf>
    <xf numFmtId="0" fontId="15" fillId="0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9" fontId="15" fillId="0" borderId="21" xfId="0" applyNumberFormat="1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67" fontId="0" fillId="0" borderId="40" xfId="0" applyNumberFormat="1" applyBorder="1" applyAlignment="1">
      <alignment vertical="center"/>
    </xf>
    <xf numFmtId="167" fontId="0" fillId="0" borderId="41" xfId="0" applyNumberFormat="1" applyBorder="1" applyAlignment="1">
      <alignment vertical="center"/>
    </xf>
    <xf numFmtId="167" fontId="10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right" vertical="center"/>
    </xf>
    <xf numFmtId="164" fontId="0" fillId="0" borderId="0" xfId="0" quotePrefix="1" applyNumberFormat="1" applyAlignment="1">
      <alignment horizontal="right" vertical="center"/>
    </xf>
    <xf numFmtId="0" fontId="0" fillId="7" borderId="16" xfId="0" applyFill="1" applyBorder="1" applyAlignment="1">
      <alignment vertical="center"/>
    </xf>
    <xf numFmtId="166" fontId="0" fillId="3" borderId="0" xfId="2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0" fillId="0" borderId="12" xfId="0" applyNumberFormat="1" applyFill="1" applyBorder="1" applyAlignment="1">
      <alignment vertical="center"/>
    </xf>
    <xf numFmtId="165" fontId="0" fillId="3" borderId="0" xfId="3" applyNumberFormat="1" applyFont="1" applyFill="1"/>
    <xf numFmtId="164" fontId="3" fillId="0" borderId="0" xfId="1" applyNumberFormat="1" applyFont="1"/>
    <xf numFmtId="166" fontId="2" fillId="4" borderId="4" xfId="0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23" fillId="0" borderId="0" xfId="0" applyFont="1" applyAlignment="1">
      <alignment horizontal="center"/>
    </xf>
    <xf numFmtId="164" fontId="28" fillId="0" borderId="0" xfId="1" applyNumberFormat="1" applyFont="1"/>
    <xf numFmtId="0" fontId="29" fillId="0" borderId="0" xfId="0" applyFont="1"/>
    <xf numFmtId="166" fontId="0" fillId="0" borderId="0" xfId="0" applyNumberFormat="1" applyAlignment="1">
      <alignment horizontal="left" vertical="center"/>
    </xf>
    <xf numFmtId="0" fontId="0" fillId="4" borderId="0" xfId="0" quotePrefix="1" applyFill="1" applyAlignment="1">
      <alignment horizontal="center" vertical="center"/>
    </xf>
    <xf numFmtId="164" fontId="0" fillId="4" borderId="0" xfId="0" applyNumberForma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7" fontId="0" fillId="9" borderId="32" xfId="2" applyNumberFormat="1" applyFont="1" applyFill="1" applyBorder="1" applyAlignment="1">
      <alignment vertical="center"/>
    </xf>
    <xf numFmtId="167" fontId="0" fillId="9" borderId="31" xfId="2" applyNumberFormat="1" applyFont="1" applyFill="1" applyBorder="1" applyAlignment="1">
      <alignment vertical="center"/>
    </xf>
    <xf numFmtId="167" fontId="0" fillId="9" borderId="30" xfId="2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31" fillId="0" borderId="0" xfId="1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64" fontId="28" fillId="0" borderId="0" xfId="1" applyNumberFormat="1" applyFont="1" applyAlignment="1">
      <alignment vertical="center"/>
    </xf>
    <xf numFmtId="0" fontId="24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166" fontId="0" fillId="0" borderId="0" xfId="2" applyNumberFormat="1" applyFont="1" applyFill="1" applyAlignment="1">
      <alignment vertical="center"/>
    </xf>
    <xf numFmtId="167" fontId="9" fillId="0" borderId="32" xfId="2" applyNumberFormat="1" applyFont="1" applyFill="1" applyBorder="1" applyAlignment="1">
      <alignment vertical="center"/>
    </xf>
    <xf numFmtId="167" fontId="9" fillId="0" borderId="31" xfId="2" applyNumberFormat="1" applyFont="1" applyFill="1" applyBorder="1" applyAlignment="1">
      <alignment vertical="center"/>
    </xf>
    <xf numFmtId="167" fontId="9" fillId="0" borderId="30" xfId="2" applyNumberFormat="1" applyFont="1" applyFill="1" applyBorder="1" applyAlignment="1">
      <alignment vertical="center"/>
    </xf>
    <xf numFmtId="167" fontId="33" fillId="0" borderId="0" xfId="0" applyNumberFormat="1" applyFont="1" applyAlignment="1">
      <alignment vertical="center"/>
    </xf>
    <xf numFmtId="44" fontId="33" fillId="0" borderId="0" xfId="0" applyNumberFormat="1" applyFont="1" applyAlignment="1">
      <alignment vertical="center"/>
    </xf>
    <xf numFmtId="44" fontId="33" fillId="0" borderId="0" xfId="0" applyNumberFormat="1" applyFont="1" applyFill="1" applyAlignment="1">
      <alignment vertical="center"/>
    </xf>
    <xf numFmtId="44" fontId="34" fillId="7" borderId="24" xfId="0" applyNumberFormat="1" applyFont="1" applyFill="1" applyBorder="1" applyAlignment="1">
      <alignment horizontal="center" vertical="center"/>
    </xf>
    <xf numFmtId="44" fontId="34" fillId="7" borderId="23" xfId="0" applyNumberFormat="1" applyFont="1" applyFill="1" applyBorder="1" applyAlignment="1">
      <alignment horizontal="center" vertical="center"/>
    </xf>
    <xf numFmtId="44" fontId="34" fillId="7" borderId="22" xfId="0" applyNumberFormat="1" applyFont="1" applyFill="1" applyBorder="1" applyAlignment="1">
      <alignment horizontal="center" vertical="center"/>
    </xf>
    <xf numFmtId="44" fontId="34" fillId="7" borderId="21" xfId="0" applyNumberFormat="1" applyFont="1" applyFill="1" applyBorder="1" applyAlignment="1">
      <alignment horizontal="center" vertical="center"/>
    </xf>
    <xf numFmtId="44" fontId="34" fillId="7" borderId="20" xfId="0" applyNumberFormat="1" applyFont="1" applyFill="1" applyBorder="1" applyAlignment="1">
      <alignment horizontal="center" vertical="center"/>
    </xf>
    <xf numFmtId="44" fontId="34" fillId="7" borderId="19" xfId="0" applyNumberFormat="1" applyFont="1" applyFill="1" applyBorder="1" applyAlignment="1">
      <alignment horizontal="center" vertical="center"/>
    </xf>
    <xf numFmtId="167" fontId="35" fillId="0" borderId="40" xfId="0" applyNumberFormat="1" applyFont="1" applyBorder="1" applyAlignment="1">
      <alignment vertical="center"/>
    </xf>
    <xf numFmtId="167" fontId="35" fillId="0" borderId="41" xfId="0" applyNumberFormat="1" applyFont="1" applyBorder="1" applyAlignment="1">
      <alignment vertical="center"/>
    </xf>
    <xf numFmtId="44" fontId="35" fillId="0" borderId="0" xfId="0" applyNumberFormat="1" applyFont="1" applyFill="1" applyAlignment="1">
      <alignment vertical="center"/>
    </xf>
    <xf numFmtId="44" fontId="36" fillId="7" borderId="24" xfId="0" applyNumberFormat="1" applyFont="1" applyFill="1" applyBorder="1" applyAlignment="1">
      <alignment horizontal="center" vertical="center"/>
    </xf>
    <xf numFmtId="44" fontId="36" fillId="7" borderId="23" xfId="0" applyNumberFormat="1" applyFont="1" applyFill="1" applyBorder="1" applyAlignment="1">
      <alignment horizontal="center" vertical="center"/>
    </xf>
    <xf numFmtId="44" fontId="36" fillId="7" borderId="22" xfId="0" applyNumberFormat="1" applyFont="1" applyFill="1" applyBorder="1" applyAlignment="1">
      <alignment horizontal="center" vertical="center"/>
    </xf>
    <xf numFmtId="44" fontId="36" fillId="7" borderId="21" xfId="0" applyNumberFormat="1" applyFont="1" applyFill="1" applyBorder="1" applyAlignment="1">
      <alignment horizontal="center" vertical="center"/>
    </xf>
    <xf numFmtId="44" fontId="36" fillId="7" borderId="20" xfId="0" applyNumberFormat="1" applyFont="1" applyFill="1" applyBorder="1" applyAlignment="1">
      <alignment horizontal="center" vertical="center"/>
    </xf>
    <xf numFmtId="44" fontId="36" fillId="7" borderId="19" xfId="0" applyNumberFormat="1" applyFont="1" applyFill="1" applyBorder="1" applyAlignment="1">
      <alignment horizontal="center" vertical="center"/>
    </xf>
    <xf numFmtId="44" fontId="33" fillId="2" borderId="11" xfId="0" applyNumberFormat="1" applyFont="1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66" fontId="0" fillId="0" borderId="10" xfId="0" applyNumberFormat="1" applyFill="1" applyBorder="1" applyAlignment="1">
      <alignment vertical="center"/>
    </xf>
    <xf numFmtId="0" fontId="38" fillId="0" borderId="0" xfId="0" applyFont="1" applyAlignment="1">
      <alignment vertical="center"/>
    </xf>
    <xf numFmtId="166" fontId="0" fillId="0" borderId="12" xfId="2" applyNumberFormat="1" applyFont="1" applyFill="1" applyBorder="1" applyAlignment="1">
      <alignment vertical="center"/>
    </xf>
    <xf numFmtId="44" fontId="0" fillId="0" borderId="10" xfId="2" applyFont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167" fontId="33" fillId="8" borderId="0" xfId="0" applyNumberFormat="1" applyFont="1" applyFill="1" applyAlignment="1">
      <alignment vertical="center"/>
    </xf>
    <xf numFmtId="44" fontId="36" fillId="0" borderId="0" xfId="0" applyNumberFormat="1" applyFont="1" applyFill="1" applyAlignment="1">
      <alignment vertical="center"/>
    </xf>
    <xf numFmtId="167" fontId="0" fillId="9" borderId="29" xfId="2" applyNumberFormat="1" applyFont="1" applyFill="1" applyBorder="1"/>
    <xf numFmtId="167" fontId="0" fillId="9" borderId="28" xfId="2" applyNumberFormat="1" applyFont="1" applyFill="1" applyBorder="1"/>
    <xf numFmtId="167" fontId="0" fillId="9" borderId="27" xfId="2" applyNumberFormat="1" applyFont="1" applyFill="1" applyBorder="1"/>
    <xf numFmtId="0" fontId="15" fillId="0" borderId="0" xfId="0" applyFont="1" applyAlignment="1">
      <alignment horizontal="center"/>
    </xf>
    <xf numFmtId="166" fontId="0" fillId="0" borderId="0" xfId="0" applyNumberFormat="1" applyBorder="1"/>
    <xf numFmtId="173" fontId="0" fillId="0" borderId="12" xfId="1" applyNumberFormat="1" applyFont="1" applyBorder="1"/>
    <xf numFmtId="166" fontId="0" fillId="0" borderId="11" xfId="0" applyNumberFormat="1" applyBorder="1"/>
    <xf numFmtId="174" fontId="0" fillId="0" borderId="0" xfId="0" applyNumberFormat="1" applyAlignment="1">
      <alignment vertical="center"/>
    </xf>
    <xf numFmtId="174" fontId="14" fillId="0" borderId="0" xfId="0" applyNumberFormat="1" applyFont="1" applyAlignment="1">
      <alignment vertical="center"/>
    </xf>
    <xf numFmtId="0" fontId="2" fillId="8" borderId="19" xfId="0" applyFont="1" applyFill="1" applyBorder="1" applyAlignment="1">
      <alignment horizontal="center" vertical="center"/>
    </xf>
    <xf numFmtId="164" fontId="10" fillId="0" borderId="12" xfId="0" applyNumberFormat="1" applyFont="1" applyBorder="1" applyAlignment="1">
      <alignment vertical="center"/>
    </xf>
    <xf numFmtId="174" fontId="2" fillId="5" borderId="10" xfId="2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4" fontId="0" fillId="0" borderId="0" xfId="0" applyNumberFormat="1" applyBorder="1" applyAlignment="1">
      <alignment vertical="center"/>
    </xf>
    <xf numFmtId="174" fontId="8" fillId="0" borderId="0" xfId="0" quotePrefix="1" applyNumberFormat="1" applyFont="1" applyBorder="1" applyAlignment="1">
      <alignment horizontal="left" vertical="center"/>
    </xf>
    <xf numFmtId="167" fontId="8" fillId="0" borderId="4" xfId="0" quotePrefix="1" applyNumberFormat="1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Fill="1" applyAlignment="1">
      <alignment horizontal="center" vertical="center"/>
    </xf>
    <xf numFmtId="167" fontId="8" fillId="0" borderId="0" xfId="0" quotePrefix="1" applyNumberFormat="1" applyFont="1" applyFill="1" applyAlignment="1">
      <alignment horizontal="left" vertical="center"/>
    </xf>
    <xf numFmtId="10" fontId="0" fillId="0" borderId="0" xfId="3" applyNumberFormat="1" applyFont="1" applyFill="1" applyAlignment="1">
      <alignment vertical="center"/>
    </xf>
    <xf numFmtId="168" fontId="11" fillId="0" borderId="0" xfId="0" applyNumberFormat="1" applyFont="1" applyFill="1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0" fontId="15" fillId="0" borderId="10" xfId="0" applyFont="1" applyFill="1" applyBorder="1" applyAlignment="1">
      <alignment horizontal="center"/>
    </xf>
    <xf numFmtId="166" fontId="0" fillId="0" borderId="0" xfId="0" applyNumberFormat="1" applyFill="1"/>
    <xf numFmtId="0" fontId="21" fillId="0" borderId="0" xfId="0" applyFont="1"/>
    <xf numFmtId="0" fontId="27" fillId="0" borderId="0" xfId="0" applyFont="1"/>
    <xf numFmtId="0" fontId="2" fillId="4" borderId="0" xfId="0" applyFont="1" applyFill="1"/>
    <xf numFmtId="164" fontId="28" fillId="0" borderId="0" xfId="1" applyNumberFormat="1" applyFont="1" applyFill="1"/>
    <xf numFmtId="166" fontId="0" fillId="2" borderId="10" xfId="0" applyNumberFormat="1" applyFill="1" applyBorder="1" applyAlignment="1">
      <alignment vertical="center"/>
    </xf>
    <xf numFmtId="166" fontId="2" fillId="3" borderId="6" xfId="0" applyNumberFormat="1" applyFont="1" applyFill="1" applyBorder="1" applyAlignment="1">
      <alignment vertical="center"/>
    </xf>
    <xf numFmtId="166" fontId="9" fillId="0" borderId="0" xfId="0" applyNumberFormat="1" applyFont="1"/>
    <xf numFmtId="0" fontId="0" fillId="0" borderId="10" xfId="0" applyBorder="1" applyAlignment="1">
      <alignment horizontal="center" vertical="center"/>
    </xf>
    <xf numFmtId="166" fontId="0" fillId="0" borderId="12" xfId="0" applyNumberFormat="1" applyBorder="1"/>
    <xf numFmtId="0" fontId="6" fillId="0" borderId="0" xfId="0" applyFont="1"/>
    <xf numFmtId="172" fontId="0" fillId="0" borderId="0" xfId="0" applyNumberFormat="1"/>
    <xf numFmtId="10" fontId="0" fillId="0" borderId="10" xfId="3" applyNumberFormat="1" applyFont="1" applyBorder="1"/>
    <xf numFmtId="10" fontId="0" fillId="0" borderId="0" xfId="3" applyNumberFormat="1" applyFont="1"/>
    <xf numFmtId="164" fontId="28" fillId="0" borderId="0" xfId="0" applyNumberFormat="1" applyFont="1"/>
    <xf numFmtId="0" fontId="28" fillId="0" borderId="0" xfId="0" applyFont="1"/>
    <xf numFmtId="164" fontId="14" fillId="0" borderId="29" xfId="1" applyNumberFormat="1" applyFont="1" applyFill="1" applyBorder="1"/>
    <xf numFmtId="164" fontId="14" fillId="0" borderId="28" xfId="1" applyNumberFormat="1" applyFont="1" applyFill="1" applyBorder="1"/>
    <xf numFmtId="164" fontId="14" fillId="0" borderId="27" xfId="1" applyNumberFormat="1" applyFont="1" applyFill="1" applyBorder="1"/>
    <xf numFmtId="0" fontId="15" fillId="2" borderId="0" xfId="0" applyFont="1" applyFill="1"/>
    <xf numFmtId="0" fontId="0" fillId="0" borderId="0" xfId="0" applyFont="1"/>
    <xf numFmtId="175" fontId="28" fillId="0" borderId="0" xfId="1" applyNumberFormat="1" applyFont="1"/>
    <xf numFmtId="0" fontId="9" fillId="0" borderId="0" xfId="0" applyFont="1" applyFill="1" applyAlignment="1">
      <alignment vertical="center"/>
    </xf>
    <xf numFmtId="166" fontId="10" fillId="9" borderId="0" xfId="0" applyNumberFormat="1" applyFont="1" applyFill="1" applyAlignment="1">
      <alignment vertical="center"/>
    </xf>
    <xf numFmtId="44" fontId="0" fillId="4" borderId="12" xfId="0" applyNumberFormat="1" applyFill="1" applyBorder="1" applyAlignment="1">
      <alignment horizontal="center" vertical="center"/>
    </xf>
    <xf numFmtId="164" fontId="28" fillId="0" borderId="0" xfId="1" applyNumberFormat="1" applyFont="1" applyFill="1" applyAlignment="1">
      <alignment vertical="center"/>
    </xf>
    <xf numFmtId="164" fontId="28" fillId="0" borderId="0" xfId="1" applyNumberFormat="1" applyFont="1" applyBorder="1" applyAlignment="1">
      <alignment vertical="center"/>
    </xf>
    <xf numFmtId="166" fontId="0" fillId="3" borderId="0" xfId="2" applyNumberFormat="1" applyFont="1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42" xfId="0" applyFont="1" applyBorder="1"/>
    <xf numFmtId="0" fontId="27" fillId="0" borderId="43" xfId="0" applyFont="1" applyBorder="1"/>
    <xf numFmtId="164" fontId="14" fillId="5" borderId="29" xfId="1" applyNumberFormat="1" applyFont="1" applyFill="1" applyBorder="1"/>
    <xf numFmtId="164" fontId="14" fillId="5" borderId="28" xfId="1" applyNumberFormat="1" applyFont="1" applyFill="1" applyBorder="1"/>
    <xf numFmtId="166" fontId="28" fillId="0" borderId="0" xfId="0" applyNumberFormat="1" applyFont="1"/>
    <xf numFmtId="166" fontId="0" fillId="9" borderId="10" xfId="0" applyNumberFormat="1" applyFill="1" applyBorder="1" applyAlignment="1">
      <alignment vertical="center"/>
    </xf>
    <xf numFmtId="0" fontId="9" fillId="0" borderId="0" xfId="0" applyFont="1"/>
    <xf numFmtId="0" fontId="40" fillId="0" borderId="0" xfId="0" applyFont="1"/>
    <xf numFmtId="0" fontId="41" fillId="0" borderId="0" xfId="0" applyFont="1" applyAlignment="1">
      <alignment horizontal="center"/>
    </xf>
    <xf numFmtId="0" fontId="16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167" fontId="42" fillId="0" borderId="0" xfId="0" quotePrefix="1" applyNumberFormat="1" applyFont="1" applyAlignment="1">
      <alignment horizontal="center" vertical="center"/>
    </xf>
    <xf numFmtId="164" fontId="9" fillId="3" borderId="0" xfId="1" applyNumberFormat="1" applyFont="1" applyFill="1" applyAlignment="1">
      <alignment vertical="center"/>
    </xf>
    <xf numFmtId="167" fontId="0" fillId="9" borderId="0" xfId="0" applyNumberFormat="1" applyFill="1" applyAlignment="1">
      <alignment vertical="center"/>
    </xf>
    <xf numFmtId="0" fontId="2" fillId="7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166" fontId="0" fillId="0" borderId="0" xfId="2" applyNumberFormat="1" applyFont="1" applyBorder="1"/>
    <xf numFmtId="166" fontId="0" fillId="0" borderId="12" xfId="2" applyNumberFormat="1" applyFont="1" applyBorder="1"/>
    <xf numFmtId="0" fontId="21" fillId="0" borderId="0" xfId="0" applyFont="1" applyAlignment="1">
      <alignment horizontal="right"/>
    </xf>
    <xf numFmtId="0" fontId="15" fillId="0" borderId="0" xfId="0" applyFont="1" applyFill="1"/>
    <xf numFmtId="166" fontId="0" fillId="3" borderId="0" xfId="0" applyNumberFormat="1" applyFill="1" applyBorder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44" fontId="0" fillId="0" borderId="0" xfId="0" applyNumberFormat="1"/>
    <xf numFmtId="176" fontId="0" fillId="0" borderId="0" xfId="3" applyNumberFormat="1" applyFont="1"/>
    <xf numFmtId="166" fontId="10" fillId="0" borderId="10" xfId="2" applyNumberFormat="1" applyFont="1" applyBorder="1"/>
    <xf numFmtId="166" fontId="0" fillId="0" borderId="10" xfId="2" applyNumberFormat="1" applyFont="1" applyBorder="1"/>
    <xf numFmtId="0" fontId="6" fillId="0" borderId="0" xfId="0" applyFont="1" applyAlignment="1">
      <alignment horizontal="center"/>
    </xf>
    <xf numFmtId="176" fontId="0" fillId="0" borderId="27" xfId="3" applyNumberFormat="1" applyFont="1" applyBorder="1"/>
    <xf numFmtId="167" fontId="10" fillId="0" borderId="27" xfId="2" applyNumberFormat="1" applyFont="1" applyBorder="1"/>
    <xf numFmtId="176" fontId="0" fillId="0" borderId="28" xfId="3" applyNumberFormat="1" applyFont="1" applyBorder="1"/>
    <xf numFmtId="167" fontId="10" fillId="0" borderId="28" xfId="2" applyNumberFormat="1" applyFont="1" applyBorder="1"/>
    <xf numFmtId="176" fontId="0" fillId="0" borderId="29" xfId="3" applyNumberFormat="1" applyFont="1" applyBorder="1"/>
    <xf numFmtId="167" fontId="10" fillId="0" borderId="29" xfId="2" applyNumberFormat="1" applyFont="1" applyBorder="1"/>
    <xf numFmtId="0" fontId="2" fillId="0" borderId="0" xfId="0" applyFont="1" applyAlignment="1">
      <alignment horizontal="left"/>
    </xf>
    <xf numFmtId="0" fontId="0" fillId="0" borderId="44" xfId="0" applyBorder="1"/>
    <xf numFmtId="10" fontId="0" fillId="0" borderId="0" xfId="0" applyNumberFormat="1"/>
    <xf numFmtId="0" fontId="30" fillId="0" borderId="0" xfId="0" applyFont="1"/>
    <xf numFmtId="165" fontId="0" fillId="0" borderId="45" xfId="3" applyNumberFormat="1" applyFont="1" applyBorder="1"/>
    <xf numFmtId="166" fontId="9" fillId="0" borderId="10" xfId="2" applyNumberFormat="1" applyFont="1" applyBorder="1"/>
    <xf numFmtId="166" fontId="0" fillId="0" borderId="46" xfId="2" applyNumberFormat="1" applyFont="1" applyBorder="1"/>
    <xf numFmtId="166" fontId="0" fillId="0" borderId="11" xfId="2" applyNumberFormat="1" applyFont="1" applyBorder="1"/>
    <xf numFmtId="166" fontId="0" fillId="0" borderId="25" xfId="2" applyNumberFormat="1" applyFont="1" applyBorder="1"/>
    <xf numFmtId="0" fontId="40" fillId="5" borderId="47" xfId="0" applyFont="1" applyFill="1" applyBorder="1" applyAlignment="1">
      <alignment vertical="center"/>
    </xf>
    <xf numFmtId="0" fontId="6" fillId="0" borderId="10" xfId="0" applyFont="1" applyBorder="1" applyAlignment="1">
      <alignment horizontal="center"/>
    </xf>
    <xf numFmtId="0" fontId="0" fillId="0" borderId="0" xfId="0" quotePrefix="1"/>
    <xf numFmtId="0" fontId="43" fillId="0" borderId="0" xfId="0" applyFont="1"/>
    <xf numFmtId="0" fontId="44" fillId="0" borderId="0" xfId="0" applyFont="1"/>
    <xf numFmtId="0" fontId="0" fillId="3" borderId="29" xfId="0" applyFill="1" applyBorder="1"/>
    <xf numFmtId="0" fontId="0" fillId="3" borderId="28" xfId="0" applyFill="1" applyBorder="1"/>
    <xf numFmtId="0" fontId="0" fillId="3" borderId="27" xfId="0" applyFill="1" applyBorder="1"/>
    <xf numFmtId="164" fontId="0" fillId="0" borderId="26" xfId="1" applyNumberFormat="1" applyFont="1" applyBorder="1"/>
    <xf numFmtId="0" fontId="0" fillId="0" borderId="27" xfId="0" applyBorder="1"/>
    <xf numFmtId="0" fontId="35" fillId="0" borderId="0" xfId="0" applyFont="1" applyFill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3" borderId="17" xfId="0" applyFill="1" applyBorder="1"/>
    <xf numFmtId="0" fontId="2" fillId="3" borderId="23" xfId="0" applyFont="1" applyFill="1" applyBorder="1" applyAlignment="1">
      <alignment horizontal="center" vertical="center"/>
    </xf>
    <xf numFmtId="164" fontId="0" fillId="3" borderId="0" xfId="0" applyNumberFormat="1" applyFill="1"/>
    <xf numFmtId="44" fontId="2" fillId="3" borderId="0" xfId="0" applyNumberFormat="1" applyFont="1" applyFill="1" applyBorder="1" applyAlignment="1">
      <alignment vertical="center"/>
    </xf>
    <xf numFmtId="176" fontId="0" fillId="0" borderId="0" xfId="3" applyNumberFormat="1" applyFont="1" applyAlignment="1">
      <alignment vertical="center"/>
    </xf>
    <xf numFmtId="0" fontId="4" fillId="0" borderId="5" xfId="0" applyFont="1" applyBorder="1"/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0" xfId="0" applyFont="1" applyFill="1"/>
    <xf numFmtId="0" fontId="23" fillId="0" borderId="0" xfId="0" applyFont="1"/>
    <xf numFmtId="0" fontId="0" fillId="0" borderId="0" xfId="0" applyAlignment="1">
      <alignment horizontal="left"/>
    </xf>
    <xf numFmtId="177" fontId="0" fillId="0" borderId="0" xfId="1" applyNumberFormat="1" applyFont="1"/>
    <xf numFmtId="166" fontId="28" fillId="0" borderId="0" xfId="0" applyNumberFormat="1" applyFont="1" applyAlignment="1">
      <alignment horizontal="left" vertical="center"/>
    </xf>
    <xf numFmtId="166" fontId="2" fillId="0" borderId="0" xfId="0" applyNumberFormat="1" applyFont="1" applyBorder="1" applyAlignment="1">
      <alignment vertical="center"/>
    </xf>
    <xf numFmtId="166" fontId="2" fillId="0" borderId="4" xfId="0" applyNumberFormat="1" applyFont="1" applyFill="1" applyBorder="1" applyAlignment="1">
      <alignment vertical="center"/>
    </xf>
    <xf numFmtId="166" fontId="2" fillId="0" borderId="6" xfId="2" applyNumberFormat="1" applyFont="1" applyFill="1" applyBorder="1" applyAlignment="1">
      <alignment vertical="center"/>
    </xf>
    <xf numFmtId="164" fontId="0" fillId="0" borderId="0" xfId="1" applyNumberFormat="1" applyFont="1"/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10" fillId="3" borderId="0" xfId="0" applyFont="1" applyFill="1"/>
    <xf numFmtId="0" fontId="16" fillId="0" borderId="0" xfId="0" applyFont="1" applyAlignment="1">
      <alignment horizontal="center"/>
    </xf>
    <xf numFmtId="164" fontId="0" fillId="3" borderId="26" xfId="1" applyNumberFormat="1" applyFont="1" applyFill="1" applyBorder="1"/>
    <xf numFmtId="0" fontId="0" fillId="0" borderId="43" xfId="0" applyBorder="1"/>
    <xf numFmtId="0" fontId="45" fillId="0" borderId="0" xfId="0" applyFont="1" applyFill="1"/>
    <xf numFmtId="0" fontId="2" fillId="0" borderId="0" xfId="0" applyFont="1" applyAlignment="1">
      <alignment horizontal="center"/>
    </xf>
    <xf numFmtId="43" fontId="0" fillId="0" borderId="0" xfId="0" applyNumberFormat="1"/>
    <xf numFmtId="179" fontId="0" fillId="0" borderId="0" xfId="0" applyNumberFormat="1"/>
    <xf numFmtId="179" fontId="0" fillId="3" borderId="26" xfId="1" applyNumberFormat="1" applyFont="1" applyFill="1" applyBorder="1"/>
    <xf numFmtId="164" fontId="0" fillId="0" borderId="0" xfId="0" applyNumberFormat="1" applyFill="1"/>
    <xf numFmtId="0" fontId="27" fillId="0" borderId="8" xfId="0" applyFont="1" applyBorder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67" fontId="0" fillId="0" borderId="28" xfId="2" applyNumberFormat="1" applyFont="1" applyFill="1" applyBorder="1"/>
    <xf numFmtId="167" fontId="0" fillId="0" borderId="27" xfId="2" applyNumberFormat="1" applyFont="1" applyFill="1" applyBorder="1"/>
    <xf numFmtId="0" fontId="2" fillId="2" borderId="0" xfId="0" applyFont="1" applyFill="1" applyAlignment="1">
      <alignment horizontal="center" vertical="center" wrapText="1"/>
    </xf>
    <xf numFmtId="9" fontId="0" fillId="2" borderId="0" xfId="0" applyNumberFormat="1" applyFill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44" fontId="34" fillId="3" borderId="24" xfId="0" applyNumberFormat="1" applyFont="1" applyFill="1" applyBorder="1" applyAlignment="1">
      <alignment horizontal="center" vertical="center"/>
    </xf>
    <xf numFmtId="44" fontId="34" fillId="3" borderId="23" xfId="0" applyNumberFormat="1" applyFont="1" applyFill="1" applyBorder="1" applyAlignment="1">
      <alignment horizontal="center" vertical="center"/>
    </xf>
    <xf numFmtId="44" fontId="34" fillId="3" borderId="22" xfId="0" applyNumberFormat="1" applyFont="1" applyFill="1" applyBorder="1" applyAlignment="1">
      <alignment horizontal="center" vertical="center"/>
    </xf>
    <xf numFmtId="44" fontId="34" fillId="3" borderId="21" xfId="0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44" fontId="34" fillId="3" borderId="20" xfId="0" applyNumberFormat="1" applyFont="1" applyFill="1" applyBorder="1" applyAlignment="1">
      <alignment horizontal="center" vertical="center"/>
    </xf>
    <xf numFmtId="44" fontId="34" fillId="3" borderId="19" xfId="0" applyNumberFormat="1" applyFont="1" applyFill="1" applyBorder="1" applyAlignment="1">
      <alignment horizontal="center" vertical="center"/>
    </xf>
    <xf numFmtId="167" fontId="33" fillId="3" borderId="0" xfId="0" applyNumberFormat="1" applyFont="1" applyFill="1" applyAlignment="1">
      <alignment vertical="center"/>
    </xf>
    <xf numFmtId="44" fontId="33" fillId="3" borderId="0" xfId="0" applyNumberFormat="1" applyFont="1" applyFill="1" applyAlignment="1">
      <alignment vertical="center"/>
    </xf>
    <xf numFmtId="167" fontId="0" fillId="3" borderId="0" xfId="0" applyNumberFormat="1" applyFill="1"/>
    <xf numFmtId="167" fontId="0" fillId="3" borderId="32" xfId="0" applyNumberFormat="1" applyFill="1" applyBorder="1" applyAlignment="1">
      <alignment vertical="center"/>
    </xf>
    <xf numFmtId="167" fontId="0" fillId="3" borderId="31" xfId="0" applyNumberFormat="1" applyFill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 applyFill="1" applyBorder="1"/>
    <xf numFmtId="173" fontId="0" fillId="0" borderId="0" xfId="1" applyNumberFormat="1" applyFont="1"/>
    <xf numFmtId="167" fontId="0" fillId="5" borderId="32" xfId="2" applyNumberFormat="1" applyFont="1" applyFill="1" applyBorder="1" applyAlignment="1">
      <alignment vertical="center"/>
    </xf>
    <xf numFmtId="167" fontId="0" fillId="5" borderId="31" xfId="2" applyNumberFormat="1" applyFont="1" applyFill="1" applyBorder="1" applyAlignment="1">
      <alignment vertical="center"/>
    </xf>
    <xf numFmtId="167" fontId="0" fillId="5" borderId="30" xfId="2" applyNumberFormat="1" applyFont="1" applyFill="1" applyBorder="1" applyAlignment="1">
      <alignment vertical="center"/>
    </xf>
    <xf numFmtId="164" fontId="10" fillId="0" borderId="0" xfId="0" applyNumberFormat="1" applyFont="1" applyFill="1"/>
    <xf numFmtId="167" fontId="10" fillId="0" borderId="0" xfId="0" applyNumberFormat="1" applyFont="1" applyFill="1"/>
    <xf numFmtId="171" fontId="33" fillId="0" borderId="0" xfId="3" applyNumberFormat="1" applyFont="1" applyFill="1" applyAlignment="1">
      <alignment vertical="center"/>
    </xf>
    <xf numFmtId="166" fontId="33" fillId="0" borderId="10" xfId="0" applyNumberFormat="1" applyFont="1" applyFill="1" applyBorder="1" applyAlignment="1">
      <alignment vertical="center"/>
    </xf>
    <xf numFmtId="166" fontId="34" fillId="0" borderId="10" xfId="0" applyNumberFormat="1" applyFont="1" applyFill="1" applyBorder="1" applyAlignment="1">
      <alignment vertical="center"/>
    </xf>
    <xf numFmtId="166" fontId="10" fillId="0" borderId="0" xfId="0" applyNumberFormat="1" applyFont="1" applyFill="1" applyAlignment="1">
      <alignment vertical="center"/>
    </xf>
    <xf numFmtId="167" fontId="10" fillId="0" borderId="0" xfId="0" applyNumberFormat="1" applyFont="1" applyFill="1" applyAlignment="1">
      <alignment vertical="center"/>
    </xf>
    <xf numFmtId="167" fontId="34" fillId="0" borderId="0" xfId="0" applyNumberFormat="1" applyFont="1" applyFill="1" applyBorder="1" applyAlignment="1">
      <alignment vertical="center"/>
    </xf>
    <xf numFmtId="167" fontId="34" fillId="2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166" fontId="27" fillId="0" borderId="4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33" fillId="0" borderId="0" xfId="0" applyFont="1"/>
    <xf numFmtId="44" fontId="0" fillId="0" borderId="11" xfId="0" applyNumberFormat="1" applyBorder="1"/>
    <xf numFmtId="176" fontId="0" fillId="0" borderId="36" xfId="3" applyNumberFormat="1" applyFont="1" applyBorder="1"/>
    <xf numFmtId="0" fontId="46" fillId="0" borderId="0" xfId="0" applyFont="1" applyAlignment="1">
      <alignment vertical="center"/>
    </xf>
    <xf numFmtId="167" fontId="0" fillId="0" borderId="29" xfId="2" applyNumberFormat="1" applyFont="1" applyFill="1" applyBorder="1"/>
    <xf numFmtId="167" fontId="0" fillId="0" borderId="11" xfId="2" applyNumberFormat="1" applyFont="1" applyFill="1" applyBorder="1"/>
    <xf numFmtId="176" fontId="0" fillId="0" borderId="11" xfId="3" applyNumberFormat="1" applyFont="1" applyBorder="1"/>
    <xf numFmtId="0" fontId="41" fillId="0" borderId="0" xfId="0" applyFont="1" applyAlignment="1">
      <alignment horizontal="center" vertical="center"/>
    </xf>
    <xf numFmtId="166" fontId="9" fillId="0" borderId="0" xfId="2" applyNumberFormat="1" applyFont="1" applyFill="1" applyAlignment="1">
      <alignment vertical="center"/>
    </xf>
    <xf numFmtId="164" fontId="9" fillId="0" borderId="0" xfId="1" applyNumberFormat="1" applyFont="1" applyFill="1" applyAlignment="1">
      <alignment vertical="center"/>
    </xf>
    <xf numFmtId="171" fontId="10" fillId="0" borderId="0" xfId="0" applyNumberFormat="1" applyFont="1"/>
    <xf numFmtId="164" fontId="10" fillId="0" borderId="0" xfId="0" applyNumberFormat="1" applyFont="1"/>
    <xf numFmtId="166" fontId="0" fillId="0" borderId="0" xfId="2" applyNumberFormat="1" applyFont="1" applyFill="1"/>
    <xf numFmtId="167" fontId="10" fillId="0" borderId="0" xfId="0" applyNumberFormat="1" applyFont="1"/>
    <xf numFmtId="44" fontId="27" fillId="0" borderId="34" xfId="0" applyNumberFormat="1" applyFont="1" applyBorder="1" applyAlignment="1">
      <alignment vertical="center"/>
    </xf>
    <xf numFmtId="171" fontId="0" fillId="0" borderId="0" xfId="0" applyNumberFormat="1" applyAlignment="1">
      <alignment vertical="center"/>
    </xf>
    <xf numFmtId="44" fontId="27" fillId="0" borderId="49" xfId="0" applyNumberFormat="1" applyFont="1" applyBorder="1" applyAlignment="1">
      <alignment vertical="center"/>
    </xf>
    <xf numFmtId="171" fontId="0" fillId="0" borderId="0" xfId="0" applyNumberFormat="1"/>
    <xf numFmtId="44" fontId="27" fillId="0" borderId="35" xfId="0" applyNumberFormat="1" applyFont="1" applyBorder="1" applyAlignment="1">
      <alignment vertical="center"/>
    </xf>
    <xf numFmtId="0" fontId="4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7" fontId="28" fillId="0" borderId="0" xfId="2" applyNumberFormat="1" applyFont="1" applyAlignment="1">
      <alignment vertical="center"/>
    </xf>
    <xf numFmtId="0" fontId="25" fillId="0" borderId="0" xfId="0" applyFont="1"/>
    <xf numFmtId="177" fontId="0" fillId="0" borderId="0" xfId="0" applyNumberFormat="1"/>
    <xf numFmtId="164" fontId="0" fillId="0" borderId="12" xfId="0" applyNumberFormat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48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164" fontId="29" fillId="0" borderId="0" xfId="1" applyNumberFormat="1" applyFont="1" applyAlignment="1">
      <alignment vertical="center"/>
    </xf>
    <xf numFmtId="164" fontId="29" fillId="0" borderId="0" xfId="1" applyNumberFormat="1" applyFont="1" applyAlignment="1">
      <alignment horizontal="left" vertical="center"/>
    </xf>
    <xf numFmtId="0" fontId="49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67" fontId="9" fillId="0" borderId="28" xfId="2" applyNumberFormat="1" applyFont="1" applyBorder="1"/>
    <xf numFmtId="167" fontId="9" fillId="0" borderId="29" xfId="2" applyNumberFormat="1" applyFont="1" applyBorder="1"/>
    <xf numFmtId="167" fontId="9" fillId="0" borderId="27" xfId="2" applyNumberFormat="1" applyFont="1" applyBorder="1"/>
    <xf numFmtId="167" fontId="9" fillId="3" borderId="27" xfId="2" applyNumberFormat="1" applyFont="1" applyFill="1" applyBorder="1" applyAlignment="1">
      <alignment vertical="center"/>
    </xf>
    <xf numFmtId="167" fontId="33" fillId="3" borderId="48" xfId="2" applyNumberFormat="1" applyFont="1" applyFill="1" applyBorder="1"/>
    <xf numFmtId="166" fontId="33" fillId="0" borderId="10" xfId="2" applyNumberFormat="1" applyFont="1" applyBorder="1"/>
    <xf numFmtId="0" fontId="9" fillId="0" borderId="0" xfId="0" applyFont="1" applyAlignment="1">
      <alignment horizontal="center"/>
    </xf>
    <xf numFmtId="167" fontId="33" fillId="5" borderId="32" xfId="2" applyNumberFormat="1" applyFont="1" applyFill="1" applyBorder="1" applyAlignment="1">
      <alignment vertical="center"/>
    </xf>
    <xf numFmtId="167" fontId="33" fillId="5" borderId="31" xfId="2" applyNumberFormat="1" applyFont="1" applyFill="1" applyBorder="1" applyAlignment="1">
      <alignment vertical="center"/>
    </xf>
    <xf numFmtId="167" fontId="33" fillId="5" borderId="30" xfId="2" applyNumberFormat="1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10" fontId="0" fillId="0" borderId="34" xfId="3" applyNumberFormat="1" applyFont="1" applyFill="1" applyBorder="1" applyAlignment="1">
      <alignment vertical="center"/>
    </xf>
    <xf numFmtId="9" fontId="0" fillId="0" borderId="0" xfId="0" applyNumberFormat="1" applyFill="1" applyAlignment="1">
      <alignment vertical="center"/>
    </xf>
    <xf numFmtId="10" fontId="0" fillId="0" borderId="34" xfId="0" applyNumberFormat="1" applyFill="1" applyBorder="1" applyAlignment="1">
      <alignment vertical="center"/>
    </xf>
    <xf numFmtId="166" fontId="0" fillId="0" borderId="10" xfId="2" applyNumberFormat="1" applyFont="1" applyFill="1" applyBorder="1" applyAlignment="1">
      <alignment vertical="center"/>
    </xf>
    <xf numFmtId="44" fontId="0" fillId="0" borderId="0" xfId="2" applyFont="1" applyAlignment="1">
      <alignment vertical="center"/>
    </xf>
    <xf numFmtId="10" fontId="0" fillId="0" borderId="0" xfId="0" applyNumberFormat="1" applyAlignment="1">
      <alignment vertical="center"/>
    </xf>
    <xf numFmtId="167" fontId="8" fillId="0" borderId="0" xfId="0" applyNumberFormat="1" applyFont="1" applyFill="1" applyBorder="1" applyAlignment="1">
      <alignment horizontal="left" vertical="center"/>
    </xf>
    <xf numFmtId="0" fontId="0" fillId="2" borderId="0" xfId="0" applyFill="1"/>
    <xf numFmtId="0" fontId="8" fillId="0" borderId="0" xfId="0" applyFont="1" applyFill="1" applyBorder="1" applyAlignment="1">
      <alignment horizontal="left" vertical="center"/>
    </xf>
    <xf numFmtId="167" fontId="8" fillId="0" borderId="0" xfId="0" applyNumberFormat="1" applyFont="1" applyAlignment="1">
      <alignment horizontal="left" vertical="center"/>
    </xf>
    <xf numFmtId="0" fontId="8" fillId="0" borderId="4" xfId="0" applyFont="1" applyBorder="1"/>
    <xf numFmtId="166" fontId="0" fillId="0" borderId="11" xfId="0" applyNumberFormat="1" applyFill="1" applyBorder="1" applyAlignment="1">
      <alignment vertical="center"/>
    </xf>
    <xf numFmtId="167" fontId="34" fillId="0" borderId="2" xfId="0" applyNumberFormat="1" applyFont="1" applyFill="1" applyBorder="1" applyAlignment="1">
      <alignment vertical="center"/>
    </xf>
    <xf numFmtId="166" fontId="10" fillId="0" borderId="0" xfId="2" applyNumberFormat="1" applyFont="1" applyBorder="1"/>
    <xf numFmtId="166" fontId="10" fillId="3" borderId="0" xfId="2" applyNumberFormat="1" applyFont="1" applyFill="1" applyBorder="1"/>
    <xf numFmtId="166" fontId="10" fillId="0" borderId="0" xfId="2" applyNumberFormat="1" applyFont="1"/>
    <xf numFmtId="0" fontId="0" fillId="0" borderId="10" xfId="0" applyBorder="1" applyAlignment="1">
      <alignment horizontal="center" vertical="center"/>
    </xf>
    <xf numFmtId="166" fontId="2" fillId="3" borderId="0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6" fillId="0" borderId="9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0" fillId="0" borderId="5" xfId="2" applyNumberFormat="1" applyFont="1" applyBorder="1"/>
    <xf numFmtId="166" fontId="0" fillId="0" borderId="4" xfId="0" applyNumberFormat="1" applyBorder="1"/>
    <xf numFmtId="166" fontId="0" fillId="0" borderId="50" xfId="2" applyNumberFormat="1" applyFont="1" applyBorder="1"/>
    <xf numFmtId="0" fontId="16" fillId="0" borderId="5" xfId="0" applyFont="1" applyBorder="1"/>
    <xf numFmtId="166" fontId="0" fillId="0" borderId="3" xfId="2" applyNumberFormat="1" applyFont="1" applyBorder="1"/>
    <xf numFmtId="166" fontId="0" fillId="0" borderId="2" xfId="2" applyNumberFormat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51" xfId="0" applyBorder="1" applyAlignment="1">
      <alignment horizontal="center"/>
    </xf>
    <xf numFmtId="0" fontId="0" fillId="0" borderId="51" xfId="0" applyBorder="1"/>
    <xf numFmtId="0" fontId="5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0" fillId="0" borderId="0" xfId="0" quotePrefix="1" applyFont="1"/>
    <xf numFmtId="44" fontId="0" fillId="0" borderId="0" xfId="2" applyFont="1"/>
    <xf numFmtId="44" fontId="0" fillId="0" borderId="10" xfId="2" applyFont="1" applyBorder="1"/>
    <xf numFmtId="171" fontId="0" fillId="0" borderId="11" xfId="3" applyNumberFormat="1" applyFont="1" applyBorder="1"/>
    <xf numFmtId="44" fontId="0" fillId="0" borderId="0" xfId="2" applyFont="1" applyBorder="1"/>
    <xf numFmtId="171" fontId="0" fillId="0" borderId="0" xfId="3" applyNumberFormat="1" applyFont="1" applyBorder="1"/>
    <xf numFmtId="170" fontId="0" fillId="0" borderId="0" xfId="3" applyNumberFormat="1" applyFont="1"/>
    <xf numFmtId="0" fontId="7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166" fontId="0" fillId="0" borderId="10" xfId="2" applyNumberFormat="1" applyFont="1" applyFill="1" applyBorder="1"/>
    <xf numFmtId="166" fontId="33" fillId="0" borderId="10" xfId="0" applyNumberFormat="1" applyFont="1" applyFill="1" applyBorder="1"/>
    <xf numFmtId="0" fontId="4" fillId="4" borderId="0" xfId="0" applyFont="1" applyFill="1" applyAlignment="1">
      <alignment horizontal="center" vertical="center"/>
    </xf>
    <xf numFmtId="169" fontId="33" fillId="0" borderId="0" xfId="3" applyNumberFormat="1" applyFont="1" applyFill="1" applyAlignment="1">
      <alignment vertical="center"/>
    </xf>
    <xf numFmtId="171" fontId="33" fillId="4" borderId="0" xfId="3" applyNumberFormat="1" applyFont="1" applyFill="1" applyAlignment="1">
      <alignment vertical="center"/>
    </xf>
    <xf numFmtId="0" fontId="0" fillId="0" borderId="11" xfId="0" applyFill="1" applyBorder="1" applyAlignment="1">
      <alignment horizontal="center"/>
    </xf>
    <xf numFmtId="182" fontId="0" fillId="0" borderId="0" xfId="0" applyNumberFormat="1" applyFill="1"/>
    <xf numFmtId="181" fontId="0" fillId="0" borderId="0" xfId="0" applyNumberFormat="1"/>
    <xf numFmtId="0" fontId="27" fillId="0" borderId="0" xfId="0" applyFont="1" applyAlignment="1">
      <alignment horizontal="left" vertical="center"/>
    </xf>
    <xf numFmtId="167" fontId="9" fillId="0" borderId="29" xfId="2" applyNumberFormat="1" applyFont="1" applyFill="1" applyBorder="1"/>
    <xf numFmtId="167" fontId="9" fillId="0" borderId="27" xfId="2" applyNumberFormat="1" applyFont="1" applyFill="1" applyBorder="1"/>
    <xf numFmtId="167" fontId="9" fillId="0" borderId="28" xfId="2" applyNumberFormat="1" applyFont="1" applyFill="1" applyBorder="1"/>
    <xf numFmtId="167" fontId="9" fillId="0" borderId="11" xfId="2" applyNumberFormat="1" applyFont="1" applyFill="1" applyBorder="1"/>
    <xf numFmtId="0" fontId="0" fillId="0" borderId="10" xfId="0" applyBorder="1" applyAlignment="1">
      <alignment horizontal="center" vertical="center"/>
    </xf>
    <xf numFmtId="7" fontId="0" fillId="0" borderId="10" xfId="0" applyNumberFormat="1" applyBorder="1"/>
    <xf numFmtId="167" fontId="0" fillId="0" borderId="10" xfId="2" applyNumberFormat="1" applyFont="1" applyBorder="1"/>
    <xf numFmtId="44" fontId="0" fillId="0" borderId="0" xfId="2" applyNumberFormat="1" applyFont="1" applyFill="1"/>
    <xf numFmtId="183" fontId="0" fillId="0" borderId="11" xfId="1" applyNumberFormat="1" applyFont="1" applyBorder="1"/>
    <xf numFmtId="0" fontId="52" fillId="0" borderId="0" xfId="0" quotePrefix="1" applyFont="1" applyAlignment="1">
      <alignment vertical="center"/>
    </xf>
    <xf numFmtId="0" fontId="53" fillId="0" borderId="0" xfId="0" applyFont="1"/>
    <xf numFmtId="10" fontId="28" fillId="0" borderId="0" xfId="3" applyNumberFormat="1" applyFont="1" applyAlignment="1">
      <alignment vertical="center"/>
    </xf>
    <xf numFmtId="7" fontId="28" fillId="0" borderId="0" xfId="0" applyNumberFormat="1" applyFont="1" applyAlignment="1">
      <alignment vertical="center"/>
    </xf>
    <xf numFmtId="9" fontId="9" fillId="0" borderId="0" xfId="3" applyFont="1" applyFill="1" applyBorder="1" applyAlignment="1">
      <alignment horizontal="right" vertical="center"/>
    </xf>
    <xf numFmtId="167" fontId="33" fillId="0" borderId="0" xfId="2" applyNumberFormat="1" applyFont="1" applyFill="1" applyBorder="1" applyAlignment="1">
      <alignment vertical="center"/>
    </xf>
    <xf numFmtId="167" fontId="33" fillId="0" borderId="25" xfId="2" applyNumberFormat="1" applyFont="1" applyFill="1" applyBorder="1" applyAlignment="1">
      <alignment vertical="center"/>
    </xf>
    <xf numFmtId="167" fontId="9" fillId="0" borderId="25" xfId="2" applyNumberFormat="1" applyFont="1" applyFill="1" applyBorder="1" applyAlignment="1">
      <alignment vertical="center"/>
    </xf>
    <xf numFmtId="9" fontId="9" fillId="0" borderId="25" xfId="3" applyFont="1" applyFill="1" applyBorder="1" applyAlignment="1">
      <alignment vertical="center"/>
    </xf>
    <xf numFmtId="9" fontId="0" fillId="0" borderId="25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vertical="center"/>
    </xf>
    <xf numFmtId="167" fontId="33" fillId="0" borderId="12" xfId="2" applyNumberFormat="1" applyFont="1" applyFill="1" applyBorder="1" applyAlignment="1">
      <alignment vertical="center"/>
    </xf>
    <xf numFmtId="167" fontId="9" fillId="0" borderId="12" xfId="2" applyNumberFormat="1" applyFont="1" applyFill="1" applyBorder="1" applyAlignment="1">
      <alignment vertical="center"/>
    </xf>
    <xf numFmtId="9" fontId="9" fillId="0" borderId="12" xfId="3" applyFont="1" applyFill="1" applyBorder="1" applyAlignment="1">
      <alignment vertical="center"/>
    </xf>
    <xf numFmtId="9" fontId="0" fillId="0" borderId="12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9" fontId="9" fillId="0" borderId="25" xfId="3" applyFont="1" applyFill="1" applyBorder="1" applyAlignment="1">
      <alignment horizontal="right" vertical="center"/>
    </xf>
    <xf numFmtId="9" fontId="9" fillId="0" borderId="12" xfId="3" applyFont="1" applyFill="1" applyBorder="1" applyAlignment="1">
      <alignment horizontal="right" vertical="center"/>
    </xf>
    <xf numFmtId="0" fontId="50" fillId="0" borderId="0" xfId="0" applyFont="1" applyAlignment="1">
      <alignment horizontal="center" vertical="center"/>
    </xf>
    <xf numFmtId="0" fontId="0" fillId="0" borderId="11" xfId="0" applyFill="1" applyBorder="1"/>
    <xf numFmtId="169" fontId="0" fillId="0" borderId="0" xfId="3" applyNumberFormat="1" applyFont="1" applyFill="1"/>
    <xf numFmtId="167" fontId="0" fillId="0" borderId="10" xfId="2" applyNumberFormat="1" applyFont="1" applyFill="1" applyBorder="1"/>
    <xf numFmtId="167" fontId="0" fillId="0" borderId="0" xfId="2" applyNumberFormat="1" applyFont="1" applyFill="1"/>
    <xf numFmtId="167" fontId="10" fillId="0" borderId="0" xfId="2" applyNumberFormat="1" applyFont="1" applyFill="1"/>
    <xf numFmtId="167" fontId="10" fillId="0" borderId="10" xfId="2" applyNumberFormat="1" applyFont="1" applyFill="1" applyBorder="1"/>
    <xf numFmtId="167" fontId="10" fillId="0" borderId="0" xfId="2" applyNumberFormat="1" applyFont="1" applyFill="1" applyBorder="1"/>
    <xf numFmtId="164" fontId="0" fillId="0" borderId="0" xfId="0" applyNumberFormat="1" applyFont="1"/>
    <xf numFmtId="164" fontId="3" fillId="0" borderId="0" xfId="0" applyNumberFormat="1" applyFont="1"/>
    <xf numFmtId="43" fontId="3" fillId="0" borderId="0" xfId="1" applyFont="1"/>
    <xf numFmtId="44" fontId="10" fillId="0" borderId="0" xfId="2" applyNumberFormat="1" applyFont="1" applyFill="1"/>
    <xf numFmtId="7" fontId="10" fillId="0" borderId="0" xfId="2" applyNumberFormat="1" applyFont="1" applyFill="1"/>
    <xf numFmtId="0" fontId="0" fillId="3" borderId="0" xfId="0" applyFont="1" applyFill="1"/>
    <xf numFmtId="164" fontId="0" fillId="0" borderId="10" xfId="1" applyNumberFormat="1" applyFont="1" applyBorder="1"/>
    <xf numFmtId="166" fontId="23" fillId="0" borderId="0" xfId="0" applyNumberFormat="1" applyFont="1"/>
    <xf numFmtId="0" fontId="10" fillId="0" borderId="0" xfId="0" applyFont="1" applyFill="1" applyAlignment="1">
      <alignment horizontal="right" vertical="center"/>
    </xf>
    <xf numFmtId="9" fontId="10" fillId="0" borderId="0" xfId="0" applyNumberFormat="1" applyFont="1" applyFill="1" applyAlignment="1">
      <alignment vertical="center"/>
    </xf>
    <xf numFmtId="172" fontId="10" fillId="0" borderId="0" xfId="0" applyNumberFormat="1" applyFont="1" applyFill="1" applyAlignment="1">
      <alignment vertical="center"/>
    </xf>
    <xf numFmtId="170" fontId="10" fillId="0" borderId="0" xfId="3" applyNumberFormat="1" applyFont="1" applyFill="1" applyAlignment="1">
      <alignment vertical="center"/>
    </xf>
    <xf numFmtId="166" fontId="10" fillId="0" borderId="12" xfId="2" applyNumberFormat="1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164" fontId="10" fillId="0" borderId="0" xfId="1" applyNumberFormat="1" applyFont="1" applyFill="1" applyAlignment="1">
      <alignment vertical="center"/>
    </xf>
    <xf numFmtId="0" fontId="0" fillId="11" borderId="0" xfId="0" applyFill="1"/>
    <xf numFmtId="166" fontId="0" fillId="11" borderId="0" xfId="0" applyNumberFormat="1" applyFill="1"/>
    <xf numFmtId="44" fontId="0" fillId="0" borderId="10" xfId="0" applyNumberFormat="1" applyBorder="1" applyAlignment="1">
      <alignment vertical="center"/>
    </xf>
    <xf numFmtId="166" fontId="33" fillId="0" borderId="0" xfId="2" applyNumberFormat="1" applyFont="1" applyFill="1" applyAlignment="1">
      <alignment vertical="center"/>
    </xf>
    <xf numFmtId="44" fontId="0" fillId="0" borderId="0" xfId="0" applyNumberFormat="1" applyFill="1" applyBorder="1" applyAlignment="1">
      <alignment horizontal="center" vertical="center"/>
    </xf>
    <xf numFmtId="0" fontId="40" fillId="0" borderId="5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166" fontId="10" fillId="0" borderId="0" xfId="2" applyNumberFormat="1" applyFont="1" applyFill="1"/>
    <xf numFmtId="0" fontId="10" fillId="0" borderId="0" xfId="0" applyFont="1" applyFill="1"/>
    <xf numFmtId="166" fontId="1" fillId="0" borderId="10" xfId="2" applyNumberFormat="1" applyFont="1" applyFill="1" applyBorder="1"/>
    <xf numFmtId="166" fontId="33" fillId="0" borderId="0" xfId="2" applyNumberFormat="1" applyFont="1" applyFill="1" applyBorder="1"/>
    <xf numFmtId="0" fontId="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39" fillId="0" borderId="0" xfId="0" applyFont="1"/>
    <xf numFmtId="184" fontId="0" fillId="0" borderId="0" xfId="0" applyNumberFormat="1"/>
    <xf numFmtId="166" fontId="10" fillId="3" borderId="0" xfId="2" applyNumberFormat="1" applyFont="1" applyFill="1" applyAlignment="1">
      <alignment vertical="center"/>
    </xf>
    <xf numFmtId="10" fontId="14" fillId="0" borderId="27" xfId="3" applyNumberFormat="1" applyFont="1" applyFill="1" applyBorder="1"/>
    <xf numFmtId="0" fontId="0" fillId="0" borderId="27" xfId="0" applyFill="1" applyBorder="1" applyAlignment="1">
      <alignment horizontal="center"/>
    </xf>
    <xf numFmtId="44" fontId="0" fillId="2" borderId="0" xfId="2" applyFont="1" applyFill="1" applyAlignment="1">
      <alignment vertical="center"/>
    </xf>
    <xf numFmtId="166" fontId="54" fillId="0" borderId="0" xfId="2" applyNumberFormat="1" applyFont="1"/>
    <xf numFmtId="169" fontId="54" fillId="0" borderId="0" xfId="0" applyNumberFormat="1" applyFont="1"/>
    <xf numFmtId="10" fontId="14" fillId="0" borderId="29" xfId="3" applyNumberFormat="1" applyFont="1" applyFill="1" applyBorder="1"/>
    <xf numFmtId="10" fontId="14" fillId="0" borderId="28" xfId="3" applyNumberFormat="1" applyFont="1" applyFill="1" applyBorder="1"/>
    <xf numFmtId="164" fontId="0" fillId="0" borderId="10" xfId="0" applyNumberFormat="1" applyFill="1" applyBorder="1"/>
    <xf numFmtId="166" fontId="10" fillId="0" borderId="0" xfId="2" applyNumberFormat="1" applyFont="1" applyFill="1" applyBorder="1" applyAlignment="1">
      <alignment vertical="center"/>
    </xf>
    <xf numFmtId="44" fontId="29" fillId="0" borderId="0" xfId="0" applyNumberFormat="1" applyFont="1" applyAlignment="1">
      <alignment vertical="center"/>
    </xf>
    <xf numFmtId="166" fontId="10" fillId="0" borderId="11" xfId="2" applyNumberFormat="1" applyFont="1" applyFill="1" applyBorder="1" applyAlignment="1">
      <alignment vertical="center"/>
    </xf>
    <xf numFmtId="44" fontId="0" fillId="0" borderId="10" xfId="0" applyNumberFormat="1" applyFill="1" applyBorder="1" applyAlignment="1">
      <alignment vertical="center"/>
    </xf>
    <xf numFmtId="164" fontId="9" fillId="0" borderId="29" xfId="1" applyNumberFormat="1" applyFont="1" applyFill="1" applyBorder="1"/>
    <xf numFmtId="164" fontId="9" fillId="0" borderId="28" xfId="1" applyNumberFormat="1" applyFont="1" applyFill="1" applyBorder="1"/>
    <xf numFmtId="164" fontId="9" fillId="0" borderId="27" xfId="1" applyNumberFormat="1" applyFont="1" applyFill="1" applyBorder="1"/>
    <xf numFmtId="164" fontId="9" fillId="0" borderId="10" xfId="0" applyNumberFormat="1" applyFont="1" applyBorder="1"/>
    <xf numFmtId="0" fontId="7" fillId="0" borderId="0" xfId="0" applyFont="1" applyFill="1" applyAlignment="1">
      <alignment horizontal="center"/>
    </xf>
    <xf numFmtId="166" fontId="14" fillId="0" borderId="0" xfId="2" applyNumberFormat="1" applyFont="1" applyFill="1" applyAlignment="1">
      <alignment vertical="center"/>
    </xf>
    <xf numFmtId="164" fontId="14" fillId="0" borderId="0" xfId="1" applyNumberFormat="1" applyFont="1" applyFill="1" applyAlignment="1">
      <alignment vertical="center"/>
    </xf>
    <xf numFmtId="167" fontId="0" fillId="3" borderId="0" xfId="0" applyNumberFormat="1" applyFill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8" fillId="0" borderId="0" xfId="0" applyFont="1" applyAlignment="1">
      <alignment horizontal="right"/>
    </xf>
    <xf numFmtId="164" fontId="10" fillId="0" borderId="28" xfId="1" applyNumberFormat="1" applyFont="1" applyFill="1" applyBorder="1"/>
    <xf numFmtId="164" fontId="10" fillId="0" borderId="26" xfId="1" applyNumberFormat="1" applyFont="1" applyFill="1" applyBorder="1"/>
    <xf numFmtId="164" fontId="10" fillId="0" borderId="29" xfId="1" applyNumberFormat="1" applyFont="1" applyFill="1" applyBorder="1"/>
    <xf numFmtId="10" fontId="0" fillId="0" borderId="0" xfId="3" applyNumberFormat="1" applyFont="1" applyAlignment="1">
      <alignment horizontal="right" vertical="center"/>
    </xf>
    <xf numFmtId="44" fontId="2" fillId="0" borderId="0" xfId="0" applyNumberFormat="1" applyFont="1" applyFill="1" applyBorder="1" applyAlignment="1">
      <alignment vertical="center"/>
    </xf>
    <xf numFmtId="174" fontId="0" fillId="0" borderId="43" xfId="0" applyNumberFormat="1" applyFill="1" applyBorder="1"/>
    <xf numFmtId="166" fontId="0" fillId="3" borderId="0" xfId="0" applyNumberFormat="1" applyFill="1"/>
    <xf numFmtId="166" fontId="0" fillId="0" borderId="10" xfId="0" applyNumberFormat="1" applyFill="1" applyBorder="1"/>
    <xf numFmtId="164" fontId="0" fillId="0" borderId="0" xfId="1" applyNumberFormat="1" applyFont="1" applyFill="1"/>
    <xf numFmtId="171" fontId="2" fillId="0" borderId="4" xfId="3" applyNumberFormat="1" applyFont="1" applyBorder="1" applyAlignment="1">
      <alignment vertical="center"/>
    </xf>
    <xf numFmtId="164" fontId="10" fillId="0" borderId="12" xfId="0" applyNumberFormat="1" applyFont="1" applyBorder="1"/>
    <xf numFmtId="170" fontId="10" fillId="2" borderId="0" xfId="3" applyNumberFormat="1" applyFont="1" applyFill="1" applyAlignment="1">
      <alignment vertical="center"/>
    </xf>
    <xf numFmtId="164" fontId="0" fillId="0" borderId="0" xfId="0" applyNumberFormat="1" applyFill="1" applyAlignment="1">
      <alignment horizontal="right" vertical="center"/>
    </xf>
    <xf numFmtId="166" fontId="0" fillId="2" borderId="0" xfId="2" applyNumberFormat="1" applyFont="1" applyFill="1"/>
    <xf numFmtId="166" fontId="0" fillId="0" borderId="0" xfId="0" applyNumberFormat="1" applyFont="1"/>
    <xf numFmtId="164" fontId="55" fillId="0" borderId="0" xfId="1" applyNumberFormat="1" applyFont="1"/>
    <xf numFmtId="0" fontId="5" fillId="0" borderId="0" xfId="0" applyFont="1" applyFill="1" applyAlignment="1">
      <alignment horizontal="left" vertical="center"/>
    </xf>
    <xf numFmtId="0" fontId="0" fillId="0" borderId="0" xfId="0" quotePrefix="1" applyAlignment="1">
      <alignment horizontal="right"/>
    </xf>
    <xf numFmtId="0" fontId="39" fillId="0" borderId="0" xfId="0" applyFont="1" applyFill="1" applyAlignment="1">
      <alignment horizontal="right"/>
    </xf>
    <xf numFmtId="167" fontId="0" fillId="0" borderId="0" xfId="0" applyNumberFormat="1" applyFill="1"/>
    <xf numFmtId="0" fontId="9" fillId="0" borderId="0" xfId="0" quotePrefix="1" applyFont="1"/>
    <xf numFmtId="10" fontId="0" fillId="2" borderId="0" xfId="0" applyNumberFormat="1" applyFill="1"/>
    <xf numFmtId="166" fontId="28" fillId="0" borderId="0" xfId="2" applyNumberFormat="1" applyFont="1"/>
    <xf numFmtId="10" fontId="28" fillId="0" borderId="0" xfId="3" applyNumberFormat="1" applyFont="1"/>
    <xf numFmtId="167" fontId="0" fillId="0" borderId="0" xfId="2" applyNumberFormat="1" applyFont="1"/>
    <xf numFmtId="174" fontId="0" fillId="0" borderId="0" xfId="2" applyNumberFormat="1" applyFont="1"/>
    <xf numFmtId="0" fontId="23" fillId="0" borderId="0" xfId="0" applyFont="1" applyAlignment="1">
      <alignment horizontal="right"/>
    </xf>
    <xf numFmtId="164" fontId="0" fillId="0" borderId="26" xfId="1" applyNumberFormat="1" applyFont="1" applyFill="1" applyBorder="1"/>
    <xf numFmtId="164" fontId="0" fillId="0" borderId="10" xfId="1" applyNumberFormat="1" applyFont="1" applyFill="1" applyBorder="1"/>
    <xf numFmtId="173" fontId="10" fillId="0" borderId="0" xfId="1" applyNumberFormat="1" applyFont="1" applyFill="1"/>
    <xf numFmtId="167" fontId="16" fillId="0" borderId="10" xfId="2" applyNumberFormat="1" applyFont="1" applyFill="1" applyBorder="1"/>
    <xf numFmtId="167" fontId="16" fillId="0" borderId="0" xfId="2" applyNumberFormat="1" applyFont="1" applyFill="1"/>
    <xf numFmtId="0" fontId="57" fillId="0" borderId="0" xfId="0" applyFont="1"/>
    <xf numFmtId="0" fontId="9" fillId="2" borderId="0" xfId="0" applyFont="1" applyFill="1"/>
    <xf numFmtId="164" fontId="10" fillId="0" borderId="10" xfId="0" applyNumberFormat="1" applyFont="1" applyBorder="1"/>
    <xf numFmtId="164" fontId="33" fillId="0" borderId="10" xfId="0" applyNumberFormat="1" applyFont="1" applyFill="1" applyBorder="1"/>
    <xf numFmtId="167" fontId="10" fillId="0" borderId="11" xfId="2" applyNumberFormat="1" applyFont="1" applyFill="1" applyBorder="1"/>
    <xf numFmtId="166" fontId="0" fillId="11" borderId="0" xfId="2" applyNumberFormat="1" applyFont="1" applyFill="1"/>
    <xf numFmtId="0" fontId="10" fillId="2" borderId="0" xfId="0" applyFont="1" applyFill="1" applyAlignment="1">
      <alignment horizontal="center"/>
    </xf>
    <xf numFmtId="0" fontId="41" fillId="0" borderId="0" xfId="0" applyFont="1"/>
    <xf numFmtId="44" fontId="0" fillId="0" borderId="11" xfId="2" applyFont="1" applyFill="1" applyBorder="1"/>
    <xf numFmtId="44" fontId="10" fillId="0" borderId="0" xfId="2" applyFont="1" applyFill="1"/>
    <xf numFmtId="0" fontId="10" fillId="2" borderId="11" xfId="0" applyFont="1" applyFill="1" applyBorder="1"/>
    <xf numFmtId="44" fontId="0" fillId="0" borderId="10" xfId="2" applyFont="1" applyFill="1" applyBorder="1"/>
    <xf numFmtId="44" fontId="0" fillId="2" borderId="10" xfId="2" applyNumberFormat="1" applyFont="1" applyFill="1" applyBorder="1"/>
    <xf numFmtId="44" fontId="10" fillId="0" borderId="10" xfId="2" applyFont="1" applyFill="1" applyBorder="1"/>
    <xf numFmtId="0" fontId="41" fillId="0" borderId="9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44" fontId="9" fillId="0" borderId="5" xfId="0" applyNumberFormat="1" applyFont="1" applyBorder="1"/>
    <xf numFmtId="44" fontId="9" fillId="0" borderId="0" xfId="0" applyNumberFormat="1" applyFont="1" applyBorder="1"/>
    <xf numFmtId="44" fontId="9" fillId="0" borderId="4" xfId="0" applyNumberFormat="1" applyFont="1" applyBorder="1"/>
    <xf numFmtId="0" fontId="9" fillId="0" borderId="50" xfId="0" applyFont="1" applyBorder="1"/>
    <xf numFmtId="0" fontId="9" fillId="0" borderId="12" xfId="0" applyFont="1" applyBorder="1"/>
    <xf numFmtId="44" fontId="9" fillId="0" borderId="12" xfId="0" applyNumberFormat="1" applyFont="1" applyBorder="1"/>
    <xf numFmtId="0" fontId="9" fillId="0" borderId="6" xfId="0" applyFont="1" applyBorder="1"/>
    <xf numFmtId="44" fontId="9" fillId="0" borderId="50" xfId="0" applyNumberFormat="1" applyFont="1" applyBorder="1"/>
    <xf numFmtId="44" fontId="9" fillId="0" borderId="6" xfId="0" applyNumberFormat="1" applyFont="1" applyBorder="1"/>
    <xf numFmtId="0" fontId="9" fillId="0" borderId="3" xfId="0" applyFont="1" applyBorder="1"/>
    <xf numFmtId="0" fontId="9" fillId="0" borderId="2" xfId="0" applyFont="1" applyBorder="1"/>
    <xf numFmtId="0" fontId="9" fillId="0" borderId="1" xfId="0" applyFont="1" applyBorder="1"/>
    <xf numFmtId="7" fontId="10" fillId="2" borderId="10" xfId="0" applyNumberFormat="1" applyFont="1" applyFill="1" applyBorder="1"/>
    <xf numFmtId="7" fontId="10" fillId="0" borderId="0" xfId="0" applyNumberFormat="1" applyFont="1"/>
    <xf numFmtId="44" fontId="10" fillId="0" borderId="10" xfId="0" applyNumberFormat="1" applyFont="1" applyBorder="1"/>
    <xf numFmtId="9" fontId="15" fillId="0" borderId="11" xfId="0" applyNumberFormat="1" applyFont="1" applyFill="1" applyBorder="1" applyAlignment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vertical="center"/>
    </xf>
    <xf numFmtId="9" fontId="10" fillId="2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166" fontId="9" fillId="0" borderId="0" xfId="2" applyNumberFormat="1" applyFont="1" applyFill="1"/>
    <xf numFmtId="166" fontId="9" fillId="0" borderId="0" xfId="0" applyNumberFormat="1" applyFont="1" applyFill="1"/>
    <xf numFmtId="164" fontId="9" fillId="0" borderId="0" xfId="1" applyNumberFormat="1" applyFont="1"/>
    <xf numFmtId="171" fontId="9" fillId="0" borderId="0" xfId="3" applyNumberFormat="1" applyFont="1" applyFill="1" applyAlignment="1">
      <alignment vertical="center"/>
    </xf>
    <xf numFmtId="166" fontId="9" fillId="0" borderId="1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6" fontId="10" fillId="0" borderId="0" xfId="0" applyNumberFormat="1" applyFont="1"/>
    <xf numFmtId="166" fontId="9" fillId="0" borderId="25" xfId="0" applyNumberFormat="1" applyFont="1" applyBorder="1"/>
    <xf numFmtId="166" fontId="40" fillId="0" borderId="10" xfId="0" applyNumberFormat="1" applyFont="1" applyFill="1" applyBorder="1" applyAlignment="1">
      <alignment vertical="center"/>
    </xf>
    <xf numFmtId="172" fontId="10" fillId="0" borderId="0" xfId="0" applyNumberFormat="1" applyFont="1"/>
    <xf numFmtId="166" fontId="9" fillId="0" borderId="0" xfId="0" applyNumberFormat="1" applyFont="1" applyAlignment="1">
      <alignment vertical="center"/>
    </xf>
    <xf numFmtId="166" fontId="33" fillId="0" borderId="0" xfId="0" applyNumberFormat="1" applyFont="1" applyAlignment="1">
      <alignment vertical="center"/>
    </xf>
    <xf numFmtId="166" fontId="9" fillId="0" borderId="0" xfId="0" applyNumberFormat="1" applyFont="1" applyBorder="1" applyAlignment="1">
      <alignment vertical="center"/>
    </xf>
    <xf numFmtId="166" fontId="9" fillId="0" borderId="12" xfId="0" applyNumberFormat="1" applyFont="1" applyBorder="1" applyAlignment="1">
      <alignment vertical="center"/>
    </xf>
    <xf numFmtId="166" fontId="9" fillId="0" borderId="11" xfId="0" applyNumberFormat="1" applyFont="1" applyBorder="1" applyAlignment="1">
      <alignment vertical="center"/>
    </xf>
    <xf numFmtId="166" fontId="15" fillId="0" borderId="4" xfId="0" applyNumberFormat="1" applyFont="1" applyFill="1" applyBorder="1" applyAlignment="1">
      <alignment vertical="center"/>
    </xf>
    <xf numFmtId="0" fontId="10" fillId="0" borderId="0" xfId="0" quotePrefix="1" applyFont="1" applyFill="1" applyAlignment="1">
      <alignment horizontal="center" vertical="center"/>
    </xf>
    <xf numFmtId="166" fontId="9" fillId="0" borderId="11" xfId="0" applyNumberFormat="1" applyFont="1" applyFill="1" applyBorder="1" applyAlignment="1">
      <alignment vertical="center"/>
    </xf>
    <xf numFmtId="166" fontId="9" fillId="0" borderId="12" xfId="0" applyNumberFormat="1" applyFont="1" applyFill="1" applyBorder="1" applyAlignment="1">
      <alignment vertical="center"/>
    </xf>
    <xf numFmtId="166" fontId="9" fillId="0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38" fillId="0" borderId="0" xfId="0" applyFont="1" applyAlignment="1">
      <alignment horizontal="left" vertical="center"/>
    </xf>
    <xf numFmtId="164" fontId="9" fillId="0" borderId="12" xfId="0" applyNumberFormat="1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167" fontId="9" fillId="5" borderId="32" xfId="2" applyNumberFormat="1" applyFont="1" applyFill="1" applyBorder="1" applyAlignment="1">
      <alignment vertical="center"/>
    </xf>
    <xf numFmtId="167" fontId="9" fillId="5" borderId="31" xfId="2" applyNumberFormat="1" applyFont="1" applyFill="1" applyBorder="1" applyAlignment="1">
      <alignment vertical="center"/>
    </xf>
    <xf numFmtId="167" fontId="9" fillId="5" borderId="30" xfId="2" applyNumberFormat="1" applyFont="1" applyFill="1" applyBorder="1" applyAlignment="1">
      <alignment vertical="center"/>
    </xf>
    <xf numFmtId="166" fontId="9" fillId="0" borderId="0" xfId="2" applyNumberFormat="1" applyFont="1" applyAlignment="1">
      <alignment vertical="center"/>
    </xf>
    <xf numFmtId="0" fontId="40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/>
    </xf>
    <xf numFmtId="167" fontId="9" fillId="5" borderId="28" xfId="2" applyNumberFormat="1" applyFont="1" applyFill="1" applyBorder="1"/>
    <xf numFmtId="167" fontId="9" fillId="5" borderId="27" xfId="2" applyNumberFormat="1" applyFont="1" applyFill="1" applyBorder="1"/>
    <xf numFmtId="167" fontId="9" fillId="5" borderId="29" xfId="2" applyNumberFormat="1" applyFont="1" applyFill="1" applyBorder="1"/>
    <xf numFmtId="167" fontId="10" fillId="0" borderId="52" xfId="2" applyNumberFormat="1" applyFont="1" applyFill="1" applyBorder="1" applyAlignment="1">
      <alignment vertical="center"/>
    </xf>
    <xf numFmtId="167" fontId="10" fillId="0" borderId="25" xfId="2" applyNumberFormat="1" applyFont="1" applyFill="1" applyBorder="1" applyAlignment="1">
      <alignment vertical="center"/>
    </xf>
    <xf numFmtId="0" fontId="10" fillId="0" borderId="3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67" fontId="10" fillId="0" borderId="55" xfId="2" applyNumberFormat="1" applyFont="1" applyFill="1" applyBorder="1" applyAlignment="1">
      <alignment vertical="center"/>
    </xf>
    <xf numFmtId="167" fontId="10" fillId="0" borderId="12" xfId="2" applyNumberFormat="1" applyFont="1" applyFill="1" applyBorder="1" applyAlignment="1">
      <alignment vertical="center"/>
    </xf>
    <xf numFmtId="167" fontId="10" fillId="0" borderId="0" xfId="2" applyNumberFormat="1" applyFont="1" applyFill="1" applyBorder="1" applyAlignment="1">
      <alignment vertical="center"/>
    </xf>
    <xf numFmtId="9" fontId="10" fillId="0" borderId="0" xfId="3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40" fillId="0" borderId="0" xfId="0" applyFont="1" applyFill="1"/>
    <xf numFmtId="176" fontId="16" fillId="0" borderId="0" xfId="3" applyNumberFormat="1" applyFont="1" applyFill="1" applyAlignment="1">
      <alignment horizontal="center"/>
    </xf>
    <xf numFmtId="167" fontId="10" fillId="0" borderId="29" xfId="2" applyNumberFormat="1" applyFont="1" applyFill="1" applyBorder="1" applyAlignment="1">
      <alignment vertical="center"/>
    </xf>
    <xf numFmtId="167" fontId="10" fillId="0" borderId="28" xfId="2" applyNumberFormat="1" applyFont="1" applyFill="1" applyBorder="1" applyAlignment="1">
      <alignment vertical="center"/>
    </xf>
    <xf numFmtId="167" fontId="10" fillId="0" borderId="27" xfId="2" applyNumberFormat="1" applyFont="1" applyFill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167" fontId="0" fillId="5" borderId="32" xfId="0" applyNumberFormat="1" applyFill="1" applyBorder="1" applyAlignment="1">
      <alignment vertical="center"/>
    </xf>
    <xf numFmtId="167" fontId="0" fillId="5" borderId="31" xfId="0" applyNumberFormat="1" applyFill="1" applyBorder="1" applyAlignment="1">
      <alignment vertical="center"/>
    </xf>
    <xf numFmtId="167" fontId="0" fillId="5" borderId="30" xfId="0" applyNumberFormat="1" applyFill="1" applyBorder="1" applyAlignment="1">
      <alignment vertical="center"/>
    </xf>
    <xf numFmtId="0" fontId="4" fillId="0" borderId="37" xfId="0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9" fontId="33" fillId="0" borderId="0" xfId="0" applyNumberFormat="1" applyFont="1" applyFill="1" applyAlignment="1">
      <alignment vertical="center"/>
    </xf>
    <xf numFmtId="9" fontId="33" fillId="0" borderId="0" xfId="3" applyFont="1" applyFill="1" applyAlignment="1">
      <alignment vertical="center"/>
    </xf>
    <xf numFmtId="167" fontId="9" fillId="3" borderId="32" xfId="2" applyNumberFormat="1" applyFont="1" applyFill="1" applyBorder="1" applyAlignment="1">
      <alignment vertical="center"/>
    </xf>
    <xf numFmtId="167" fontId="9" fillId="3" borderId="31" xfId="2" applyNumberFormat="1" applyFont="1" applyFill="1" applyBorder="1" applyAlignment="1">
      <alignment vertical="center"/>
    </xf>
    <xf numFmtId="167" fontId="0" fillId="5" borderId="29" xfId="2" applyNumberFormat="1" applyFont="1" applyFill="1" applyBorder="1"/>
    <xf numFmtId="167" fontId="0" fillId="5" borderId="28" xfId="2" applyNumberFormat="1" applyFont="1" applyFill="1" applyBorder="1"/>
    <xf numFmtId="167" fontId="0" fillId="5" borderId="27" xfId="2" applyNumberFormat="1" applyFont="1" applyFill="1" applyBorder="1"/>
    <xf numFmtId="164" fontId="10" fillId="0" borderId="29" xfId="1" applyNumberFormat="1" applyFont="1" applyBorder="1" applyAlignment="1">
      <alignment vertical="center"/>
    </xf>
    <xf numFmtId="164" fontId="10" fillId="0" borderId="28" xfId="1" applyNumberFormat="1" applyFont="1" applyBorder="1" applyAlignment="1">
      <alignment vertical="center"/>
    </xf>
    <xf numFmtId="164" fontId="10" fillId="0" borderId="27" xfId="1" applyNumberFormat="1" applyFont="1" applyBorder="1" applyAlignment="1">
      <alignment vertical="center"/>
    </xf>
    <xf numFmtId="0" fontId="10" fillId="0" borderId="29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0" fontId="15" fillId="2" borderId="9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10" fontId="33" fillId="0" borderId="34" xfId="3" applyNumberFormat="1" applyFont="1" applyFill="1" applyBorder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174" fontId="9" fillId="5" borderId="28" xfId="2" applyNumberFormat="1" applyFont="1" applyFill="1" applyBorder="1"/>
    <xf numFmtId="167" fontId="9" fillId="5" borderId="11" xfId="2" applyNumberFormat="1" applyFont="1" applyFill="1" applyBorder="1"/>
    <xf numFmtId="167" fontId="0" fillId="3" borderId="27" xfId="2" applyNumberFormat="1" applyFont="1" applyFill="1" applyBorder="1" applyAlignment="1">
      <alignment vertical="center"/>
    </xf>
    <xf numFmtId="181" fontId="3" fillId="0" borderId="0" xfId="0" applyNumberFormat="1" applyFont="1"/>
    <xf numFmtId="165" fontId="33" fillId="0" borderId="0" xfId="3" applyNumberFormat="1" applyFont="1" applyFill="1"/>
    <xf numFmtId="0" fontId="8" fillId="0" borderId="0" xfId="0" applyFont="1"/>
    <xf numFmtId="166" fontId="10" fillId="0" borderId="0" xfId="0" applyNumberFormat="1" applyFont="1" applyFill="1"/>
    <xf numFmtId="166" fontId="10" fillId="0" borderId="0" xfId="0" applyNumberFormat="1" applyFont="1" applyBorder="1"/>
    <xf numFmtId="0" fontId="58" fillId="0" borderId="0" xfId="0" applyFont="1" applyAlignment="1">
      <alignment horizontal="left" vertical="center"/>
    </xf>
    <xf numFmtId="173" fontId="10" fillId="0" borderId="12" xfId="1" applyNumberFormat="1" applyFont="1" applyBorder="1"/>
    <xf numFmtId="180" fontId="10" fillId="0" borderId="11" xfId="0" applyNumberFormat="1" applyFont="1" applyFill="1" applyBorder="1" applyAlignment="1">
      <alignment vertical="center"/>
    </xf>
    <xf numFmtId="166" fontId="33" fillId="0" borderId="11" xfId="0" applyNumberFormat="1" applyFont="1" applyBorder="1"/>
    <xf numFmtId="164" fontId="0" fillId="0" borderId="25" xfId="0" applyNumberFormat="1" applyBorder="1"/>
    <xf numFmtId="164" fontId="0" fillId="0" borderId="25" xfId="0" applyNumberForma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9" fontId="15" fillId="0" borderId="0" xfId="0" applyNumberFormat="1" applyFont="1" applyFill="1" applyAlignment="1">
      <alignment horizontal="center" vertical="center"/>
    </xf>
    <xf numFmtId="166" fontId="10" fillId="0" borderId="12" xfId="0" applyNumberFormat="1" applyFont="1" applyBorder="1"/>
    <xf numFmtId="166" fontId="10" fillId="0" borderId="12" xfId="0" applyNumberFormat="1" applyFont="1" applyFill="1" applyBorder="1"/>
    <xf numFmtId="164" fontId="9" fillId="0" borderId="0" xfId="0" applyNumberFormat="1" applyFont="1" applyFill="1" applyAlignment="1">
      <alignment vertical="center"/>
    </xf>
    <xf numFmtId="169" fontId="10" fillId="0" borderId="11" xfId="0" applyNumberFormat="1" applyFont="1" applyFill="1" applyBorder="1" applyAlignment="1">
      <alignment vertical="center"/>
    </xf>
    <xf numFmtId="174" fontId="0" fillId="0" borderId="0" xfId="0" applyNumberFormat="1" applyFill="1" applyAlignment="1">
      <alignment vertical="center"/>
    </xf>
    <xf numFmtId="166" fontId="33" fillId="0" borderId="0" xfId="0" applyNumberFormat="1" applyFont="1" applyFill="1" applyAlignment="1">
      <alignment vertical="center"/>
    </xf>
    <xf numFmtId="169" fontId="33" fillId="0" borderId="0" xfId="3" applyNumberFormat="1" applyFont="1" applyFill="1"/>
    <xf numFmtId="0" fontId="34" fillId="0" borderId="0" xfId="0" applyFont="1" applyBorder="1" applyAlignment="1">
      <alignment vertical="center"/>
    </xf>
    <xf numFmtId="44" fontId="10" fillId="0" borderId="0" xfId="0" applyNumberFormat="1" applyFont="1"/>
    <xf numFmtId="44" fontId="10" fillId="0" borderId="0" xfId="0" applyNumberFormat="1" applyFont="1" applyFill="1"/>
    <xf numFmtId="171" fontId="14" fillId="0" borderId="29" xfId="3" applyNumberFormat="1" applyFont="1" applyFill="1" applyBorder="1"/>
    <xf numFmtId="171" fontId="14" fillId="0" borderId="28" xfId="3" applyNumberFormat="1" applyFont="1" applyFill="1" applyBorder="1"/>
    <xf numFmtId="164" fontId="10" fillId="0" borderId="10" xfId="0" applyNumberFormat="1" applyFont="1" applyFill="1" applyBorder="1"/>
    <xf numFmtId="0" fontId="0" fillId="2" borderId="0" xfId="0" applyFill="1" applyAlignment="1">
      <alignment horizontal="center"/>
    </xf>
    <xf numFmtId="44" fontId="9" fillId="0" borderId="44" xfId="0" applyNumberFormat="1" applyFont="1" applyFill="1" applyBorder="1"/>
    <xf numFmtId="164" fontId="10" fillId="0" borderId="0" xfId="1" applyNumberFormat="1" applyFont="1"/>
    <xf numFmtId="0" fontId="13" fillId="0" borderId="0" xfId="0" applyFont="1" applyFill="1" applyAlignment="1">
      <alignment horizontal="left" vertical="center"/>
    </xf>
    <xf numFmtId="0" fontId="40" fillId="0" borderId="5" xfId="0" applyFont="1" applyBorder="1" applyAlignment="1">
      <alignment vertical="center"/>
    </xf>
    <xf numFmtId="44" fontId="10" fillId="0" borderId="1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85" fontId="10" fillId="0" borderId="0" xfId="0" applyNumberFormat="1" applyFont="1"/>
    <xf numFmtId="166" fontId="15" fillId="0" borderId="4" xfId="0" applyNumberFormat="1" applyFont="1" applyBorder="1" applyAlignment="1">
      <alignment vertical="center"/>
    </xf>
    <xf numFmtId="166" fontId="2" fillId="0" borderId="10" xfId="0" applyNumberFormat="1" applyFont="1" applyFill="1" applyBorder="1" applyAlignment="1">
      <alignment vertical="center"/>
    </xf>
    <xf numFmtId="170" fontId="10" fillId="0" borderId="0" xfId="0" applyNumberFormat="1" applyFont="1"/>
    <xf numFmtId="166" fontId="0" fillId="0" borderId="10" xfId="0" applyNumberFormat="1" applyFont="1" applyFill="1" applyBorder="1"/>
    <xf numFmtId="167" fontId="0" fillId="5" borderId="0" xfId="0" applyNumberFormat="1" applyFill="1" applyAlignment="1">
      <alignment horizontal="center" vertical="center"/>
    </xf>
    <xf numFmtId="10" fontId="0" fillId="5" borderId="0" xfId="3" applyNumberFormat="1" applyFont="1" applyFill="1" applyAlignment="1">
      <alignment vertical="center"/>
    </xf>
    <xf numFmtId="175" fontId="0" fillId="0" borderId="0" xfId="1" applyNumberFormat="1" applyFont="1" applyAlignment="1">
      <alignment vertical="center"/>
    </xf>
    <xf numFmtId="175" fontId="11" fillId="0" borderId="0" xfId="1" applyNumberFormat="1" applyFont="1"/>
    <xf numFmtId="185" fontId="10" fillId="0" borderId="0" xfId="0" applyNumberFormat="1" applyFont="1" applyFill="1" applyAlignment="1">
      <alignment vertical="center"/>
    </xf>
    <xf numFmtId="183" fontId="0" fillId="0" borderId="0" xfId="1" applyNumberFormat="1" applyFont="1"/>
    <xf numFmtId="166" fontId="9" fillId="3" borderId="0" xfId="0" applyNumberFormat="1" applyFont="1" applyFill="1" applyBorder="1" applyAlignment="1">
      <alignment vertical="center"/>
    </xf>
    <xf numFmtId="0" fontId="9" fillId="0" borderId="10" xfId="0" applyFont="1" applyFill="1" applyBorder="1" applyAlignment="1">
      <alignment horizontal="center"/>
    </xf>
    <xf numFmtId="166" fontId="15" fillId="0" borderId="6" xfId="2" applyNumberFormat="1" applyFont="1" applyFill="1" applyBorder="1" applyAlignment="1">
      <alignment vertical="center"/>
    </xf>
    <xf numFmtId="9" fontId="10" fillId="0" borderId="0" xfId="3" applyFont="1"/>
    <xf numFmtId="164" fontId="10" fillId="0" borderId="0" xfId="1" applyNumberFormat="1" applyFont="1" applyFill="1" applyAlignment="1">
      <alignment horizontal="center" vertical="center"/>
    </xf>
    <xf numFmtId="44" fontId="9" fillId="0" borderId="0" xfId="0" applyNumberFormat="1" applyFont="1" applyAlignment="1">
      <alignment vertical="center"/>
    </xf>
    <xf numFmtId="44" fontId="9" fillId="5" borderId="0" xfId="0" applyNumberFormat="1" applyFont="1" applyFill="1" applyAlignment="1">
      <alignment vertical="center"/>
    </xf>
    <xf numFmtId="0" fontId="0" fillId="0" borderId="2" xfId="0" applyFill="1" applyBorder="1" applyAlignment="1">
      <alignment vertical="center"/>
    </xf>
    <xf numFmtId="167" fontId="8" fillId="0" borderId="2" xfId="0" quotePrefix="1" applyNumberFormat="1" applyFont="1" applyFill="1" applyBorder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175" fontId="0" fillId="2" borderId="0" xfId="1" applyNumberFormat="1" applyFont="1" applyFill="1" applyAlignment="1">
      <alignment vertical="center"/>
    </xf>
    <xf numFmtId="183" fontId="0" fillId="0" borderId="0" xfId="1" applyNumberFormat="1" applyFont="1" applyAlignment="1">
      <alignment vertical="center"/>
    </xf>
    <xf numFmtId="183" fontId="11" fillId="0" borderId="0" xfId="1" applyNumberFormat="1" applyFont="1"/>
    <xf numFmtId="183" fontId="0" fillId="2" borderId="0" xfId="1" applyNumberFormat="1" applyFont="1" applyFill="1" applyAlignment="1">
      <alignment vertical="center"/>
    </xf>
    <xf numFmtId="183" fontId="0" fillId="0" borderId="0" xfId="1" applyNumberFormat="1" applyFont="1" applyFill="1"/>
    <xf numFmtId="175" fontId="0" fillId="0" borderId="0" xfId="0" applyNumberFormat="1" applyAlignment="1">
      <alignment vertical="center"/>
    </xf>
    <xf numFmtId="167" fontId="2" fillId="0" borderId="10" xfId="2" applyNumberFormat="1" applyFont="1" applyFill="1" applyBorder="1" applyAlignment="1">
      <alignment vertical="center"/>
    </xf>
    <xf numFmtId="166" fontId="15" fillId="0" borderId="4" xfId="2" applyNumberFormat="1" applyFont="1" applyFill="1" applyBorder="1" applyAlignment="1">
      <alignment vertical="center"/>
    </xf>
    <xf numFmtId="176" fontId="9" fillId="0" borderId="29" xfId="3" applyNumberFormat="1" applyFont="1" applyBorder="1"/>
    <xf numFmtId="176" fontId="9" fillId="0" borderId="28" xfId="3" applyNumberFormat="1" applyFont="1" applyBorder="1"/>
    <xf numFmtId="176" fontId="9" fillId="0" borderId="27" xfId="3" applyNumberFormat="1" applyFont="1" applyBorder="1"/>
    <xf numFmtId="176" fontId="9" fillId="0" borderId="0" xfId="3" applyNumberFormat="1" applyFont="1"/>
    <xf numFmtId="166" fontId="9" fillId="0" borderId="0" xfId="2" applyNumberFormat="1" applyFont="1"/>
    <xf numFmtId="166" fontId="9" fillId="0" borderId="11" xfId="2" applyNumberFormat="1" applyFont="1" applyBorder="1"/>
    <xf numFmtId="166" fontId="9" fillId="0" borderId="46" xfId="2" applyNumberFormat="1" applyFont="1" applyBorder="1"/>
    <xf numFmtId="165" fontId="9" fillId="0" borderId="45" xfId="3" applyNumberFormat="1" applyFont="1" applyBorder="1"/>
    <xf numFmtId="0" fontId="38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6" fontId="9" fillId="0" borderId="25" xfId="2" applyNumberFormat="1" applyFont="1" applyBorder="1"/>
    <xf numFmtId="166" fontId="9" fillId="0" borderId="0" xfId="2" applyNumberFormat="1" applyFont="1" applyBorder="1"/>
    <xf numFmtId="169" fontId="10" fillId="0" borderId="0" xfId="3" applyNumberFormat="1" applyFont="1" applyFill="1" applyAlignment="1">
      <alignment vertical="center"/>
    </xf>
    <xf numFmtId="10" fontId="10" fillId="0" borderId="29" xfId="3" applyNumberFormat="1" applyFont="1" applyFill="1" applyBorder="1"/>
    <xf numFmtId="10" fontId="10" fillId="0" borderId="28" xfId="3" applyNumberFormat="1" applyFont="1" applyFill="1" applyBorder="1"/>
    <xf numFmtId="0" fontId="10" fillId="0" borderId="0" xfId="0" applyFont="1" applyFill="1" applyAlignment="1">
      <alignment horizontal="center"/>
    </xf>
    <xf numFmtId="169" fontId="33" fillId="0" borderId="11" xfId="0" applyNumberFormat="1" applyFont="1" applyFill="1" applyBorder="1" applyAlignment="1">
      <alignment vertical="center"/>
    </xf>
    <xf numFmtId="167" fontId="40" fillId="0" borderId="0" xfId="0" applyNumberFormat="1" applyFont="1" applyFill="1" applyBorder="1" applyAlignment="1">
      <alignment vertical="center"/>
    </xf>
    <xf numFmtId="167" fontId="40" fillId="0" borderId="2" xfId="0" applyNumberFormat="1" applyFont="1" applyFill="1" applyBorder="1" applyAlignment="1">
      <alignment vertical="center"/>
    </xf>
    <xf numFmtId="167" fontId="40" fillId="2" borderId="0" xfId="0" applyNumberFormat="1" applyFont="1" applyFill="1" applyBorder="1" applyAlignment="1">
      <alignment vertical="center"/>
    </xf>
    <xf numFmtId="0" fontId="8" fillId="0" borderId="4" xfId="0" quotePrefix="1" applyFont="1" applyBorder="1"/>
    <xf numFmtId="167" fontId="8" fillId="0" borderId="1" xfId="0" quotePrefix="1" applyNumberFormat="1" applyFont="1" applyBorder="1" applyAlignment="1">
      <alignment horizontal="left" vertical="center"/>
    </xf>
    <xf numFmtId="167" fontId="42" fillId="0" borderId="0" xfId="0" quotePrefix="1" applyNumberFormat="1" applyFont="1" applyFill="1" applyBorder="1" applyAlignment="1">
      <alignment horizontal="left" vertical="center"/>
    </xf>
    <xf numFmtId="167" fontId="42" fillId="0" borderId="0" xfId="0" quotePrefix="1" applyNumberFormat="1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6" fontId="0" fillId="0" borderId="12" xfId="2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quotePrefix="1" applyFont="1" applyFill="1" applyAlignment="1">
      <alignment horizontal="center" vertical="center"/>
    </xf>
    <xf numFmtId="164" fontId="9" fillId="0" borderId="0" xfId="1" applyNumberFormat="1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4" fontId="2" fillId="0" borderId="10" xfId="2" applyNumberFormat="1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167" fontId="8" fillId="0" borderId="0" xfId="0" quotePrefix="1" applyNumberFormat="1" applyFont="1" applyFill="1" applyAlignment="1">
      <alignment horizontal="center" vertical="center"/>
    </xf>
    <xf numFmtId="44" fontId="2" fillId="2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23" fillId="0" borderId="0" xfId="0" applyFont="1" applyFill="1"/>
    <xf numFmtId="178" fontId="10" fillId="0" borderId="0" xfId="0" applyNumberFormat="1" applyFont="1"/>
    <xf numFmtId="166" fontId="33" fillId="0" borderId="10" xfId="0" applyNumberFormat="1" applyFont="1" applyBorder="1"/>
    <xf numFmtId="0" fontId="0" fillId="0" borderId="29" xfId="0" quotePrefix="1" applyFill="1" applyBorder="1" applyAlignment="1">
      <alignment horizontal="center"/>
    </xf>
    <xf numFmtId="0" fontId="0" fillId="0" borderId="28" xfId="0" quotePrefix="1" applyFill="1" applyBorder="1" applyAlignment="1">
      <alignment horizontal="center"/>
    </xf>
    <xf numFmtId="0" fontId="0" fillId="0" borderId="27" xfId="0" quotePrefix="1" applyFill="1" applyBorder="1" applyAlignment="1">
      <alignment horizontal="center"/>
    </xf>
    <xf numFmtId="166" fontId="9" fillId="0" borderId="10" xfId="0" applyNumberFormat="1" applyFont="1" applyBorder="1"/>
    <xf numFmtId="170" fontId="10" fillId="3" borderId="0" xfId="0" applyNumberFormat="1" applyFont="1" applyFill="1"/>
    <xf numFmtId="166" fontId="2" fillId="0" borderId="10" xfId="0" applyNumberFormat="1" applyFont="1" applyFill="1" applyBorder="1"/>
    <xf numFmtId="0" fontId="40" fillId="0" borderId="3" xfId="0" applyFont="1" applyBorder="1" applyAlignment="1">
      <alignment vertical="center"/>
    </xf>
    <xf numFmtId="0" fontId="9" fillId="10" borderId="0" xfId="0" applyFont="1" applyFill="1"/>
    <xf numFmtId="167" fontId="8" fillId="2" borderId="0" xfId="0" applyNumberFormat="1" applyFont="1" applyFill="1" applyAlignment="1">
      <alignment horizontal="left" vertical="center"/>
    </xf>
    <xf numFmtId="167" fontId="50" fillId="0" borderId="0" xfId="0" quotePrefix="1" applyNumberFormat="1" applyFont="1" applyFill="1" applyBorder="1" applyAlignment="1">
      <alignment horizontal="left" vertical="center"/>
    </xf>
    <xf numFmtId="179" fontId="14" fillId="0" borderId="29" xfId="1" applyNumberFormat="1" applyFont="1" applyFill="1" applyBorder="1"/>
    <xf numFmtId="179" fontId="14" fillId="0" borderId="28" xfId="1" applyNumberFormat="1" applyFont="1" applyFill="1" applyBorder="1"/>
    <xf numFmtId="179" fontId="10" fillId="0" borderId="10" xfId="0" applyNumberFormat="1" applyFont="1" applyFill="1" applyBorder="1"/>
    <xf numFmtId="164" fontId="10" fillId="0" borderId="10" xfId="1" applyNumberFormat="1" applyFont="1" applyFill="1" applyBorder="1"/>
    <xf numFmtId="43" fontId="10" fillId="0" borderId="0" xfId="1" applyNumberFormat="1" applyFont="1"/>
    <xf numFmtId="43" fontId="10" fillId="0" borderId="0" xfId="1" applyNumberFormat="1" applyFont="1" applyFill="1"/>
    <xf numFmtId="164" fontId="9" fillId="3" borderId="0" xfId="0" applyNumberFormat="1" applyFont="1" applyFill="1"/>
    <xf numFmtId="164" fontId="9" fillId="0" borderId="0" xfId="0" applyNumberFormat="1" applyFont="1"/>
    <xf numFmtId="164" fontId="9" fillId="0" borderId="12" xfId="0" applyNumberFormat="1" applyFont="1" applyBorder="1"/>
    <xf numFmtId="166" fontId="0" fillId="0" borderId="44" xfId="2" applyNumberFormat="1" applyFont="1" applyFill="1" applyBorder="1"/>
    <xf numFmtId="164" fontId="10" fillId="0" borderId="43" xfId="0" applyNumberFormat="1" applyFont="1" applyBorder="1"/>
    <xf numFmtId="0" fontId="40" fillId="2" borderId="9" xfId="0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166" fontId="10" fillId="3" borderId="0" xfId="0" applyNumberFormat="1" applyFont="1" applyFill="1"/>
    <xf numFmtId="0" fontId="15" fillId="0" borderId="8" xfId="0" applyFont="1" applyBorder="1"/>
    <xf numFmtId="180" fontId="9" fillId="0" borderId="0" xfId="3" applyNumberFormat="1" applyFont="1" applyFill="1" applyAlignment="1">
      <alignment vertical="center"/>
    </xf>
    <xf numFmtId="180" fontId="10" fillId="0" borderId="0" xfId="3" applyNumberFormat="1" applyFont="1" applyFill="1" applyAlignment="1">
      <alignment vertical="center"/>
    </xf>
    <xf numFmtId="166" fontId="9" fillId="0" borderId="10" xfId="2" applyNumberFormat="1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166" fontId="0" fillId="0" borderId="6" xfId="0" applyNumberFormat="1" applyBorder="1"/>
    <xf numFmtId="166" fontId="0" fillId="0" borderId="1" xfId="0" applyNumberFormat="1" applyBorder="1"/>
    <xf numFmtId="0" fontId="40" fillId="0" borderId="0" xfId="0" applyFont="1" applyAlignment="1">
      <alignment horizontal="center"/>
    </xf>
    <xf numFmtId="166" fontId="10" fillId="12" borderId="12" xfId="2" applyNumberFormat="1" applyFont="1" applyFill="1" applyBorder="1" applyAlignment="1">
      <alignment vertical="center"/>
    </xf>
    <xf numFmtId="166" fontId="10" fillId="5" borderId="0" xfId="0" applyNumberFormat="1" applyFont="1" applyFill="1" applyAlignment="1">
      <alignment vertical="center"/>
    </xf>
    <xf numFmtId="0" fontId="0" fillId="2" borderId="29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13" borderId="51" xfId="0" applyFill="1" applyBorder="1"/>
    <xf numFmtId="0" fontId="0" fillId="13" borderId="11" xfId="0" applyFill="1" applyBorder="1"/>
    <xf numFmtId="0" fontId="0" fillId="0" borderId="56" xfId="0" applyBorder="1"/>
    <xf numFmtId="0" fontId="0" fillId="0" borderId="56" xfId="0" quotePrefix="1" applyBorder="1"/>
    <xf numFmtId="0" fontId="9" fillId="13" borderId="32" xfId="0" applyFont="1" applyFill="1" applyBorder="1" applyAlignment="1">
      <alignment horizontal="center"/>
    </xf>
    <xf numFmtId="0" fontId="0" fillId="0" borderId="31" xfId="0" applyBorder="1"/>
    <xf numFmtId="0" fontId="9" fillId="13" borderId="31" xfId="0" applyFont="1" applyFill="1" applyBorder="1" applyAlignment="1">
      <alignment horizontal="center"/>
    </xf>
    <xf numFmtId="0" fontId="0" fillId="0" borderId="30" xfId="0" applyBorder="1"/>
    <xf numFmtId="0" fontId="41" fillId="11" borderId="0" xfId="0" applyFont="1" applyFill="1"/>
    <xf numFmtId="0" fontId="41" fillId="0" borderId="0" xfId="0" applyFont="1" applyFill="1"/>
    <xf numFmtId="0" fontId="50" fillId="11" borderId="0" xfId="0" applyFont="1" applyFill="1"/>
    <xf numFmtId="0" fontId="0" fillId="11" borderId="0" xfId="0" applyFill="1" applyAlignment="1">
      <alignment vertical="center"/>
    </xf>
    <xf numFmtId="0" fontId="6" fillId="11" borderId="0" xfId="0" applyFont="1" applyFill="1" applyAlignment="1">
      <alignment vertical="center"/>
    </xf>
    <xf numFmtId="0" fontId="50" fillId="0" borderId="0" xfId="0" applyFont="1" applyFill="1" applyAlignment="1">
      <alignment horizontal="left" vertical="center"/>
    </xf>
    <xf numFmtId="166" fontId="16" fillId="0" borderId="0" xfId="0" applyNumberFormat="1" applyFont="1" applyFill="1" applyAlignment="1">
      <alignment vertical="center"/>
    </xf>
    <xf numFmtId="174" fontId="8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6" fontId="15" fillId="0" borderId="0" xfId="0" applyNumberFormat="1" applyFont="1" applyFill="1" applyBorder="1" applyAlignment="1">
      <alignment vertical="center"/>
    </xf>
    <xf numFmtId="166" fontId="15" fillId="0" borderId="12" xfId="0" applyNumberFormat="1" applyFont="1" applyFill="1" applyBorder="1" applyAlignment="1">
      <alignment vertical="center"/>
    </xf>
    <xf numFmtId="165" fontId="2" fillId="0" borderId="0" xfId="3" applyNumberFormat="1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horizontal="left" vertical="center"/>
    </xf>
    <xf numFmtId="0" fontId="0" fillId="14" borderId="0" xfId="0" applyFill="1"/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vertical="center"/>
    </xf>
    <xf numFmtId="0" fontId="0" fillId="0" borderId="48" xfId="0" applyFill="1" applyBorder="1" applyAlignment="1">
      <alignment horizontal="center" vertical="center"/>
    </xf>
    <xf numFmtId="164" fontId="0" fillId="0" borderId="57" xfId="0" quotePrefix="1" applyNumberFormat="1" applyBorder="1" applyAlignment="1">
      <alignment horizontal="right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164" fontId="0" fillId="0" borderId="0" xfId="0" quotePrefix="1" applyNumberFormat="1" applyFill="1" applyAlignment="1">
      <alignment horizontal="right" vertical="center"/>
    </xf>
    <xf numFmtId="164" fontId="0" fillId="0" borderId="57" xfId="0" quotePrefix="1" applyNumberFormat="1" applyFill="1" applyBorder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44" fontId="0" fillId="0" borderId="0" xfId="2" applyFont="1" applyFill="1" applyAlignment="1">
      <alignment vertical="center"/>
    </xf>
    <xf numFmtId="9" fontId="0" fillId="0" borderId="0" xfId="3" applyNumberFormat="1" applyFont="1" applyAlignment="1">
      <alignment vertical="center"/>
    </xf>
    <xf numFmtId="9" fontId="0" fillId="0" borderId="0" xfId="3" applyFont="1" applyFill="1" applyAlignment="1">
      <alignment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14" borderId="0" xfId="0" applyFill="1" applyAlignment="1">
      <alignment horizontal="right"/>
    </xf>
    <xf numFmtId="9" fontId="0" fillId="14" borderId="0" xfId="0" applyNumberFormat="1" applyFill="1"/>
    <xf numFmtId="166" fontId="0" fillId="14" borderId="0" xfId="2" applyNumberFormat="1" applyFont="1" applyFill="1" applyAlignment="1">
      <alignment vertical="center"/>
    </xf>
    <xf numFmtId="9" fontId="59" fillId="0" borderId="0" xfId="0" applyNumberFormat="1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0" fillId="3" borderId="29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36" xfId="1" applyNumberFormat="1" applyFont="1" applyFill="1" applyBorder="1" applyAlignment="1">
      <alignment vertical="center"/>
    </xf>
    <xf numFmtId="164" fontId="0" fillId="3" borderId="27" xfId="1" applyNumberFormat="1" applyFont="1" applyFill="1" applyBorder="1" applyAlignment="1">
      <alignment vertical="center"/>
    </xf>
    <xf numFmtId="0" fontId="0" fillId="4" borderId="48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176" fontId="0" fillId="0" borderId="0" xfId="3" applyNumberFormat="1" applyFont="1" applyFill="1"/>
    <xf numFmtId="176" fontId="0" fillId="0" borderId="29" xfId="3" applyNumberFormat="1" applyFont="1" applyFill="1" applyBorder="1"/>
    <xf numFmtId="176" fontId="0" fillId="0" borderId="28" xfId="3" applyNumberFormat="1" applyFont="1" applyFill="1" applyBorder="1"/>
    <xf numFmtId="176" fontId="0" fillId="0" borderId="27" xfId="3" applyNumberFormat="1" applyFont="1" applyFill="1" applyBorder="1"/>
    <xf numFmtId="9" fontId="0" fillId="0" borderId="0" xfId="0" applyNumberFormat="1" applyFill="1"/>
    <xf numFmtId="0" fontId="27" fillId="0" borderId="0" xfId="0" applyFont="1" applyFill="1" applyAlignment="1">
      <alignment horizontal="left"/>
    </xf>
    <xf numFmtId="165" fontId="0" fillId="0" borderId="0" xfId="3" applyNumberFormat="1" applyFont="1" applyFill="1"/>
    <xf numFmtId="0" fontId="40" fillId="0" borderId="0" xfId="0" applyFont="1" applyFill="1" applyAlignment="1">
      <alignment horizontal="left"/>
    </xf>
    <xf numFmtId="0" fontId="27" fillId="0" borderId="42" xfId="0" applyFont="1" applyFill="1" applyBorder="1"/>
    <xf numFmtId="0" fontId="16" fillId="0" borderId="44" xfId="0" applyFont="1" applyFill="1" applyBorder="1"/>
    <xf numFmtId="176" fontId="16" fillId="0" borderId="0" xfId="3" applyNumberFormat="1" applyFont="1" applyFill="1"/>
    <xf numFmtId="0" fontId="27" fillId="0" borderId="0" xfId="0" applyFont="1" applyFill="1"/>
    <xf numFmtId="0" fontId="0" fillId="0" borderId="44" xfId="0" applyFill="1" applyBorder="1"/>
    <xf numFmtId="10" fontId="0" fillId="0" borderId="0" xfId="0" applyNumberFormat="1" applyFill="1"/>
    <xf numFmtId="0" fontId="2" fillId="0" borderId="0" xfId="0" applyFont="1" applyFill="1" applyAlignment="1">
      <alignment horizontal="left"/>
    </xf>
    <xf numFmtId="167" fontId="10" fillId="0" borderId="29" xfId="2" applyNumberFormat="1" applyFont="1" applyFill="1" applyBorder="1"/>
    <xf numFmtId="167" fontId="10" fillId="0" borderId="28" xfId="2" applyNumberFormat="1" applyFont="1" applyFill="1" applyBorder="1"/>
    <xf numFmtId="167" fontId="10" fillId="0" borderId="27" xfId="2" applyNumberFormat="1" applyFont="1" applyFill="1" applyBorder="1"/>
    <xf numFmtId="9" fontId="0" fillId="0" borderId="0" xfId="0" applyNumberFormat="1"/>
    <xf numFmtId="0" fontId="6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6" fillId="0" borderId="44" xfId="0" applyFont="1" applyBorder="1"/>
    <xf numFmtId="0" fontId="6" fillId="0" borderId="0" xfId="0" applyFont="1" applyAlignment="1">
      <alignment horizontal="right"/>
    </xf>
    <xf numFmtId="167" fontId="9" fillId="0" borderId="27" xfId="2" applyNumberFormat="1" applyFont="1" applyFill="1" applyBorder="1" applyAlignment="1">
      <alignment horizontal="right"/>
    </xf>
    <xf numFmtId="167" fontId="9" fillId="0" borderId="28" xfId="2" applyNumberFormat="1" applyFont="1" applyFill="1" applyBorder="1" applyAlignment="1">
      <alignment horizontal="right"/>
    </xf>
    <xf numFmtId="167" fontId="9" fillId="0" borderId="29" xfId="2" applyNumberFormat="1" applyFont="1" applyFill="1" applyBorder="1" applyAlignment="1">
      <alignment horizontal="right"/>
    </xf>
    <xf numFmtId="0" fontId="0" fillId="0" borderId="0" xfId="0" quotePrefix="1" applyFill="1"/>
    <xf numFmtId="0" fontId="40" fillId="0" borderId="0" xfId="0" quotePrefix="1" applyFont="1" applyFill="1"/>
    <xf numFmtId="0" fontId="30" fillId="0" borderId="0" xfId="0" applyFont="1" applyFill="1"/>
    <xf numFmtId="166" fontId="9" fillId="5" borderId="0" xfId="0" applyNumberFormat="1" applyFont="1" applyFill="1"/>
    <xf numFmtId="44" fontId="9" fillId="5" borderId="0" xfId="2" applyFont="1" applyFill="1" applyAlignment="1">
      <alignment vertical="center"/>
    </xf>
    <xf numFmtId="0" fontId="8" fillId="0" borderId="0" xfId="0" applyFont="1" applyFill="1"/>
    <xf numFmtId="166" fontId="40" fillId="5" borderId="10" xfId="0" applyNumberFormat="1" applyFont="1" applyFill="1" applyBorder="1" applyAlignment="1">
      <alignment vertical="center"/>
    </xf>
    <xf numFmtId="167" fontId="8" fillId="0" borderId="0" xfId="0" applyNumberFormat="1" applyFont="1" applyFill="1" applyAlignment="1">
      <alignment horizontal="left" vertical="center"/>
    </xf>
    <xf numFmtId="44" fontId="40" fillId="5" borderId="0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right"/>
    </xf>
    <xf numFmtId="0" fontId="41" fillId="0" borderId="5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/>
    </xf>
    <xf numFmtId="0" fontId="41" fillId="0" borderId="53" xfId="0" applyFont="1" applyFill="1" applyBorder="1" applyAlignment="1">
      <alignment horizontal="center" vertical="center"/>
    </xf>
    <xf numFmtId="164" fontId="9" fillId="0" borderId="0" xfId="1" applyNumberFormat="1" applyFont="1" applyFill="1" applyBorder="1"/>
    <xf numFmtId="164" fontId="9" fillId="0" borderId="54" xfId="1" applyNumberFormat="1" applyFont="1" applyFill="1" applyBorder="1"/>
    <xf numFmtId="164" fontId="9" fillId="0" borderId="12" xfId="1" applyNumberFormat="1" applyFont="1" applyFill="1" applyBorder="1"/>
    <xf numFmtId="164" fontId="9" fillId="0" borderId="48" xfId="1" applyNumberFormat="1" applyFont="1" applyFill="1" applyBorder="1"/>
    <xf numFmtId="0" fontId="9" fillId="0" borderId="0" xfId="0" applyFont="1" applyAlignment="1">
      <alignment horizontal="right"/>
    </xf>
    <xf numFmtId="164" fontId="9" fillId="3" borderId="10" xfId="0" applyNumberFormat="1" applyFont="1" applyFill="1" applyBorder="1"/>
    <xf numFmtId="0" fontId="9" fillId="0" borderId="52" xfId="0" applyFont="1" applyBorder="1"/>
    <xf numFmtId="0" fontId="9" fillId="0" borderId="36" xfId="0" applyFont="1" applyFill="1" applyBorder="1" applyAlignment="1">
      <alignment horizontal="right"/>
    </xf>
    <xf numFmtId="0" fontId="9" fillId="0" borderId="36" xfId="0" applyFont="1" applyBorder="1"/>
    <xf numFmtId="164" fontId="9" fillId="0" borderId="0" xfId="0" applyNumberFormat="1" applyFont="1" applyBorder="1"/>
    <xf numFmtId="0" fontId="9" fillId="0" borderId="0" xfId="0" applyFont="1" applyBorder="1"/>
    <xf numFmtId="0" fontId="9" fillId="0" borderId="54" xfId="0" applyFont="1" applyBorder="1"/>
    <xf numFmtId="164" fontId="9" fillId="0" borderId="0" xfId="0" applyNumberFormat="1" applyFont="1" applyFill="1" applyBorder="1"/>
    <xf numFmtId="0" fontId="9" fillId="0" borderId="55" xfId="0" applyFont="1" applyFill="1" applyBorder="1" applyAlignment="1">
      <alignment horizontal="right"/>
    </xf>
    <xf numFmtId="0" fontId="41" fillId="0" borderId="25" xfId="0" applyFont="1" applyBorder="1" applyAlignment="1">
      <alignment horizontal="center"/>
    </xf>
    <xf numFmtId="0" fontId="41" fillId="0" borderId="25" xfId="0" applyFont="1" applyFill="1" applyBorder="1" applyAlignment="1">
      <alignment horizontal="center"/>
    </xf>
    <xf numFmtId="0" fontId="41" fillId="0" borderId="53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54" xfId="0" applyFont="1" applyFill="1" applyBorder="1" applyAlignment="1">
      <alignment horizontal="center"/>
    </xf>
    <xf numFmtId="0" fontId="60" fillId="0" borderId="0" xfId="0" applyFont="1" applyAlignment="1">
      <alignment horizontal="right"/>
    </xf>
    <xf numFmtId="10" fontId="9" fillId="0" borderId="0" xfId="0" applyNumberFormat="1" applyFont="1" applyFill="1" applyAlignment="1">
      <alignment vertical="center"/>
    </xf>
    <xf numFmtId="165" fontId="0" fillId="0" borderId="0" xfId="3" applyNumberFormat="1" applyFont="1" applyFill="1" applyAlignment="1">
      <alignment vertical="center"/>
    </xf>
    <xf numFmtId="0" fontId="9" fillId="0" borderId="42" xfId="0" applyFont="1" applyFill="1" applyBorder="1"/>
    <xf numFmtId="0" fontId="9" fillId="0" borderId="43" xfId="0" applyFont="1" applyFill="1" applyBorder="1"/>
    <xf numFmtId="0" fontId="9" fillId="0" borderId="44" xfId="0" applyFont="1" applyFill="1" applyBorder="1"/>
    <xf numFmtId="167" fontId="8" fillId="0" borderId="43" xfId="0" quotePrefix="1" applyNumberFormat="1" applyFont="1" applyBorder="1" applyAlignment="1">
      <alignment horizontal="left" vertical="center"/>
    </xf>
    <xf numFmtId="166" fontId="9" fillId="13" borderId="0" xfId="0" applyNumberFormat="1" applyFont="1" applyFill="1"/>
    <xf numFmtId="44" fontId="9" fillId="13" borderId="0" xfId="0" applyNumberFormat="1" applyFont="1" applyFill="1"/>
    <xf numFmtId="0" fontId="9" fillId="13" borderId="0" xfId="0" applyFont="1" applyFill="1"/>
    <xf numFmtId="164" fontId="9" fillId="13" borderId="0" xfId="0" applyNumberFormat="1" applyFont="1" applyFill="1"/>
    <xf numFmtId="166" fontId="9" fillId="13" borderId="0" xfId="2" applyNumberFormat="1" applyFont="1" applyFill="1"/>
    <xf numFmtId="164" fontId="9" fillId="13" borderId="10" xfId="0" applyNumberFormat="1" applyFont="1" applyFill="1" applyBorder="1"/>
    <xf numFmtId="164" fontId="9" fillId="13" borderId="55" xfId="1" applyNumberFormat="1" applyFont="1" applyFill="1" applyBorder="1"/>
    <xf numFmtId="44" fontId="9" fillId="13" borderId="43" xfId="0" applyNumberFormat="1" applyFont="1" applyFill="1" applyBorder="1"/>
    <xf numFmtId="166" fontId="9" fillId="13" borderId="0" xfId="0" applyNumberFormat="1" applyFont="1" applyFill="1" applyBorder="1" applyAlignment="1">
      <alignment vertical="center"/>
    </xf>
    <xf numFmtId="0" fontId="9" fillId="13" borderId="0" xfId="0" applyFont="1" applyFill="1" applyAlignment="1">
      <alignment horizontal="right"/>
    </xf>
    <xf numFmtId="164" fontId="9" fillId="13" borderId="0" xfId="1" applyNumberFormat="1" applyFont="1" applyFill="1" applyBorder="1"/>
    <xf numFmtId="164" fontId="9" fillId="13" borderId="12" xfId="1" applyNumberFormat="1" applyFont="1" applyFill="1" applyBorder="1"/>
    <xf numFmtId="0" fontId="9" fillId="13" borderId="0" xfId="0" applyFont="1" applyFill="1" applyAlignment="1">
      <alignment vertical="center"/>
    </xf>
    <xf numFmtId="0" fontId="41" fillId="13" borderId="0" xfId="0" applyFont="1" applyFill="1" applyAlignment="1">
      <alignment horizontal="center"/>
    </xf>
    <xf numFmtId="44" fontId="0" fillId="13" borderId="10" xfId="0" applyNumberFormat="1" applyFill="1" applyBorder="1"/>
    <xf numFmtId="0" fontId="41" fillId="0" borderId="58" xfId="0" applyFont="1" applyFill="1" applyBorder="1"/>
    <xf numFmtId="0" fontId="9" fillId="0" borderId="33" xfId="0" applyFont="1" applyFill="1" applyBorder="1"/>
    <xf numFmtId="0" fontId="9" fillId="0" borderId="59" xfId="0" applyFont="1" applyFill="1" applyBorder="1"/>
    <xf numFmtId="0" fontId="9" fillId="0" borderId="61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right"/>
    </xf>
    <xf numFmtId="0" fontId="0" fillId="0" borderId="62" xfId="0" applyFill="1" applyBorder="1"/>
    <xf numFmtId="0" fontId="41" fillId="0" borderId="32" xfId="0" applyFont="1" applyFill="1" applyBorder="1" applyAlignment="1">
      <alignment horizontal="right"/>
    </xf>
    <xf numFmtId="0" fontId="41" fillId="13" borderId="0" xfId="0" applyFont="1" applyFill="1" applyAlignment="1">
      <alignment horizontal="right"/>
    </xf>
    <xf numFmtId="44" fontId="0" fillId="0" borderId="10" xfId="2" applyNumberFormat="1" applyFont="1" applyBorder="1"/>
    <xf numFmtId="0" fontId="0" fillId="0" borderId="1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/>
    <xf numFmtId="174" fontId="8" fillId="0" borderId="43" xfId="0" quotePrefix="1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6" fontId="0" fillId="4" borderId="0" xfId="0" applyNumberFormat="1" applyFill="1"/>
    <xf numFmtId="0" fontId="0" fillId="0" borderId="0" xfId="0" applyBorder="1" applyAlignment="1">
      <alignment horizontal="center" vertical="center"/>
    </xf>
    <xf numFmtId="43" fontId="0" fillId="0" borderId="0" xfId="1" applyFont="1"/>
    <xf numFmtId="0" fontId="0" fillId="0" borderId="52" xfId="0" applyBorder="1"/>
    <xf numFmtId="0" fontId="0" fillId="0" borderId="25" xfId="0" applyBorder="1"/>
    <xf numFmtId="0" fontId="0" fillId="0" borderId="53" xfId="0" applyBorder="1"/>
    <xf numFmtId="0" fontId="0" fillId="0" borderId="36" xfId="0" applyBorder="1"/>
    <xf numFmtId="0" fontId="27" fillId="0" borderId="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164" fontId="9" fillId="15" borderId="0" xfId="0" applyNumberFormat="1" applyFont="1" applyFill="1" applyBorder="1"/>
    <xf numFmtId="166" fontId="0" fillId="4" borderId="0" xfId="0" applyNumberFormat="1" applyFill="1" applyBorder="1"/>
    <xf numFmtId="166" fontId="0" fillId="0" borderId="54" xfId="0" applyNumberFormat="1" applyBorder="1"/>
    <xf numFmtId="0" fontId="0" fillId="4" borderId="0" xfId="0" applyFill="1" applyBorder="1"/>
    <xf numFmtId="0" fontId="0" fillId="0" borderId="54" xfId="0" applyBorder="1"/>
    <xf numFmtId="0" fontId="0" fillId="0" borderId="55" xfId="0" applyBorder="1"/>
    <xf numFmtId="0" fontId="0" fillId="0" borderId="12" xfId="0" applyBorder="1"/>
    <xf numFmtId="166" fontId="0" fillId="4" borderId="12" xfId="0" applyNumberFormat="1" applyFill="1" applyBorder="1"/>
    <xf numFmtId="166" fontId="0" fillId="0" borderId="48" xfId="0" applyNumberFormat="1" applyBorder="1"/>
    <xf numFmtId="0" fontId="0" fillId="0" borderId="25" xfId="0" applyBorder="1" applyAlignment="1">
      <alignment horizontal="center"/>
    </xf>
    <xf numFmtId="0" fontId="0" fillId="0" borderId="53" xfId="0" applyBorder="1" applyAlignment="1">
      <alignment horizontal="center"/>
    </xf>
    <xf numFmtId="0" fontId="27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164" fontId="3" fillId="0" borderId="0" xfId="1" applyNumberFormat="1" applyFont="1" applyFill="1" applyAlignment="1">
      <alignment vertical="center"/>
    </xf>
    <xf numFmtId="0" fontId="40" fillId="0" borderId="0" xfId="0" applyFont="1" applyFill="1" applyAlignment="1">
      <alignment horizontal="left" vertical="center"/>
    </xf>
    <xf numFmtId="0" fontId="0" fillId="0" borderId="42" xfId="0" applyFill="1" applyBorder="1"/>
    <xf numFmtId="166" fontId="0" fillId="0" borderId="12" xfId="0" applyNumberFormat="1" applyFill="1" applyBorder="1"/>
    <xf numFmtId="166" fontId="10" fillId="13" borderId="0" xfId="0" applyNumberFormat="1" applyFont="1" applyFill="1"/>
    <xf numFmtId="0" fontId="9" fillId="2" borderId="0" xfId="0" applyFont="1" applyFill="1" applyAlignment="1">
      <alignment vertical="center"/>
    </xf>
    <xf numFmtId="0" fontId="40" fillId="0" borderId="42" xfId="0" applyFont="1" applyBorder="1"/>
    <xf numFmtId="0" fontId="38" fillId="4" borderId="0" xfId="0" applyFont="1" applyFill="1" applyAlignment="1">
      <alignment horizontal="center"/>
    </xf>
    <xf numFmtId="0" fontId="16" fillId="0" borderId="0" xfId="0" applyFont="1" applyFill="1" applyBorder="1"/>
    <xf numFmtId="0" fontId="41" fillId="0" borderId="0" xfId="0" applyFont="1" applyFill="1" applyAlignment="1">
      <alignment horizontal="center"/>
    </xf>
    <xf numFmtId="166" fontId="0" fillId="7" borderId="10" xfId="2" applyNumberFormat="1" applyFont="1" applyFill="1" applyBorder="1"/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/>
    <xf numFmtId="0" fontId="7" fillId="0" borderId="0" xfId="0" applyFont="1" applyFill="1" applyAlignment="1">
      <alignment horizontal="right" vertical="center"/>
    </xf>
    <xf numFmtId="166" fontId="0" fillId="0" borderId="0" xfId="0" quotePrefix="1" applyNumberFormat="1" applyFill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174" fontId="9" fillId="0" borderId="28" xfId="2" applyNumberFormat="1" applyFont="1" applyFill="1" applyBorder="1"/>
    <xf numFmtId="184" fontId="9" fillId="0" borderId="31" xfId="2" applyNumberFormat="1" applyFont="1" applyFill="1" applyBorder="1" applyAlignment="1">
      <alignment vertical="center"/>
    </xf>
    <xf numFmtId="167" fontId="9" fillId="3" borderId="30" xfId="2" applyNumberFormat="1" applyFont="1" applyFill="1" applyBorder="1" applyAlignment="1">
      <alignment vertical="center"/>
    </xf>
    <xf numFmtId="44" fontId="9" fillId="0" borderId="10" xfId="2" applyFont="1" applyFill="1" applyBorder="1" applyAlignment="1">
      <alignment vertical="center"/>
    </xf>
    <xf numFmtId="44" fontId="9" fillId="0" borderId="0" xfId="2" applyFont="1" applyFill="1" applyAlignment="1">
      <alignment vertical="center"/>
    </xf>
    <xf numFmtId="44" fontId="9" fillId="0" borderId="10" xfId="0" applyNumberFormat="1" applyFont="1" applyBorder="1" applyAlignment="1">
      <alignment vertical="center"/>
    </xf>
    <xf numFmtId="0" fontId="40" fillId="4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0" fillId="0" borderId="60" xfId="0" applyFill="1" applyBorder="1"/>
    <xf numFmtId="44" fontId="9" fillId="0" borderId="31" xfId="2" applyFont="1" applyFill="1" applyBorder="1"/>
    <xf numFmtId="44" fontId="9" fillId="0" borderId="30" xfId="2" applyFont="1" applyFill="1" applyBorder="1"/>
    <xf numFmtId="44" fontId="0" fillId="0" borderId="10" xfId="0" applyNumberFormat="1" applyFill="1" applyBorder="1"/>
    <xf numFmtId="0" fontId="9" fillId="0" borderId="45" xfId="0" applyFont="1" applyFill="1" applyBorder="1" applyAlignment="1">
      <alignment horizontal="left"/>
    </xf>
    <xf numFmtId="44" fontId="40" fillId="13" borderId="43" xfId="0" applyNumberFormat="1" applyFont="1" applyFill="1" applyBorder="1"/>
    <xf numFmtId="0" fontId="40" fillId="0" borderId="0" xfId="0" applyFont="1" applyFill="1" applyAlignment="1">
      <alignment vertical="center"/>
    </xf>
    <xf numFmtId="169" fontId="9" fillId="0" borderId="0" xfId="3" applyNumberFormat="1" applyFont="1" applyFill="1" applyAlignment="1">
      <alignment vertical="center"/>
    </xf>
    <xf numFmtId="164" fontId="9" fillId="0" borderId="0" xfId="0" applyNumberFormat="1" applyFont="1" applyFill="1"/>
    <xf numFmtId="167" fontId="9" fillId="0" borderId="0" xfId="0" applyNumberFormat="1" applyFont="1" applyFill="1"/>
    <xf numFmtId="166" fontId="9" fillId="0" borderId="25" xfId="0" applyNumberFormat="1" applyFont="1" applyFill="1" applyBorder="1"/>
    <xf numFmtId="9" fontId="9" fillId="0" borderId="0" xfId="3" applyFont="1"/>
    <xf numFmtId="9" fontId="9" fillId="0" borderId="0" xfId="3" applyFont="1" applyFill="1"/>
    <xf numFmtId="0" fontId="1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10" fillId="4" borderId="0" xfId="3" applyNumberFormat="1" applyFont="1" applyFill="1"/>
    <xf numFmtId="169" fontId="10" fillId="0" borderId="0" xfId="3" applyNumberFormat="1" applyFont="1" applyFill="1"/>
    <xf numFmtId="44" fontId="0" fillId="4" borderId="10" xfId="2" applyNumberFormat="1" applyFont="1" applyFill="1" applyBorder="1"/>
    <xf numFmtId="0" fontId="7" fillId="11" borderId="0" xfId="0" applyFont="1" applyFill="1"/>
    <xf numFmtId="0" fontId="9" fillId="11" borderId="0" xfId="0" quotePrefix="1" applyFont="1" applyFill="1"/>
    <xf numFmtId="44" fontId="0" fillId="4" borderId="37" xfId="0" applyNumberFormat="1" applyFill="1" applyBorder="1"/>
    <xf numFmtId="0" fontId="16" fillId="0" borderId="0" xfId="0" applyFont="1" applyFill="1" applyAlignment="1">
      <alignment horizontal="center" vertical="center" wrapText="1"/>
    </xf>
    <xf numFmtId="166" fontId="0" fillId="0" borderId="4" xfId="0" applyNumberFormat="1" applyFill="1" applyBorder="1" applyAlignment="1">
      <alignment vertical="center"/>
    </xf>
    <xf numFmtId="164" fontId="31" fillId="0" borderId="4" xfId="1" applyNumberFormat="1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6" fontId="33" fillId="0" borderId="12" xfId="2" applyNumberFormat="1" applyFont="1" applyFill="1" applyBorder="1"/>
    <xf numFmtId="0" fontId="29" fillId="11" borderId="0" xfId="0" applyFont="1" applyFill="1"/>
    <xf numFmtId="0" fontId="29" fillId="0" borderId="0" xfId="0" applyFont="1" applyFill="1"/>
    <xf numFmtId="0" fontId="29" fillId="0" borderId="0" xfId="0" applyFont="1" applyFill="1" applyAlignment="1">
      <alignment horizontal="right"/>
    </xf>
    <xf numFmtId="0" fontId="29" fillId="0" borderId="0" xfId="0" applyFont="1" applyFill="1" applyAlignment="1">
      <alignment horizontal="left"/>
    </xf>
    <xf numFmtId="166" fontId="29" fillId="3" borderId="0" xfId="2" applyNumberFormat="1" applyFont="1" applyFill="1" applyBorder="1"/>
    <xf numFmtId="0" fontId="49" fillId="3" borderId="0" xfId="0" applyFont="1" applyFill="1"/>
    <xf numFmtId="0" fontId="29" fillId="3" borderId="0" xfId="0" applyFont="1" applyFill="1"/>
    <xf numFmtId="166" fontId="29" fillId="3" borderId="0" xfId="0" applyNumberFormat="1" applyFont="1" applyFill="1"/>
    <xf numFmtId="166" fontId="29" fillId="3" borderId="12" xfId="2" applyNumberFormat="1" applyFont="1" applyFill="1" applyBorder="1"/>
    <xf numFmtId="166" fontId="29" fillId="3" borderId="10" xfId="2" applyNumberFormat="1" applyFont="1" applyFill="1" applyBorder="1"/>
    <xf numFmtId="0" fontId="9" fillId="0" borderId="0" xfId="0" applyFont="1" applyFill="1" applyAlignment="1">
      <alignment horizontal="right" vertical="center"/>
    </xf>
    <xf numFmtId="44" fontId="9" fillId="0" borderId="0" xfId="0" applyNumberFormat="1" applyFont="1" applyFill="1"/>
    <xf numFmtId="165" fontId="9" fillId="0" borderId="0" xfId="3" applyNumberFormat="1" applyFont="1" applyFill="1"/>
    <xf numFmtId="44" fontId="0" fillId="0" borderId="11" xfId="0" applyNumberFormat="1" applyFill="1" applyBorder="1"/>
    <xf numFmtId="0" fontId="7" fillId="0" borderId="0" xfId="0" applyFont="1" applyFill="1"/>
    <xf numFmtId="176" fontId="9" fillId="0" borderId="0" xfId="3" applyNumberFormat="1" applyFont="1" applyFill="1"/>
    <xf numFmtId="166" fontId="9" fillId="0" borderId="11" xfId="2" applyNumberFormat="1" applyFont="1" applyFill="1" applyBorder="1"/>
    <xf numFmtId="166" fontId="9" fillId="0" borderId="25" xfId="2" applyNumberFormat="1" applyFont="1" applyFill="1" applyBorder="1"/>
    <xf numFmtId="166" fontId="9" fillId="0" borderId="46" xfId="2" applyNumberFormat="1" applyFont="1" applyFill="1" applyBorder="1"/>
    <xf numFmtId="165" fontId="9" fillId="0" borderId="45" xfId="3" applyNumberFormat="1" applyFont="1" applyFill="1" applyBorder="1"/>
    <xf numFmtId="0" fontId="9" fillId="0" borderId="0" xfId="0" applyFont="1" applyFill="1" applyAlignment="1">
      <alignment horizontal="center"/>
    </xf>
    <xf numFmtId="166" fontId="9" fillId="3" borderId="25" xfId="2" applyNumberFormat="1" applyFont="1" applyFill="1" applyBorder="1"/>
    <xf numFmtId="166" fontId="9" fillId="3" borderId="0" xfId="2" applyNumberFormat="1" applyFont="1" applyFill="1" applyBorder="1"/>
    <xf numFmtId="166" fontId="9" fillId="3" borderId="12" xfId="2" applyNumberFormat="1" applyFont="1" applyFill="1" applyBorder="1"/>
    <xf numFmtId="0" fontId="61" fillId="0" borderId="0" xfId="0" applyFont="1" applyFill="1" applyAlignment="1">
      <alignment horizontal="left" vertical="center"/>
    </xf>
    <xf numFmtId="164" fontId="9" fillId="13" borderId="0" xfId="1" applyNumberFormat="1" applyFont="1" applyFill="1"/>
    <xf numFmtId="164" fontId="9" fillId="13" borderId="10" xfId="1" applyNumberFormat="1" applyFont="1" applyFill="1" applyBorder="1"/>
    <xf numFmtId="0" fontId="9" fillId="0" borderId="31" xfId="0" applyFont="1" applyFill="1" applyBorder="1" applyAlignment="1">
      <alignment horizontal="center"/>
    </xf>
    <xf numFmtId="0" fontId="0" fillId="13" borderId="0" xfId="0" applyFill="1"/>
    <xf numFmtId="0" fontId="6" fillId="0" borderId="0" xfId="0" applyFont="1" applyFill="1" applyAlignment="1">
      <alignment horizontal="center"/>
    </xf>
    <xf numFmtId="0" fontId="6" fillId="0" borderId="10" xfId="0" applyFont="1" applyBorder="1" applyAlignment="1">
      <alignment horizont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</cellStyles>
  <dxfs count="5"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FF"/>
      <color rgb="FFFF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5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4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LECRATE\RateCase%202019\Joint%20Proposal\Rate%20Design(Final)\2_Data_RateDesi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LECRATE\RateCase%202019\Joint%20Proposal\Rate%20Design(Final)\3_Cal_RateDesign(RY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ate%20Engineering\ELECRATE\RateCase%202019\Initial%20Filing\ECOS%20Study\ECOS%20Study%20Results\EXHIBIT%20___%20(DAC_2),%20Schedule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ate%20Engineering\ELECRATE\RateCase%202019\Initial%20Filing\ECOS%20Study\ECOS%20Study%20Results\EXHIBIT%20___(DAC_2),%20Schedule%2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ate%20Engineering\ELECRATE\RateCase%202016\Initial%20Filing\ECOS%20Study\ECOS%20Study%20Results\2013%20Billing%20&amp;%20Payment%20Process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LECRATE\RateCase%202019\Joint%20Proposal\Rate%20Design(Final)\4_Rates_RateDesign(RY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A1.)RatesInput"/>
      <sheetName val="A2.)HL_DemandRatesCal"/>
      <sheetName val="B1.)HYAdjSalesDatabase"/>
      <sheetName val="B1.)HYAdjSalesSummary"/>
      <sheetName val="C1.)HY_Bills(FS&amp;RA)"/>
      <sheetName val="C2.)HY_Bills(Single&amp;Dual)"/>
      <sheetName val="C3.)HY_DualService&amp;TODBreakdown"/>
      <sheetName val="C4.)BPP_Cal"/>
      <sheetName val="D1.)PricingDistributions"/>
      <sheetName val="D2.)BillingDeterminants(TOD)"/>
      <sheetName val="D3.)On&amp;OffPeak%"/>
      <sheetName val="D4.)RateIII_RateDevelopment"/>
      <sheetName val="E1.)ECOS_Metering"/>
      <sheetName val="E2.)ECOS_Results"/>
      <sheetName val="F1.)kVar(RY1)"/>
      <sheetName val="F1.)kVar(RY2)"/>
      <sheetName val="F1.)kVar(RY3)"/>
      <sheetName val="F2.)MMD_&amp;_BIR"/>
      <sheetName val="F3.)Standby"/>
      <sheetName val="F4.)NYPA"/>
      <sheetName val="F5.)RiderD&amp;ProvD"/>
      <sheetName val="F6.)BNY"/>
      <sheetName val="G1.)RY(Fore)_ForeGroup(RY1)"/>
      <sheetName val="G1.)RY(Fore)_ForeGroup(RY2)"/>
      <sheetName val="G1.)RY(Fore)_ForeGroup(RY3)"/>
      <sheetName val="Meatball Math(Detailed)"/>
      <sheetName val="Termsheet(Details)_w.Layers"/>
      <sheetName val="H1.)RevRequirements"/>
      <sheetName val="i1.)Factor Sheet(RY1)"/>
      <sheetName val="i1.)Factor Sheet(RY2)"/>
      <sheetName val="i1.)Factor Sheet(RY3)"/>
      <sheetName val="J1.)EAM"/>
    </sheetNames>
    <sheetDataSet>
      <sheetData sheetId="0"/>
      <sheetData sheetId="1">
        <row r="1">
          <cell r="E1" t="str">
            <v>Rate Case 2019</v>
          </cell>
        </row>
        <row r="2">
          <cell r="I2" t="str">
            <v>RY1</v>
          </cell>
        </row>
        <row r="3">
          <cell r="G3">
            <v>2017</v>
          </cell>
          <cell r="I3">
            <v>2020</v>
          </cell>
        </row>
        <row r="4">
          <cell r="G4">
            <v>2019</v>
          </cell>
          <cell r="I4">
            <v>2020</v>
          </cell>
        </row>
        <row r="18">
          <cell r="D18">
            <v>1.2</v>
          </cell>
        </row>
        <row r="60">
          <cell r="D60">
            <v>4.41</v>
          </cell>
        </row>
        <row r="61">
          <cell r="D61">
            <v>4.1100000000000003</v>
          </cell>
        </row>
        <row r="63">
          <cell r="D63">
            <v>2017</v>
          </cell>
          <cell r="E63">
            <v>2019</v>
          </cell>
          <cell r="F63">
            <v>2020</v>
          </cell>
          <cell r="G63">
            <v>2021</v>
          </cell>
          <cell r="H63">
            <v>2022</v>
          </cell>
        </row>
        <row r="64">
          <cell r="D64" t="str">
            <v>Current</v>
          </cell>
          <cell r="E64" t="str">
            <v>Proposed</v>
          </cell>
          <cell r="F64" t="str">
            <v>Proposed</v>
          </cell>
          <cell r="G64" t="str">
            <v>Proposed</v>
          </cell>
          <cell r="H64" t="str">
            <v>Proposed</v>
          </cell>
        </row>
        <row r="65">
          <cell r="D65">
            <v>32.08</v>
          </cell>
          <cell r="E65">
            <v>31.671428571428571</v>
          </cell>
          <cell r="F65">
            <v>31.7</v>
          </cell>
          <cell r="G65">
            <v>31.7</v>
          </cell>
          <cell r="H65">
            <v>31.7</v>
          </cell>
        </row>
        <row r="66">
          <cell r="D66">
            <v>30.52</v>
          </cell>
          <cell r="E66">
            <v>30.95</v>
          </cell>
          <cell r="F66">
            <v>31.05</v>
          </cell>
          <cell r="G66">
            <v>31.05</v>
          </cell>
          <cell r="H66">
            <v>31.05</v>
          </cell>
        </row>
        <row r="67">
          <cell r="D67">
            <v>30.33</v>
          </cell>
          <cell r="E67">
            <v>30.19</v>
          </cell>
          <cell r="F67">
            <v>30.05</v>
          </cell>
          <cell r="G67">
            <v>30.05</v>
          </cell>
          <cell r="H67">
            <v>30.05</v>
          </cell>
        </row>
        <row r="68">
          <cell r="D68">
            <v>28.66</v>
          </cell>
          <cell r="E68">
            <v>29.38</v>
          </cell>
          <cell r="F68">
            <v>29.38</v>
          </cell>
          <cell r="G68">
            <v>29.38</v>
          </cell>
          <cell r="H68">
            <v>29.38</v>
          </cell>
        </row>
        <row r="69">
          <cell r="D69">
            <v>28.81</v>
          </cell>
          <cell r="E69">
            <v>29.57</v>
          </cell>
          <cell r="F69">
            <v>29.71</v>
          </cell>
          <cell r="G69">
            <v>29.71</v>
          </cell>
          <cell r="H69">
            <v>29.71</v>
          </cell>
        </row>
        <row r="70">
          <cell r="D70">
            <v>30.67</v>
          </cell>
          <cell r="E70">
            <v>30.67</v>
          </cell>
          <cell r="F70">
            <v>30.52</v>
          </cell>
          <cell r="G70">
            <v>30.52</v>
          </cell>
          <cell r="H70">
            <v>30.52</v>
          </cell>
        </row>
        <row r="71">
          <cell r="D71">
            <v>30.67</v>
          </cell>
          <cell r="E71">
            <v>30.67</v>
          </cell>
          <cell r="F71">
            <v>30.52</v>
          </cell>
          <cell r="G71">
            <v>30.52</v>
          </cell>
          <cell r="H71">
            <v>30.52</v>
          </cell>
        </row>
        <row r="72">
          <cell r="D72">
            <v>29.57</v>
          </cell>
          <cell r="E72">
            <v>29.48</v>
          </cell>
          <cell r="F72">
            <v>29.62</v>
          </cell>
          <cell r="G72">
            <v>29.62</v>
          </cell>
          <cell r="H72">
            <v>29.62</v>
          </cell>
        </row>
        <row r="73">
          <cell r="D73">
            <v>30.52</v>
          </cell>
          <cell r="E73">
            <v>30.71</v>
          </cell>
          <cell r="F73">
            <v>30.52</v>
          </cell>
          <cell r="G73">
            <v>30.52</v>
          </cell>
          <cell r="H73">
            <v>30.52</v>
          </cell>
        </row>
        <row r="74">
          <cell r="D74">
            <v>29.86</v>
          </cell>
          <cell r="E74">
            <v>29.55</v>
          </cell>
          <cell r="F74">
            <v>29.81</v>
          </cell>
          <cell r="G74">
            <v>29.81</v>
          </cell>
          <cell r="H74">
            <v>29.81</v>
          </cell>
        </row>
        <row r="75">
          <cell r="D75">
            <v>30.67</v>
          </cell>
          <cell r="E75">
            <v>30.35</v>
          </cell>
          <cell r="F75">
            <v>30.42</v>
          </cell>
          <cell r="G75">
            <v>30.42</v>
          </cell>
          <cell r="H75">
            <v>30.42</v>
          </cell>
        </row>
        <row r="76">
          <cell r="D76">
            <v>31.63</v>
          </cell>
          <cell r="E76">
            <v>32.200000000000003</v>
          </cell>
          <cell r="F76">
            <v>32.9</v>
          </cell>
          <cell r="G76">
            <v>32.9</v>
          </cell>
          <cell r="H76">
            <v>32.9</v>
          </cell>
        </row>
        <row r="77">
          <cell r="D77">
            <v>363.99</v>
          </cell>
          <cell r="E77">
            <v>365.39142857142861</v>
          </cell>
          <cell r="F77">
            <v>366.2</v>
          </cell>
          <cell r="G77">
            <v>366.2</v>
          </cell>
          <cell r="H77">
            <v>366.2</v>
          </cell>
          <cell r="I77">
            <v>0</v>
          </cell>
        </row>
        <row r="78">
          <cell r="D78">
            <v>121.42999999999999</v>
          </cell>
          <cell r="E78">
            <v>121.53</v>
          </cell>
          <cell r="F78">
            <v>121.17999999999999</v>
          </cell>
          <cell r="G78">
            <v>121.17999999999999</v>
          </cell>
          <cell r="H78">
            <v>121.17999999999999</v>
          </cell>
          <cell r="I78">
            <v>0</v>
          </cell>
        </row>
        <row r="79">
          <cell r="D79">
            <v>242.55999999999997</v>
          </cell>
          <cell r="E79">
            <v>243.86142857142858</v>
          </cell>
          <cell r="F79">
            <v>245.01999999999998</v>
          </cell>
          <cell r="G79">
            <v>245.01999999999998</v>
          </cell>
          <cell r="H79">
            <v>245.01999999999998</v>
          </cell>
          <cell r="I79">
            <v>0</v>
          </cell>
        </row>
        <row r="80">
          <cell r="A80">
            <v>18</v>
          </cell>
          <cell r="D80">
            <v>1.01108</v>
          </cell>
          <cell r="E80">
            <v>1.01498</v>
          </cell>
          <cell r="F80">
            <v>1.01722</v>
          </cell>
          <cell r="G80">
            <v>1.01722</v>
          </cell>
          <cell r="H80">
            <v>1.01722</v>
          </cell>
          <cell r="I80">
            <v>0</v>
          </cell>
        </row>
        <row r="81">
          <cell r="A81">
            <v>19</v>
          </cell>
          <cell r="D81">
            <v>1.0119199999999999</v>
          </cell>
          <cell r="E81">
            <v>1.01275</v>
          </cell>
          <cell r="F81">
            <v>1.00983</v>
          </cell>
          <cell r="G81">
            <v>1.00983</v>
          </cell>
          <cell r="H81">
            <v>1.00983</v>
          </cell>
          <cell r="I81">
            <v>0</v>
          </cell>
        </row>
        <row r="82">
          <cell r="A82">
            <v>20</v>
          </cell>
          <cell r="D82">
            <v>1.01067</v>
          </cell>
          <cell r="E82">
            <v>1.0160899999999999</v>
          </cell>
          <cell r="F82">
            <v>1.02092</v>
          </cell>
          <cell r="G82">
            <v>1.02092</v>
          </cell>
          <cell r="H82">
            <v>1.02092</v>
          </cell>
          <cell r="I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7">
          <cell r="B87" t="str">
            <v>$/Bill</v>
          </cell>
          <cell r="D87">
            <v>2019</v>
          </cell>
          <cell r="E87" t="str">
            <v>ED Shifting</v>
          </cell>
          <cell r="G87" t="str">
            <v>Current</v>
          </cell>
          <cell r="H87">
            <v>2020</v>
          </cell>
          <cell r="I87">
            <v>2021</v>
          </cell>
        </row>
        <row r="88">
          <cell r="D88" t="str">
            <v>Current</v>
          </cell>
          <cell r="E88" t="str">
            <v>Redesigned</v>
          </cell>
          <cell r="G88" t="str">
            <v>Redesigned</v>
          </cell>
          <cell r="H88" t="str">
            <v>Proposed</v>
          </cell>
          <cell r="I88" t="str">
            <v>Proposed</v>
          </cell>
        </row>
        <row r="89">
          <cell r="B89">
            <v>1</v>
          </cell>
          <cell r="C89">
            <v>2</v>
          </cell>
          <cell r="D89">
            <v>3</v>
          </cell>
          <cell r="E89">
            <v>4</v>
          </cell>
          <cell r="F89">
            <v>5</v>
          </cell>
          <cell r="G89">
            <v>6</v>
          </cell>
          <cell r="H89">
            <v>7</v>
          </cell>
          <cell r="I89">
            <v>8</v>
          </cell>
          <cell r="J89">
            <v>9</v>
          </cell>
        </row>
        <row r="90">
          <cell r="B90" t="str">
            <v>SC1 Rate I - Cust Charge</v>
          </cell>
          <cell r="D90">
            <v>15.76</v>
          </cell>
          <cell r="E90">
            <v>15.76</v>
          </cell>
          <cell r="G90">
            <v>15.76</v>
          </cell>
          <cell r="H90">
            <v>16</v>
          </cell>
          <cell r="I90">
            <v>16.5</v>
          </cell>
        </row>
        <row r="91">
          <cell r="B91" t="str">
            <v>SC1(LI) Rate I - Cust Charge</v>
          </cell>
          <cell r="D91">
            <v>15.76</v>
          </cell>
          <cell r="E91">
            <v>15.76</v>
          </cell>
          <cell r="G91">
            <v>15.76</v>
          </cell>
          <cell r="H91">
            <v>16</v>
          </cell>
          <cell r="I91">
            <v>16.5</v>
          </cell>
        </row>
        <row r="92">
          <cell r="B92" t="str">
            <v>SC1 Rate II - Cust Charge</v>
          </cell>
          <cell r="D92">
            <v>24.3</v>
          </cell>
          <cell r="E92">
            <v>24.3</v>
          </cell>
          <cell r="G92">
            <v>24.3</v>
          </cell>
          <cell r="H92">
            <v>20.46</v>
          </cell>
          <cell r="I92">
            <v>20.96</v>
          </cell>
        </row>
        <row r="93">
          <cell r="B93" t="str">
            <v>SC1 Rate III - Cust Charge</v>
          </cell>
          <cell r="D93">
            <v>19.87</v>
          </cell>
          <cell r="E93">
            <v>19.87</v>
          </cell>
          <cell r="G93">
            <v>19.87</v>
          </cell>
          <cell r="H93">
            <v>20.46</v>
          </cell>
          <cell r="I93">
            <v>20.96</v>
          </cell>
        </row>
        <row r="94">
          <cell r="B94" t="str">
            <v>SC2 Rate I - Cust Charge</v>
          </cell>
          <cell r="D94">
            <v>26.01</v>
          </cell>
          <cell r="E94">
            <v>26.01</v>
          </cell>
          <cell r="G94">
            <v>26.01</v>
          </cell>
          <cell r="H94">
            <v>28.1</v>
          </cell>
          <cell r="I94">
            <v>28.1</v>
          </cell>
        </row>
        <row r="95">
          <cell r="B95" t="str">
            <v>SC2 Rate II - Cust Charge</v>
          </cell>
          <cell r="D95">
            <v>30.12</v>
          </cell>
          <cell r="E95">
            <v>30.12</v>
          </cell>
          <cell r="G95">
            <v>30.12</v>
          </cell>
          <cell r="H95">
            <v>32.56</v>
          </cell>
          <cell r="I95">
            <v>32.56</v>
          </cell>
        </row>
        <row r="96">
          <cell r="B96" t="str">
            <v>SC6 - Cust Charge</v>
          </cell>
          <cell r="D96">
            <v>33.89</v>
          </cell>
          <cell r="E96">
            <v>33.89</v>
          </cell>
          <cell r="G96">
            <v>33.89</v>
          </cell>
          <cell r="H96">
            <v>36.6</v>
          </cell>
          <cell r="I96">
            <v>36.6</v>
          </cell>
        </row>
        <row r="98">
          <cell r="I98">
            <v>3</v>
          </cell>
          <cell r="P98">
            <v>0</v>
          </cell>
        </row>
        <row r="99">
          <cell r="E99">
            <v>0.05</v>
          </cell>
          <cell r="I99">
            <v>0.05</v>
          </cell>
          <cell r="P99" t="str">
            <v>N</v>
          </cell>
        </row>
        <row r="102">
          <cell r="D102">
            <v>2019</v>
          </cell>
          <cell r="E102" t="str">
            <v>ED Shifting</v>
          </cell>
          <cell r="G102" t="str">
            <v>Current(RY1)</v>
          </cell>
          <cell r="H102" t="str">
            <v>Current(RY2)</v>
          </cell>
          <cell r="I102" t="str">
            <v>Current(RY3)</v>
          </cell>
          <cell r="J102">
            <v>2020</v>
          </cell>
          <cell r="K102">
            <v>2021</v>
          </cell>
          <cell r="M102">
            <v>2022</v>
          </cell>
          <cell r="O102" t="str">
            <v>Current(RY1)</v>
          </cell>
          <cell r="P102" t="str">
            <v>Current(RY2)</v>
          </cell>
          <cell r="Q102" t="str">
            <v>Current(RY3)</v>
          </cell>
        </row>
        <row r="103">
          <cell r="D103" t="str">
            <v>Current</v>
          </cell>
          <cell r="E103" t="str">
            <v>Redesigned</v>
          </cell>
          <cell r="G103" t="str">
            <v>Redesigned</v>
          </cell>
          <cell r="H103" t="str">
            <v>Redesigned</v>
          </cell>
          <cell r="I103" t="str">
            <v>Redesigned</v>
          </cell>
          <cell r="J103" t="str">
            <v>Proposed</v>
          </cell>
          <cell r="K103" t="str">
            <v>Proposed</v>
          </cell>
          <cell r="M103" t="str">
            <v>Proposed</v>
          </cell>
          <cell r="O103" t="str">
            <v>Redesigned</v>
          </cell>
          <cell r="P103" t="str">
            <v>Redesigned</v>
          </cell>
          <cell r="Q103" t="str">
            <v>Redesigned</v>
          </cell>
        </row>
        <row r="104">
          <cell r="B104">
            <v>1</v>
          </cell>
          <cell r="C104">
            <v>2</v>
          </cell>
          <cell r="D104">
            <v>3</v>
          </cell>
          <cell r="E104">
            <v>4</v>
          </cell>
          <cell r="F104">
            <v>5</v>
          </cell>
          <cell r="G104">
            <v>6</v>
          </cell>
          <cell r="H104">
            <v>7</v>
          </cell>
          <cell r="I104">
            <v>8</v>
          </cell>
          <cell r="J104">
            <v>9</v>
          </cell>
          <cell r="K104">
            <v>10</v>
          </cell>
          <cell r="L104">
            <v>11</v>
          </cell>
          <cell r="M104">
            <v>12</v>
          </cell>
          <cell r="O104">
            <v>14</v>
          </cell>
          <cell r="P104">
            <v>15</v>
          </cell>
          <cell r="Q104">
            <v>16</v>
          </cell>
        </row>
        <row r="105">
          <cell r="B105" t="str">
            <v>SC1 Rate I Summer_Blk1</v>
          </cell>
          <cell r="D105">
            <v>0.10817</v>
          </cell>
          <cell r="E105">
            <v>0.10817</v>
          </cell>
          <cell r="G105">
            <v>0.10817</v>
          </cell>
          <cell r="H105">
            <v>0.10817</v>
          </cell>
          <cell r="I105">
            <v>0.10817</v>
          </cell>
          <cell r="J105">
            <v>0.11125</v>
          </cell>
          <cell r="K105">
            <v>0.11976000000000001</v>
          </cell>
          <cell r="M105">
            <v>0.12731999999999999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SC1 Rate I Summer_Blk2</v>
          </cell>
          <cell r="D106">
            <v>0.12434000000000001</v>
          </cell>
          <cell r="E106">
            <v>0.12434000000000001</v>
          </cell>
          <cell r="G106">
            <v>0.12434000000000001</v>
          </cell>
          <cell r="H106">
            <v>0.12434000000000001</v>
          </cell>
          <cell r="I106">
            <v>0.12434000000000001</v>
          </cell>
          <cell r="J106">
            <v>0.12787999999999999</v>
          </cell>
          <cell r="K106">
            <v>0.13766</v>
          </cell>
          <cell r="M106">
            <v>0.14634999999999998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SC1 Rate I Winter_Blk1</v>
          </cell>
          <cell r="D107">
            <v>0.10817</v>
          </cell>
          <cell r="E107">
            <v>0.10817</v>
          </cell>
          <cell r="G107">
            <v>0.10817</v>
          </cell>
          <cell r="H107">
            <v>0.10817</v>
          </cell>
          <cell r="I107">
            <v>0.10817</v>
          </cell>
          <cell r="J107">
            <v>0.11125</v>
          </cell>
          <cell r="K107">
            <v>0.11976000000000001</v>
          </cell>
          <cell r="M107">
            <v>0.12731999999999999</v>
          </cell>
          <cell r="O107">
            <v>0</v>
          </cell>
          <cell r="P107">
            <v>0</v>
          </cell>
          <cell r="Q107">
            <v>0</v>
          </cell>
        </row>
        <row r="108">
          <cell r="B108" t="str">
            <v>SC1 Rate I Winter_Blk2</v>
          </cell>
          <cell r="D108">
            <v>0.10817</v>
          </cell>
          <cell r="E108">
            <v>0.10817</v>
          </cell>
          <cell r="G108">
            <v>0.10817</v>
          </cell>
          <cell r="H108">
            <v>0.10817</v>
          </cell>
          <cell r="I108">
            <v>0.10817</v>
          </cell>
          <cell r="J108">
            <v>0.11125</v>
          </cell>
          <cell r="K108">
            <v>0.11976000000000001</v>
          </cell>
          <cell r="M108">
            <v>0.12731999999999999</v>
          </cell>
          <cell r="O108">
            <v>0</v>
          </cell>
          <cell r="P108">
            <v>0</v>
          </cell>
          <cell r="Q108">
            <v>0</v>
          </cell>
        </row>
        <row r="109">
          <cell r="B109" t="str">
            <v>SC1 Rate II Summer_OnPeak</v>
          </cell>
          <cell r="D109">
            <v>0.36759999999999998</v>
          </cell>
          <cell r="E109">
            <v>0.36759999999999998</v>
          </cell>
          <cell r="G109">
            <v>0.36759999999999998</v>
          </cell>
          <cell r="H109">
            <v>0.36759999999999998</v>
          </cell>
          <cell r="I109">
            <v>0.36759999999999998</v>
          </cell>
          <cell r="J109">
            <v>0.4007</v>
          </cell>
          <cell r="K109">
            <v>0.43480000000000002</v>
          </cell>
          <cell r="M109">
            <v>0.46509999999999996</v>
          </cell>
          <cell r="O109">
            <v>0</v>
          </cell>
          <cell r="P109">
            <v>0</v>
          </cell>
          <cell r="Q109">
            <v>0</v>
          </cell>
        </row>
        <row r="110">
          <cell r="B110" t="str">
            <v>SC1 Rate II Summer_OffPeak</v>
          </cell>
          <cell r="D110">
            <v>1.41E-2</v>
          </cell>
          <cell r="E110">
            <v>1.41E-2</v>
          </cell>
          <cell r="G110">
            <v>1.41E-2</v>
          </cell>
          <cell r="H110">
            <v>1.41E-2</v>
          </cell>
          <cell r="I110">
            <v>1.41E-2</v>
          </cell>
          <cell r="J110">
            <v>1.54E-2</v>
          </cell>
          <cell r="K110">
            <v>1.67E-2</v>
          </cell>
          <cell r="M110">
            <v>1.78E-2</v>
          </cell>
          <cell r="O110">
            <v>0</v>
          </cell>
          <cell r="P110">
            <v>0</v>
          </cell>
          <cell r="Q110">
            <v>0</v>
          </cell>
        </row>
        <row r="111">
          <cell r="B111" t="str">
            <v>SC1 Rate II Winter_OnPeak</v>
          </cell>
          <cell r="D111">
            <v>0.13339999999999999</v>
          </cell>
          <cell r="E111">
            <v>0.13339999999999999</v>
          </cell>
          <cell r="G111">
            <v>0.13339999999999999</v>
          </cell>
          <cell r="H111">
            <v>0.13339999999999999</v>
          </cell>
          <cell r="I111">
            <v>0.13339999999999999</v>
          </cell>
          <cell r="J111">
            <v>0.1454</v>
          </cell>
          <cell r="K111">
            <v>0.1578</v>
          </cell>
          <cell r="M111">
            <v>0.16870000000000002</v>
          </cell>
          <cell r="O111">
            <v>0</v>
          </cell>
          <cell r="P111">
            <v>0</v>
          </cell>
          <cell r="Q111">
            <v>0</v>
          </cell>
        </row>
        <row r="112">
          <cell r="B112" t="str">
            <v>SC1 Rate II Winter_OffPeak</v>
          </cell>
          <cell r="D112">
            <v>1.41E-2</v>
          </cell>
          <cell r="E112">
            <v>1.41E-2</v>
          </cell>
          <cell r="G112">
            <v>1.41E-2</v>
          </cell>
          <cell r="H112">
            <v>1.41E-2</v>
          </cell>
          <cell r="I112">
            <v>1.41E-2</v>
          </cell>
          <cell r="J112">
            <v>1.54E-2</v>
          </cell>
          <cell r="K112">
            <v>1.67E-2</v>
          </cell>
          <cell r="M112">
            <v>1.78E-2</v>
          </cell>
          <cell r="O112">
            <v>0</v>
          </cell>
          <cell r="P112">
            <v>0</v>
          </cell>
          <cell r="Q112">
            <v>0</v>
          </cell>
        </row>
        <row r="113">
          <cell r="B113" t="str">
            <v>SC1 Rate III Summer_OnPeak</v>
          </cell>
          <cell r="D113">
            <v>0.23070000000000002</v>
          </cell>
          <cell r="E113">
            <v>0.23070000000000002</v>
          </cell>
          <cell r="G113">
            <v>0.23070000000000002</v>
          </cell>
          <cell r="H113">
            <v>0.23070000000000002</v>
          </cell>
          <cell r="I113">
            <v>0.23070000000000002</v>
          </cell>
          <cell r="J113">
            <v>0.21970000000000001</v>
          </cell>
          <cell r="K113">
            <v>0.2384</v>
          </cell>
          <cell r="M113">
            <v>0.255</v>
          </cell>
          <cell r="O113">
            <v>0</v>
          </cell>
          <cell r="P113">
            <v>0</v>
          </cell>
          <cell r="Q113">
            <v>0</v>
          </cell>
        </row>
        <row r="114">
          <cell r="B114" t="str">
            <v>SC1 Rate III Summer_OffPeak</v>
          </cell>
          <cell r="D114">
            <v>1.6299999999999999E-2</v>
          </cell>
          <cell r="E114">
            <v>1.6299999999999999E-2</v>
          </cell>
          <cell r="G114">
            <v>1.6299999999999999E-2</v>
          </cell>
          <cell r="H114">
            <v>1.6299999999999999E-2</v>
          </cell>
          <cell r="I114">
            <v>1.6299999999999999E-2</v>
          </cell>
          <cell r="J114">
            <v>1.55E-2</v>
          </cell>
          <cell r="K114">
            <v>1.6799999999999999E-2</v>
          </cell>
          <cell r="M114">
            <v>1.7999999999999999E-2</v>
          </cell>
          <cell r="O114">
            <v>0</v>
          </cell>
          <cell r="P114">
            <v>0</v>
          </cell>
          <cell r="Q114">
            <v>0</v>
          </cell>
        </row>
        <row r="115">
          <cell r="B115" t="str">
            <v>SC1 Rate III Winter_OnPeak</v>
          </cell>
          <cell r="D115">
            <v>8.539999999999999E-2</v>
          </cell>
          <cell r="E115">
            <v>8.539999999999999E-2</v>
          </cell>
          <cell r="G115">
            <v>8.539999999999999E-2</v>
          </cell>
          <cell r="H115">
            <v>8.539999999999999E-2</v>
          </cell>
          <cell r="I115">
            <v>8.539999999999999E-2</v>
          </cell>
          <cell r="J115">
            <v>8.1299999999999997E-2</v>
          </cell>
          <cell r="K115">
            <v>8.8200000000000001E-2</v>
          </cell>
          <cell r="M115">
            <v>9.4399999999999998E-2</v>
          </cell>
          <cell r="O115">
            <v>0</v>
          </cell>
          <cell r="P115">
            <v>0</v>
          </cell>
          <cell r="Q115">
            <v>0</v>
          </cell>
        </row>
        <row r="116">
          <cell r="B116" t="str">
            <v>SC1 Rate III Winter_OffPeak</v>
          </cell>
          <cell r="D116">
            <v>1.6299999999999999E-2</v>
          </cell>
          <cell r="E116">
            <v>1.6299999999999999E-2</v>
          </cell>
          <cell r="G116">
            <v>1.6299999999999999E-2</v>
          </cell>
          <cell r="H116">
            <v>1.6299999999999999E-2</v>
          </cell>
          <cell r="I116">
            <v>1.6299999999999999E-2</v>
          </cell>
          <cell r="J116">
            <v>1.55E-2</v>
          </cell>
          <cell r="K116">
            <v>1.6799999999999999E-2</v>
          </cell>
          <cell r="M116">
            <v>1.7999999999999999E-2</v>
          </cell>
          <cell r="O116">
            <v>0</v>
          </cell>
          <cell r="P116">
            <v>0</v>
          </cell>
          <cell r="Q116">
            <v>0</v>
          </cell>
        </row>
        <row r="117">
          <cell r="B117" t="str">
            <v>SC2 Rate I Summer_Blk1</v>
          </cell>
          <cell r="D117">
            <v>0.1321</v>
          </cell>
          <cell r="E117">
            <v>0.1321</v>
          </cell>
          <cell r="G117">
            <v>0.1321</v>
          </cell>
          <cell r="H117">
            <v>0.1321</v>
          </cell>
          <cell r="I117">
            <v>0.1321</v>
          </cell>
          <cell r="J117">
            <v>0.13400000000000001</v>
          </cell>
          <cell r="K117">
            <v>0.14680000000000001</v>
          </cell>
          <cell r="M117">
            <v>0.15840000000000001</v>
          </cell>
          <cell r="O117">
            <v>0</v>
          </cell>
          <cell r="P117">
            <v>0</v>
          </cell>
          <cell r="Q117">
            <v>0</v>
          </cell>
        </row>
        <row r="118">
          <cell r="B118" t="str">
            <v>SC2 Rate I Summer_Blk2</v>
          </cell>
          <cell r="D118">
            <v>0.1321</v>
          </cell>
          <cell r="E118">
            <v>0.1321</v>
          </cell>
          <cell r="G118">
            <v>0.1321</v>
          </cell>
          <cell r="H118">
            <v>0.1321</v>
          </cell>
          <cell r="I118">
            <v>0.1321</v>
          </cell>
          <cell r="J118">
            <v>0.13400000000000001</v>
          </cell>
          <cell r="K118">
            <v>0.14680000000000001</v>
          </cell>
          <cell r="M118">
            <v>0.15840000000000001</v>
          </cell>
          <cell r="O118">
            <v>0</v>
          </cell>
          <cell r="P118">
            <v>0</v>
          </cell>
          <cell r="Q118">
            <v>0</v>
          </cell>
        </row>
        <row r="119">
          <cell r="B119" t="str">
            <v>SC2 Rate I Winter_Blk1</v>
          </cell>
          <cell r="D119">
            <v>0.1109</v>
          </cell>
          <cell r="E119">
            <v>0.1109</v>
          </cell>
          <cell r="G119">
            <v>0.1109</v>
          </cell>
          <cell r="H119">
            <v>0.1109</v>
          </cell>
          <cell r="I119">
            <v>0.1109</v>
          </cell>
          <cell r="J119">
            <v>0.1125</v>
          </cell>
          <cell r="K119">
            <v>0.1232</v>
          </cell>
          <cell r="M119">
            <v>0.13300000000000001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SC2 Rate I Winter_Blk2</v>
          </cell>
          <cell r="D120">
            <v>0.1109</v>
          </cell>
          <cell r="E120">
            <v>0.1109</v>
          </cell>
          <cell r="G120">
            <v>0.1109</v>
          </cell>
          <cell r="H120">
            <v>0.1109</v>
          </cell>
          <cell r="I120">
            <v>0.1109</v>
          </cell>
          <cell r="J120">
            <v>0.1125</v>
          </cell>
          <cell r="K120">
            <v>0.1232</v>
          </cell>
          <cell r="M120">
            <v>0.13300000000000001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SC2 Rate II Summer_OnPeak</v>
          </cell>
          <cell r="D121">
            <v>0.3115</v>
          </cell>
          <cell r="E121">
            <v>0.3115</v>
          </cell>
          <cell r="G121">
            <v>0.3115</v>
          </cell>
          <cell r="H121">
            <v>0.3115</v>
          </cell>
          <cell r="I121">
            <v>0.3115</v>
          </cell>
          <cell r="J121">
            <v>0.3155</v>
          </cell>
          <cell r="K121">
            <v>0.34839999999999999</v>
          </cell>
          <cell r="M121">
            <v>0.37819999999999998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SC2 Rate II Summer_OffPeak</v>
          </cell>
          <cell r="D122">
            <v>1.14E-2</v>
          </cell>
          <cell r="E122">
            <v>1.14E-2</v>
          </cell>
          <cell r="G122">
            <v>1.14E-2</v>
          </cell>
          <cell r="H122">
            <v>1.14E-2</v>
          </cell>
          <cell r="I122">
            <v>1.14E-2</v>
          </cell>
          <cell r="J122">
            <v>1.15E-2</v>
          </cell>
          <cell r="K122">
            <v>1.2800000000000001E-2</v>
          </cell>
          <cell r="M122">
            <v>1.38E-2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SC2 Rate II Winter_OnPeak</v>
          </cell>
          <cell r="D123">
            <v>0.15339999999999998</v>
          </cell>
          <cell r="E123">
            <v>0.15339999999999998</v>
          </cell>
          <cell r="G123">
            <v>0.15339999999999998</v>
          </cell>
          <cell r="H123">
            <v>0.15339999999999998</v>
          </cell>
          <cell r="I123">
            <v>0.15339999999999998</v>
          </cell>
          <cell r="J123">
            <v>0.15530000000000002</v>
          </cell>
          <cell r="K123">
            <v>0.1716</v>
          </cell>
          <cell r="M123">
            <v>0.1862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SC2 Rate II Winter_OffPeak</v>
          </cell>
          <cell r="D124">
            <v>1.14E-2</v>
          </cell>
          <cell r="E124">
            <v>1.14E-2</v>
          </cell>
          <cell r="G124">
            <v>1.14E-2</v>
          </cell>
          <cell r="H124">
            <v>1.14E-2</v>
          </cell>
          <cell r="I124">
            <v>1.14E-2</v>
          </cell>
          <cell r="J124">
            <v>1.15E-2</v>
          </cell>
          <cell r="K124">
            <v>1.2800000000000001E-2</v>
          </cell>
          <cell r="M124">
            <v>1.38E-2</v>
          </cell>
          <cell r="O124">
            <v>0</v>
          </cell>
          <cell r="P124">
            <v>0</v>
          </cell>
          <cell r="Q124">
            <v>0</v>
          </cell>
        </row>
        <row r="125">
          <cell r="B125" t="str">
            <v>SC5 Rate I LT Energy (Summer)</v>
          </cell>
          <cell r="D125">
            <v>3.9899999999999998E-2</v>
          </cell>
          <cell r="E125">
            <v>3.7900000000000003E-2</v>
          </cell>
          <cell r="G125">
            <v>3.7900000000000003E-2</v>
          </cell>
          <cell r="H125">
            <v>3.7900000000000003E-2</v>
          </cell>
          <cell r="I125">
            <v>3.7900000000000003E-2</v>
          </cell>
          <cell r="J125">
            <v>3.7900000000000003E-2</v>
          </cell>
          <cell r="K125">
            <v>3.7900000000000003E-2</v>
          </cell>
          <cell r="M125">
            <v>3.7900000000000003E-2</v>
          </cell>
          <cell r="O125">
            <v>0</v>
          </cell>
          <cell r="P125">
            <v>0</v>
          </cell>
          <cell r="Q125">
            <v>0</v>
          </cell>
        </row>
        <row r="126">
          <cell r="B126" t="str">
            <v>SC5 Rate I LT Energy (Winter)</v>
          </cell>
          <cell r="D126">
            <v>3.9899999999999998E-2</v>
          </cell>
          <cell r="E126">
            <v>3.7900000000000003E-2</v>
          </cell>
          <cell r="G126">
            <v>3.7900000000000003E-2</v>
          </cell>
          <cell r="H126">
            <v>3.7900000000000003E-2</v>
          </cell>
          <cell r="I126">
            <v>3.7900000000000003E-2</v>
          </cell>
          <cell r="J126">
            <v>3.7900000000000003E-2</v>
          </cell>
          <cell r="K126">
            <v>3.7900000000000003E-2</v>
          </cell>
          <cell r="M126">
            <v>3.7900000000000003E-2</v>
          </cell>
          <cell r="O126">
            <v>0</v>
          </cell>
          <cell r="P126">
            <v>0</v>
          </cell>
          <cell r="Q126">
            <v>0</v>
          </cell>
        </row>
        <row r="127">
          <cell r="B127" t="str">
            <v>SC5 Rate I LT Demand_Blk1 (Summer)</v>
          </cell>
          <cell r="D127">
            <v>173</v>
          </cell>
          <cell r="E127">
            <v>178.73</v>
          </cell>
          <cell r="G127">
            <v>178.73</v>
          </cell>
          <cell r="H127">
            <v>178.73</v>
          </cell>
          <cell r="I127">
            <v>178.73</v>
          </cell>
          <cell r="J127">
            <v>212.21</v>
          </cell>
          <cell r="K127">
            <v>251.98</v>
          </cell>
          <cell r="M127">
            <v>290.58</v>
          </cell>
          <cell r="O127">
            <v>0</v>
          </cell>
          <cell r="P127">
            <v>0</v>
          </cell>
          <cell r="Q127">
            <v>0</v>
          </cell>
        </row>
        <row r="128">
          <cell r="B128" t="str">
            <v>SC5 Rate I LT Demand_Blk2 (Summer)</v>
          </cell>
          <cell r="D128">
            <v>30.36</v>
          </cell>
          <cell r="E128">
            <v>31.369999999999997</v>
          </cell>
          <cell r="G128">
            <v>31.369999999999997</v>
          </cell>
          <cell r="H128">
            <v>31.369999999999997</v>
          </cell>
          <cell r="I128">
            <v>31.369999999999997</v>
          </cell>
          <cell r="J128">
            <v>34.659999999999997</v>
          </cell>
          <cell r="K128">
            <v>41.64</v>
          </cell>
          <cell r="M128">
            <v>48.42</v>
          </cell>
          <cell r="O128">
            <v>0</v>
          </cell>
          <cell r="P128">
            <v>0</v>
          </cell>
          <cell r="Q128">
            <v>0</v>
          </cell>
        </row>
        <row r="129">
          <cell r="B129" t="str">
            <v>SC5 Rate I LT Demand_Blk1 (Winter)</v>
          </cell>
          <cell r="D129">
            <v>110.99</v>
          </cell>
          <cell r="E129">
            <v>114.67</v>
          </cell>
          <cell r="G129">
            <v>114.67</v>
          </cell>
          <cell r="H129">
            <v>114.67</v>
          </cell>
          <cell r="I129">
            <v>114.67</v>
          </cell>
          <cell r="J129">
            <v>139.19999999999999</v>
          </cell>
          <cell r="K129">
            <v>164.72</v>
          </cell>
          <cell r="M129">
            <v>189.49</v>
          </cell>
          <cell r="O129">
            <v>0</v>
          </cell>
          <cell r="P129">
            <v>0</v>
          </cell>
          <cell r="Q129">
            <v>0</v>
          </cell>
        </row>
        <row r="130">
          <cell r="B130" t="str">
            <v>SC5 Rate I LT Demand_Blk2 (Winter)</v>
          </cell>
          <cell r="D130">
            <v>19.329999999999998</v>
          </cell>
          <cell r="E130">
            <v>19.97</v>
          </cell>
          <cell r="G130">
            <v>19.97</v>
          </cell>
          <cell r="H130">
            <v>19.97</v>
          </cell>
          <cell r="I130">
            <v>19.97</v>
          </cell>
          <cell r="J130">
            <v>22.06</v>
          </cell>
          <cell r="K130">
            <v>26.51</v>
          </cell>
          <cell r="M130">
            <v>30.82</v>
          </cell>
          <cell r="O130">
            <v>0</v>
          </cell>
          <cell r="P130">
            <v>0</v>
          </cell>
          <cell r="Q130">
            <v>0</v>
          </cell>
        </row>
        <row r="131">
          <cell r="B131" t="str">
            <v>SC5 Rate I HT Energy (Summer)</v>
          </cell>
          <cell r="D131">
            <v>3.9899999999999998E-2</v>
          </cell>
          <cell r="E131">
            <v>3.7900000000000003E-2</v>
          </cell>
          <cell r="G131">
            <v>3.7900000000000003E-2</v>
          </cell>
          <cell r="H131">
            <v>3.7900000000000003E-2</v>
          </cell>
          <cell r="I131">
            <v>3.7900000000000003E-2</v>
          </cell>
          <cell r="J131">
            <v>3.7900000000000003E-2</v>
          </cell>
          <cell r="K131">
            <v>3.7900000000000003E-2</v>
          </cell>
          <cell r="M131">
            <v>3.7900000000000003E-2</v>
          </cell>
          <cell r="O131">
            <v>0</v>
          </cell>
          <cell r="P131">
            <v>0</v>
          </cell>
          <cell r="Q131">
            <v>0</v>
          </cell>
        </row>
        <row r="132">
          <cell r="B132" t="str">
            <v>SC5 Rate I HT Energy (Winter)</v>
          </cell>
          <cell r="D132">
            <v>3.9899999999999998E-2</v>
          </cell>
          <cell r="E132">
            <v>3.7900000000000003E-2</v>
          </cell>
          <cell r="G132">
            <v>3.7900000000000003E-2</v>
          </cell>
          <cell r="H132">
            <v>3.7900000000000003E-2</v>
          </cell>
          <cell r="I132">
            <v>3.7900000000000003E-2</v>
          </cell>
          <cell r="J132">
            <v>3.7900000000000003E-2</v>
          </cell>
          <cell r="K132">
            <v>3.7900000000000003E-2</v>
          </cell>
          <cell r="M132">
            <v>3.7900000000000003E-2</v>
          </cell>
          <cell r="O132">
            <v>0</v>
          </cell>
          <cell r="P132">
            <v>0</v>
          </cell>
          <cell r="Q132">
            <v>0</v>
          </cell>
        </row>
        <row r="133">
          <cell r="B133" t="str">
            <v>SC5 Rate I HT Demand_Blk1 (Summer)</v>
          </cell>
          <cell r="D133">
            <v>131.93</v>
          </cell>
          <cell r="E133">
            <v>136.30000000000001</v>
          </cell>
          <cell r="G133">
            <v>136.30000000000001</v>
          </cell>
          <cell r="H133">
            <v>136.30000000000001</v>
          </cell>
          <cell r="I133">
            <v>136.30000000000001</v>
          </cell>
          <cell r="J133">
            <v>163.85</v>
          </cell>
          <cell r="K133">
            <v>194.19</v>
          </cell>
          <cell r="M133">
            <v>223.62</v>
          </cell>
          <cell r="O133">
            <v>0</v>
          </cell>
          <cell r="P133">
            <v>0</v>
          </cell>
          <cell r="Q133">
            <v>0</v>
          </cell>
        </row>
        <row r="134">
          <cell r="B134" t="str">
            <v>SC5 Rate I HT Demand_Blk2 (Summer)</v>
          </cell>
          <cell r="D134">
            <v>23.049999999999997</v>
          </cell>
          <cell r="E134">
            <v>23.81</v>
          </cell>
          <cell r="G134">
            <v>23.81</v>
          </cell>
          <cell r="H134">
            <v>23.81</v>
          </cell>
          <cell r="I134">
            <v>23.81</v>
          </cell>
          <cell r="J134">
            <v>26.299999999999997</v>
          </cell>
          <cell r="K134">
            <v>31.61</v>
          </cell>
          <cell r="M134">
            <v>36.75</v>
          </cell>
          <cell r="O134">
            <v>0</v>
          </cell>
          <cell r="P134">
            <v>0</v>
          </cell>
          <cell r="Q134">
            <v>0</v>
          </cell>
        </row>
        <row r="135">
          <cell r="B135" t="str">
            <v>SC5 Rate I HT Demand_Blk1 (Winter)</v>
          </cell>
          <cell r="D135">
            <v>69.91</v>
          </cell>
          <cell r="E135">
            <v>72.23</v>
          </cell>
          <cell r="G135">
            <v>72.23</v>
          </cell>
          <cell r="H135">
            <v>72.23</v>
          </cell>
          <cell r="I135">
            <v>72.23</v>
          </cell>
          <cell r="J135">
            <v>90.84</v>
          </cell>
          <cell r="K135">
            <v>106.91</v>
          </cell>
          <cell r="M135">
            <v>122.51</v>
          </cell>
          <cell r="O135">
            <v>0</v>
          </cell>
          <cell r="P135">
            <v>0</v>
          </cell>
          <cell r="Q135">
            <v>0</v>
          </cell>
        </row>
        <row r="136">
          <cell r="B136" t="str">
            <v>SC5 Rate I HT Demand_Blk2 (Winter)</v>
          </cell>
          <cell r="D136">
            <v>12.009999999999998</v>
          </cell>
          <cell r="E136">
            <v>12.41</v>
          </cell>
          <cell r="G136">
            <v>12.41</v>
          </cell>
          <cell r="H136">
            <v>12.41</v>
          </cell>
          <cell r="I136">
            <v>12.41</v>
          </cell>
          <cell r="J136">
            <v>13.709999999999999</v>
          </cell>
          <cell r="K136">
            <v>16.470000000000002</v>
          </cell>
          <cell r="M136">
            <v>19.149999999999999</v>
          </cell>
          <cell r="O136">
            <v>0</v>
          </cell>
          <cell r="P136">
            <v>0</v>
          </cell>
          <cell r="Q136">
            <v>0</v>
          </cell>
        </row>
        <row r="137">
          <cell r="B137" t="str">
            <v>SC6 (Summer)</v>
          </cell>
          <cell r="D137">
            <v>5.6899999999999999E-2</v>
          </cell>
          <cell r="E137">
            <v>5.6899999999999999E-2</v>
          </cell>
          <cell r="G137">
            <v>5.6899999999999999E-2</v>
          </cell>
          <cell r="H137">
            <v>5.6899999999999999E-2</v>
          </cell>
          <cell r="I137">
            <v>5.6899999999999999E-2</v>
          </cell>
          <cell r="J137">
            <v>6.93E-2</v>
          </cell>
          <cell r="K137">
            <v>0.106</v>
          </cell>
          <cell r="M137">
            <v>0.14149999999999999</v>
          </cell>
          <cell r="O137">
            <v>0</v>
          </cell>
          <cell r="P137">
            <v>0</v>
          </cell>
          <cell r="Q137">
            <v>0</v>
          </cell>
        </row>
        <row r="138">
          <cell r="B138" t="str">
            <v>SC6 (Winter)</v>
          </cell>
          <cell r="D138">
            <v>5.6899999999999999E-2</v>
          </cell>
          <cell r="E138">
            <v>5.6899999999999999E-2</v>
          </cell>
          <cell r="G138">
            <v>5.6899999999999999E-2</v>
          </cell>
          <cell r="H138">
            <v>5.6899999999999999E-2</v>
          </cell>
          <cell r="I138">
            <v>5.6899999999999999E-2</v>
          </cell>
          <cell r="J138">
            <v>6.93E-2</v>
          </cell>
          <cell r="K138">
            <v>0.106</v>
          </cell>
          <cell r="M138">
            <v>0.14149999999999999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SC8 Rate I LT Energy (Summer)</v>
          </cell>
          <cell r="D139">
            <v>1.7600000000000001E-2</v>
          </cell>
          <cell r="E139">
            <v>1.67E-2</v>
          </cell>
          <cell r="G139">
            <v>1.67E-2</v>
          </cell>
          <cell r="H139">
            <v>1.67E-2</v>
          </cell>
          <cell r="I139">
            <v>1.67E-2</v>
          </cell>
          <cell r="J139">
            <v>1.67E-2</v>
          </cell>
          <cell r="K139">
            <v>1.67E-2</v>
          </cell>
          <cell r="M139">
            <v>1.67E-2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SC8 Rate I LT Energy (Winter)</v>
          </cell>
          <cell r="D140">
            <v>1.7600000000000001E-2</v>
          </cell>
          <cell r="E140">
            <v>1.67E-2</v>
          </cell>
          <cell r="G140">
            <v>1.67E-2</v>
          </cell>
          <cell r="H140">
            <v>1.67E-2</v>
          </cell>
          <cell r="I140">
            <v>1.67E-2</v>
          </cell>
          <cell r="J140">
            <v>1.67E-2</v>
          </cell>
          <cell r="K140">
            <v>1.67E-2</v>
          </cell>
          <cell r="M140">
            <v>1.67E-2</v>
          </cell>
          <cell r="O140">
            <v>0</v>
          </cell>
          <cell r="P140">
            <v>0</v>
          </cell>
          <cell r="Q140">
            <v>0</v>
          </cell>
        </row>
        <row r="141">
          <cell r="B141" t="str">
            <v>SC8 Rate I LT Demand_Blk1 (Summer)</v>
          </cell>
          <cell r="D141">
            <v>375.88</v>
          </cell>
          <cell r="E141">
            <v>380.53</v>
          </cell>
          <cell r="G141">
            <v>380.53</v>
          </cell>
          <cell r="H141">
            <v>380.53</v>
          </cell>
          <cell r="I141">
            <v>380.53</v>
          </cell>
          <cell r="J141">
            <v>400.92</v>
          </cell>
          <cell r="K141">
            <v>429.33</v>
          </cell>
          <cell r="M141">
            <v>454.74</v>
          </cell>
          <cell r="O141">
            <v>0</v>
          </cell>
          <cell r="P141">
            <v>0</v>
          </cell>
          <cell r="Q141">
            <v>0</v>
          </cell>
        </row>
        <row r="142">
          <cell r="B142" t="str">
            <v>SC8 Rate I LT Demand_Blk2 (Summer)</v>
          </cell>
          <cell r="D142">
            <v>33.9</v>
          </cell>
          <cell r="E142">
            <v>34.33</v>
          </cell>
          <cell r="G142">
            <v>34.32</v>
          </cell>
          <cell r="H142">
            <v>34.32</v>
          </cell>
          <cell r="I142">
            <v>34.32</v>
          </cell>
          <cell r="J142">
            <v>35.33</v>
          </cell>
          <cell r="K142">
            <v>37.89</v>
          </cell>
          <cell r="M142">
            <v>40.18</v>
          </cell>
          <cell r="O142">
            <v>0</v>
          </cell>
          <cell r="P142">
            <v>0</v>
          </cell>
          <cell r="Q142">
            <v>0</v>
          </cell>
        </row>
        <row r="143">
          <cell r="B143" t="str">
            <v>SC8 Rate I LT Demand_Blk1 (Winter)</v>
          </cell>
          <cell r="D143">
            <v>290.57</v>
          </cell>
          <cell r="E143">
            <v>294.16000000000003</v>
          </cell>
          <cell r="G143">
            <v>294.16000000000003</v>
          </cell>
          <cell r="H143">
            <v>294.16000000000003</v>
          </cell>
          <cell r="I143">
            <v>294.16000000000003</v>
          </cell>
          <cell r="J143">
            <v>312.42</v>
          </cell>
          <cell r="K143">
            <v>334.38</v>
          </cell>
          <cell r="M143">
            <v>354.02</v>
          </cell>
          <cell r="O143">
            <v>0</v>
          </cell>
          <cell r="P143">
            <v>0</v>
          </cell>
          <cell r="Q143">
            <v>0</v>
          </cell>
        </row>
        <row r="144">
          <cell r="B144" t="str">
            <v>SC8 Rate I LT Demand_Blk2 (Winter)</v>
          </cell>
          <cell r="D144">
            <v>26.19</v>
          </cell>
          <cell r="E144">
            <v>26.52</v>
          </cell>
          <cell r="G144">
            <v>26.51</v>
          </cell>
          <cell r="H144">
            <v>26.51</v>
          </cell>
          <cell r="I144">
            <v>26.51</v>
          </cell>
          <cell r="J144">
            <v>27.29</v>
          </cell>
          <cell r="K144">
            <v>29.27</v>
          </cell>
          <cell r="M144">
            <v>31.04</v>
          </cell>
          <cell r="O144">
            <v>0</v>
          </cell>
          <cell r="P144">
            <v>0</v>
          </cell>
          <cell r="Q144">
            <v>0</v>
          </cell>
        </row>
        <row r="145">
          <cell r="B145" t="str">
            <v>SC8 Rate I HT Energy (Summer)</v>
          </cell>
          <cell r="D145">
            <v>1.7600000000000001E-2</v>
          </cell>
          <cell r="E145">
            <v>1.67E-2</v>
          </cell>
          <cell r="G145">
            <v>1.67E-2</v>
          </cell>
          <cell r="H145">
            <v>1.67E-2</v>
          </cell>
          <cell r="I145">
            <v>1.67E-2</v>
          </cell>
          <cell r="J145">
            <v>1.67E-2</v>
          </cell>
          <cell r="K145">
            <v>1.67E-2</v>
          </cell>
          <cell r="M145">
            <v>1.67E-2</v>
          </cell>
          <cell r="O145">
            <v>0</v>
          </cell>
          <cell r="P145">
            <v>0</v>
          </cell>
          <cell r="Q145">
            <v>0</v>
          </cell>
        </row>
        <row r="146">
          <cell r="B146" t="str">
            <v>SC8 Rate I HT Energy (Winter)</v>
          </cell>
          <cell r="D146">
            <v>1.7600000000000001E-2</v>
          </cell>
          <cell r="E146">
            <v>1.67E-2</v>
          </cell>
          <cell r="G146">
            <v>1.67E-2</v>
          </cell>
          <cell r="H146">
            <v>1.67E-2</v>
          </cell>
          <cell r="I146">
            <v>1.67E-2</v>
          </cell>
          <cell r="J146">
            <v>1.67E-2</v>
          </cell>
          <cell r="K146">
            <v>1.67E-2</v>
          </cell>
          <cell r="M146">
            <v>1.67E-2</v>
          </cell>
          <cell r="O146">
            <v>0</v>
          </cell>
          <cell r="P146">
            <v>0</v>
          </cell>
          <cell r="Q146">
            <v>0</v>
          </cell>
        </row>
        <row r="147">
          <cell r="B147" t="str">
            <v>SC8 Rate I HT Demand_Blk1 (Summer)</v>
          </cell>
          <cell r="D147">
            <v>296.11</v>
          </cell>
          <cell r="E147">
            <v>299.77</v>
          </cell>
          <cell r="G147">
            <v>273.87</v>
          </cell>
          <cell r="H147">
            <v>273.87</v>
          </cell>
          <cell r="I147">
            <v>273.87</v>
          </cell>
          <cell r="J147">
            <v>291.63</v>
          </cell>
          <cell r="K147">
            <v>312.08</v>
          </cell>
          <cell r="M147">
            <v>330.36</v>
          </cell>
          <cell r="O147">
            <v>0</v>
          </cell>
          <cell r="P147">
            <v>0</v>
          </cell>
          <cell r="Q147">
            <v>0</v>
          </cell>
        </row>
        <row r="148">
          <cell r="B148" t="str">
            <v>SC8 Rate I HT Demand_Blk2 (Summer)</v>
          </cell>
          <cell r="D148">
            <v>26.700000000000003</v>
          </cell>
          <cell r="E148">
            <v>27.04</v>
          </cell>
          <cell r="G148">
            <v>24.69</v>
          </cell>
          <cell r="H148">
            <v>24.69</v>
          </cell>
          <cell r="I148">
            <v>24.69</v>
          </cell>
          <cell r="J148">
            <v>25.419999999999998</v>
          </cell>
          <cell r="K148">
            <v>27.259999999999998</v>
          </cell>
          <cell r="M148">
            <v>28.91</v>
          </cell>
          <cell r="O148">
            <v>0</v>
          </cell>
          <cell r="P148">
            <v>0</v>
          </cell>
          <cell r="Q148">
            <v>0</v>
          </cell>
        </row>
        <row r="149">
          <cell r="B149" t="str">
            <v>SC8 Rate I HT Demand_Blk1 (Winter)</v>
          </cell>
          <cell r="D149">
            <v>210.79</v>
          </cell>
          <cell r="E149">
            <v>213.4</v>
          </cell>
          <cell r="G149">
            <v>187.5</v>
          </cell>
          <cell r="H149">
            <v>187.5</v>
          </cell>
          <cell r="I149">
            <v>187.5</v>
          </cell>
          <cell r="J149">
            <v>203.13</v>
          </cell>
          <cell r="K149">
            <v>217.13</v>
          </cell>
          <cell r="M149">
            <v>229.64</v>
          </cell>
          <cell r="O149">
            <v>0</v>
          </cell>
          <cell r="P149">
            <v>0</v>
          </cell>
          <cell r="Q149">
            <v>0</v>
          </cell>
        </row>
        <row r="150">
          <cell r="B150" t="str">
            <v>SC8 Rate I HT Demand_Blk2 (Winter)</v>
          </cell>
          <cell r="D150">
            <v>18.970000000000002</v>
          </cell>
          <cell r="E150">
            <v>19.21</v>
          </cell>
          <cell r="G150">
            <v>16.860000000000003</v>
          </cell>
          <cell r="H150">
            <v>16.860000000000003</v>
          </cell>
          <cell r="I150">
            <v>16.860000000000003</v>
          </cell>
          <cell r="J150">
            <v>17.36</v>
          </cell>
          <cell r="K150">
            <v>18.619999999999997</v>
          </cell>
          <cell r="M150">
            <v>19.739999999999998</v>
          </cell>
          <cell r="O150">
            <v>0</v>
          </cell>
          <cell r="P150">
            <v>0</v>
          </cell>
          <cell r="Q150">
            <v>0</v>
          </cell>
        </row>
        <row r="151">
          <cell r="B151" t="str">
            <v>SC9 Rate I LT Energy (Summer)</v>
          </cell>
          <cell r="D151">
            <v>2.2100000000000002E-2</v>
          </cell>
          <cell r="E151">
            <v>2.1000000000000001E-2</v>
          </cell>
          <cell r="G151">
            <v>2.1000000000000001E-2</v>
          </cell>
          <cell r="H151">
            <v>2.1000000000000001E-2</v>
          </cell>
          <cell r="I151">
            <v>2.1000000000000001E-2</v>
          </cell>
          <cell r="J151">
            <v>2.1000000000000001E-2</v>
          </cell>
          <cell r="K151">
            <v>2.1000000000000001E-2</v>
          </cell>
          <cell r="M151">
            <v>2.1000000000000001E-2</v>
          </cell>
          <cell r="O151">
            <v>0</v>
          </cell>
          <cell r="P151">
            <v>0</v>
          </cell>
          <cell r="Q151">
            <v>0</v>
          </cell>
        </row>
        <row r="152">
          <cell r="B152" t="str">
            <v>SC9 Rate I LT Energy (Winter)</v>
          </cell>
          <cell r="D152">
            <v>2.2100000000000002E-2</v>
          </cell>
          <cell r="E152">
            <v>2.1000000000000001E-2</v>
          </cell>
          <cell r="G152">
            <v>2.1000000000000001E-2</v>
          </cell>
          <cell r="H152">
            <v>2.1000000000000001E-2</v>
          </cell>
          <cell r="I152">
            <v>2.1000000000000001E-2</v>
          </cell>
          <cell r="J152">
            <v>2.1000000000000001E-2</v>
          </cell>
          <cell r="K152">
            <v>2.1000000000000001E-2</v>
          </cell>
          <cell r="M152">
            <v>2.1000000000000001E-2</v>
          </cell>
          <cell r="O152">
            <v>0</v>
          </cell>
          <cell r="P152">
            <v>0</v>
          </cell>
          <cell r="Q152">
            <v>0</v>
          </cell>
        </row>
        <row r="153">
          <cell r="B153" t="str">
            <v>SC9 Rate I LT Demand_Blk1 (Summer)</v>
          </cell>
          <cell r="D153">
            <v>173.95</v>
          </cell>
          <cell r="E153">
            <v>176.77</v>
          </cell>
          <cell r="G153">
            <v>176.77</v>
          </cell>
          <cell r="H153">
            <v>176.77</v>
          </cell>
          <cell r="I153">
            <v>176.77</v>
          </cell>
          <cell r="J153">
            <v>189.57</v>
          </cell>
          <cell r="K153">
            <v>205.19</v>
          </cell>
          <cell r="M153">
            <v>219.36</v>
          </cell>
          <cell r="O153">
            <v>0</v>
          </cell>
          <cell r="P153">
            <v>0</v>
          </cell>
          <cell r="Q153">
            <v>0</v>
          </cell>
        </row>
        <row r="154">
          <cell r="B154" t="str">
            <v>SC9 Rate I LT Demand_Blk2 (Summer)</v>
          </cell>
          <cell r="D154">
            <v>25.410000000000004</v>
          </cell>
          <cell r="E154">
            <v>25.83</v>
          </cell>
          <cell r="G154">
            <v>25.83</v>
          </cell>
          <cell r="H154">
            <v>25.83</v>
          </cell>
          <cell r="I154">
            <v>25.83</v>
          </cell>
          <cell r="J154">
            <v>26.769999999999996</v>
          </cell>
          <cell r="K154">
            <v>29.06</v>
          </cell>
          <cell r="M154">
            <v>31.13</v>
          </cell>
          <cell r="O154">
            <v>0</v>
          </cell>
          <cell r="P154">
            <v>0</v>
          </cell>
          <cell r="Q154">
            <v>0</v>
          </cell>
        </row>
        <row r="155">
          <cell r="B155" t="str">
            <v>SC9 Rate I LT Demand_Blk1 (Winter)</v>
          </cell>
          <cell r="D155">
            <v>138.94999999999999</v>
          </cell>
          <cell r="E155">
            <v>141.21</v>
          </cell>
          <cell r="G155">
            <v>141.21</v>
          </cell>
          <cell r="H155">
            <v>141.21</v>
          </cell>
          <cell r="I155">
            <v>141.21</v>
          </cell>
          <cell r="J155">
            <v>152.77000000000001</v>
          </cell>
          <cell r="K155">
            <v>165.25</v>
          </cell>
          <cell r="M155">
            <v>176.57</v>
          </cell>
          <cell r="O155">
            <v>0</v>
          </cell>
          <cell r="P155">
            <v>0</v>
          </cell>
          <cell r="Q155">
            <v>0</v>
          </cell>
        </row>
        <row r="156">
          <cell r="B156" t="str">
            <v>SC9 Rate I LT Demand_Blk2 (Winter)</v>
          </cell>
          <cell r="D156">
            <v>20.070000000000004</v>
          </cell>
          <cell r="E156">
            <v>20.399999999999999</v>
          </cell>
          <cell r="G156">
            <v>20.399999999999999</v>
          </cell>
          <cell r="H156">
            <v>20.399999999999999</v>
          </cell>
          <cell r="I156">
            <v>20.399999999999999</v>
          </cell>
          <cell r="J156">
            <v>21.139999999999997</v>
          </cell>
          <cell r="K156">
            <v>22.95</v>
          </cell>
          <cell r="M156">
            <v>24.59</v>
          </cell>
          <cell r="O156">
            <v>0</v>
          </cell>
          <cell r="P156">
            <v>0</v>
          </cell>
          <cell r="Q156">
            <v>0</v>
          </cell>
        </row>
        <row r="157">
          <cell r="B157" t="str">
            <v>SC9 Rate I HT Energy (Summer)</v>
          </cell>
          <cell r="D157">
            <v>2.06E-2</v>
          </cell>
          <cell r="E157">
            <v>1.95E-2</v>
          </cell>
          <cell r="G157">
            <v>1.95E-2</v>
          </cell>
          <cell r="H157">
            <v>1.95E-2</v>
          </cell>
          <cell r="I157">
            <v>1.95E-2</v>
          </cell>
          <cell r="J157">
            <v>1.95E-2</v>
          </cell>
          <cell r="K157">
            <v>1.95E-2</v>
          </cell>
          <cell r="M157">
            <v>1.95E-2</v>
          </cell>
          <cell r="O157">
            <v>0</v>
          </cell>
          <cell r="P157">
            <v>0</v>
          </cell>
          <cell r="Q157">
            <v>0</v>
          </cell>
        </row>
        <row r="158">
          <cell r="B158" t="str">
            <v>SC9 Rate I HT Energy (Winter)</v>
          </cell>
          <cell r="D158">
            <v>2.06E-2</v>
          </cell>
          <cell r="E158">
            <v>1.95E-2</v>
          </cell>
          <cell r="G158">
            <v>1.95E-2</v>
          </cell>
          <cell r="H158">
            <v>1.95E-2</v>
          </cell>
          <cell r="I158">
            <v>1.95E-2</v>
          </cell>
          <cell r="J158">
            <v>1.95E-2</v>
          </cell>
          <cell r="K158">
            <v>1.95E-2</v>
          </cell>
          <cell r="M158">
            <v>1.95E-2</v>
          </cell>
          <cell r="O158">
            <v>0</v>
          </cell>
          <cell r="P158">
            <v>0</v>
          </cell>
          <cell r="Q158">
            <v>0</v>
          </cell>
        </row>
        <row r="159">
          <cell r="B159" t="str">
            <v>SC9 Rate I HT Demand_Blk1 (Summer)</v>
          </cell>
          <cell r="D159">
            <v>134.47999999999999</v>
          </cell>
          <cell r="E159">
            <v>136.66</v>
          </cell>
          <cell r="G159">
            <v>122.81</v>
          </cell>
          <cell r="H159">
            <v>122.81</v>
          </cell>
          <cell r="I159">
            <v>122.81</v>
          </cell>
          <cell r="J159">
            <v>133.72999999999999</v>
          </cell>
          <cell r="K159">
            <v>144.58000000000001</v>
          </cell>
          <cell r="M159">
            <v>154.43</v>
          </cell>
          <cell r="O159">
            <v>0</v>
          </cell>
          <cell r="P159">
            <v>0</v>
          </cell>
          <cell r="Q159">
            <v>0</v>
          </cell>
        </row>
        <row r="160">
          <cell r="B160" t="str">
            <v>SC9 Rate I HT Demand_Blk2 (Summer)</v>
          </cell>
          <cell r="D160">
            <v>19.270000000000003</v>
          </cell>
          <cell r="E160">
            <v>19.59</v>
          </cell>
          <cell r="G160">
            <v>18.03</v>
          </cell>
          <cell r="H160">
            <v>18.03</v>
          </cell>
          <cell r="I160">
            <v>18.03</v>
          </cell>
          <cell r="J160">
            <v>18.679999999999996</v>
          </cell>
          <cell r="K160">
            <v>20.28</v>
          </cell>
          <cell r="M160">
            <v>21.73</v>
          </cell>
          <cell r="O160">
            <v>0</v>
          </cell>
          <cell r="P160">
            <v>0</v>
          </cell>
          <cell r="Q160">
            <v>0</v>
          </cell>
        </row>
        <row r="161">
          <cell r="B161" t="str">
            <v>SC9 Rate I HT Demand_Blk1 (Winter)</v>
          </cell>
          <cell r="D161">
            <v>99.53</v>
          </cell>
          <cell r="E161">
            <v>101.15</v>
          </cell>
          <cell r="G161">
            <v>87.300000000000011</v>
          </cell>
          <cell r="H161">
            <v>87.300000000000011</v>
          </cell>
          <cell r="I161">
            <v>87.300000000000011</v>
          </cell>
          <cell r="J161">
            <v>96.98</v>
          </cell>
          <cell r="K161">
            <v>104.69</v>
          </cell>
          <cell r="M161">
            <v>111.69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SC9 Rate I HT Demand_Blk2 (Winter)</v>
          </cell>
          <cell r="D162">
            <v>13.910000000000004</v>
          </cell>
          <cell r="E162">
            <v>14.139999999999999</v>
          </cell>
          <cell r="G162">
            <v>12.579999999999998</v>
          </cell>
          <cell r="H162">
            <v>12.579999999999998</v>
          </cell>
          <cell r="I162">
            <v>12.579999999999998</v>
          </cell>
          <cell r="J162">
            <v>13.029999999999998</v>
          </cell>
          <cell r="K162">
            <v>14.149999999999999</v>
          </cell>
          <cell r="M162">
            <v>15.17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SC9 Rate I Max (Summer)</v>
          </cell>
        </row>
        <row r="164">
          <cell r="B164" t="str">
            <v>SC9 Rate I Max (Winter)</v>
          </cell>
        </row>
        <row r="165">
          <cell r="B165" t="str">
            <v>SC12 Rate I LT Energy (Summer)</v>
          </cell>
          <cell r="D165">
            <v>1.8100000000000002E-2</v>
          </cell>
          <cell r="E165">
            <v>1.72E-2</v>
          </cell>
          <cell r="G165">
            <v>1.72E-2</v>
          </cell>
          <cell r="H165">
            <v>1.72E-2</v>
          </cell>
          <cell r="I165">
            <v>1.72E-2</v>
          </cell>
          <cell r="J165">
            <v>1.72E-2</v>
          </cell>
          <cell r="K165">
            <v>1.72E-2</v>
          </cell>
          <cell r="M165">
            <v>1.72E-2</v>
          </cell>
          <cell r="O165">
            <v>0</v>
          </cell>
          <cell r="P165">
            <v>0</v>
          </cell>
          <cell r="Q165">
            <v>0</v>
          </cell>
        </row>
        <row r="166">
          <cell r="B166" t="str">
            <v>SC12 Rate I LT Energy (Winter)</v>
          </cell>
          <cell r="D166">
            <v>1.8100000000000002E-2</v>
          </cell>
          <cell r="E166">
            <v>1.72E-2</v>
          </cell>
          <cell r="G166">
            <v>1.72E-2</v>
          </cell>
          <cell r="H166">
            <v>1.72E-2</v>
          </cell>
          <cell r="I166">
            <v>1.72E-2</v>
          </cell>
          <cell r="J166">
            <v>1.72E-2</v>
          </cell>
          <cell r="K166">
            <v>1.72E-2</v>
          </cell>
          <cell r="M166">
            <v>1.72E-2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SC12 Rate I LT Demand_Blk1 (Summer)</v>
          </cell>
          <cell r="D167">
            <v>183.98</v>
          </cell>
          <cell r="E167">
            <v>187.11</v>
          </cell>
          <cell r="G167">
            <v>187.11</v>
          </cell>
          <cell r="H167">
            <v>187.11</v>
          </cell>
          <cell r="I167">
            <v>187.11</v>
          </cell>
          <cell r="J167">
            <v>208.8</v>
          </cell>
          <cell r="K167">
            <v>225.75</v>
          </cell>
          <cell r="M167">
            <v>241.41</v>
          </cell>
          <cell r="O167">
            <v>0</v>
          </cell>
          <cell r="P167">
            <v>0</v>
          </cell>
          <cell r="Q167">
            <v>0</v>
          </cell>
        </row>
        <row r="168">
          <cell r="B168" t="str">
            <v>SC12 Rate I LT Demand_Blk2 (Summer)</v>
          </cell>
          <cell r="D168">
            <v>33.269999999999996</v>
          </cell>
          <cell r="E168">
            <v>33.840000000000003</v>
          </cell>
          <cell r="G168">
            <v>33.840000000000003</v>
          </cell>
          <cell r="H168">
            <v>33.840000000000003</v>
          </cell>
          <cell r="I168">
            <v>33.840000000000003</v>
          </cell>
          <cell r="J168">
            <v>35.590000000000003</v>
          </cell>
          <cell r="K168">
            <v>38.65</v>
          </cell>
          <cell r="M168">
            <v>41.480000000000004</v>
          </cell>
          <cell r="O168">
            <v>0</v>
          </cell>
          <cell r="P168">
            <v>0</v>
          </cell>
          <cell r="Q168">
            <v>0</v>
          </cell>
        </row>
        <row r="169">
          <cell r="B169" t="str">
            <v>SC12 Rate I LT Demand_Blk1 (Winter)</v>
          </cell>
          <cell r="D169">
            <v>103.3</v>
          </cell>
          <cell r="E169">
            <v>105.06</v>
          </cell>
          <cell r="G169">
            <v>105.06</v>
          </cell>
          <cell r="H169">
            <v>105.06</v>
          </cell>
          <cell r="I169">
            <v>105.06</v>
          </cell>
          <cell r="J169">
            <v>123.61</v>
          </cell>
          <cell r="K169">
            <v>133.12</v>
          </cell>
          <cell r="M169">
            <v>141.91999999999999</v>
          </cell>
          <cell r="O169">
            <v>0</v>
          </cell>
          <cell r="P169">
            <v>0</v>
          </cell>
          <cell r="Q169">
            <v>0</v>
          </cell>
        </row>
        <row r="170">
          <cell r="B170" t="str">
            <v>SC12 Rate I LT Demand_Blk2 (Winter)</v>
          </cell>
          <cell r="D170">
            <v>18.66</v>
          </cell>
          <cell r="E170">
            <v>18.98</v>
          </cell>
          <cell r="G170">
            <v>18.98</v>
          </cell>
          <cell r="H170">
            <v>18.98</v>
          </cell>
          <cell r="I170">
            <v>18.98</v>
          </cell>
          <cell r="J170">
            <v>19.96</v>
          </cell>
          <cell r="K170">
            <v>21.68</v>
          </cell>
          <cell r="M170">
            <v>23.26</v>
          </cell>
          <cell r="O170">
            <v>0</v>
          </cell>
          <cell r="P170">
            <v>0</v>
          </cell>
          <cell r="Q170">
            <v>0</v>
          </cell>
        </row>
        <row r="171">
          <cell r="B171" t="str">
            <v>SC12 Rate I HT Energy (Summer)</v>
          </cell>
          <cell r="D171">
            <v>1.8100000000000002E-2</v>
          </cell>
          <cell r="E171">
            <v>1.72E-2</v>
          </cell>
          <cell r="G171">
            <v>1.72E-2</v>
          </cell>
          <cell r="H171">
            <v>1.72E-2</v>
          </cell>
          <cell r="I171">
            <v>1.72E-2</v>
          </cell>
          <cell r="J171">
            <v>1.72E-2</v>
          </cell>
          <cell r="K171">
            <v>1.72E-2</v>
          </cell>
          <cell r="M171">
            <v>1.72E-2</v>
          </cell>
          <cell r="O171">
            <v>0</v>
          </cell>
          <cell r="P171">
            <v>0</v>
          </cell>
          <cell r="Q171">
            <v>0</v>
          </cell>
        </row>
        <row r="172">
          <cell r="B172" t="str">
            <v>SC12 Rate I HT Energy (Winter)</v>
          </cell>
          <cell r="D172">
            <v>1.8100000000000002E-2</v>
          </cell>
          <cell r="E172">
            <v>1.72E-2</v>
          </cell>
          <cell r="G172">
            <v>1.72E-2</v>
          </cell>
          <cell r="H172">
            <v>1.72E-2</v>
          </cell>
          <cell r="I172">
            <v>1.72E-2</v>
          </cell>
          <cell r="J172">
            <v>1.72E-2</v>
          </cell>
          <cell r="K172">
            <v>1.72E-2</v>
          </cell>
          <cell r="M172">
            <v>1.72E-2</v>
          </cell>
          <cell r="O172">
            <v>0</v>
          </cell>
          <cell r="P172">
            <v>0</v>
          </cell>
          <cell r="Q172">
            <v>0</v>
          </cell>
        </row>
        <row r="173">
          <cell r="B173" t="str">
            <v>SC12 Rate I HT Demand_Blk1 (Summer)</v>
          </cell>
          <cell r="D173">
            <v>137.57</v>
          </cell>
          <cell r="E173">
            <v>139.91</v>
          </cell>
          <cell r="G173">
            <v>139.91</v>
          </cell>
          <cell r="H173">
            <v>139.91</v>
          </cell>
          <cell r="I173">
            <v>139.91</v>
          </cell>
          <cell r="J173">
            <v>159.79</v>
          </cell>
          <cell r="K173">
            <v>172.47</v>
          </cell>
          <cell r="M173">
            <v>184.18</v>
          </cell>
          <cell r="O173">
            <v>0</v>
          </cell>
          <cell r="P173">
            <v>0</v>
          </cell>
          <cell r="Q173">
            <v>0</v>
          </cell>
        </row>
        <row r="174">
          <cell r="B174" t="str">
            <v>SC12 Rate I HT Demand_Blk2 (Summer)</v>
          </cell>
          <cell r="D174">
            <v>24.86</v>
          </cell>
          <cell r="E174">
            <v>25.29</v>
          </cell>
          <cell r="G174">
            <v>25.29</v>
          </cell>
          <cell r="H174">
            <v>25.29</v>
          </cell>
          <cell r="I174">
            <v>25.29</v>
          </cell>
          <cell r="J174">
            <v>26.6</v>
          </cell>
          <cell r="K174">
            <v>28.89</v>
          </cell>
          <cell r="M174">
            <v>31</v>
          </cell>
          <cell r="O174">
            <v>0</v>
          </cell>
          <cell r="P174">
            <v>0</v>
          </cell>
          <cell r="Q174">
            <v>0</v>
          </cell>
        </row>
        <row r="175">
          <cell r="B175" t="str">
            <v>SC12 Rate I HT Demand_Blk1 (Winter)</v>
          </cell>
          <cell r="D175">
            <v>57.05</v>
          </cell>
          <cell r="E175">
            <v>58.02</v>
          </cell>
          <cell r="G175">
            <v>58.02</v>
          </cell>
          <cell r="H175">
            <v>58.02</v>
          </cell>
          <cell r="I175">
            <v>58.02</v>
          </cell>
          <cell r="J175">
            <v>74.760000000000005</v>
          </cell>
          <cell r="K175">
            <v>80.02</v>
          </cell>
          <cell r="M175">
            <v>84.88</v>
          </cell>
          <cell r="O175">
            <v>0</v>
          </cell>
          <cell r="P175">
            <v>0</v>
          </cell>
          <cell r="Q175">
            <v>0</v>
          </cell>
        </row>
        <row r="176">
          <cell r="B176" t="str">
            <v>SC12 Rate I HT Demand_Blk2 (Winter)</v>
          </cell>
          <cell r="D176">
            <v>10.27</v>
          </cell>
          <cell r="E176">
            <v>10.450000000000001</v>
          </cell>
          <cell r="G176">
            <v>10.450000000000001</v>
          </cell>
          <cell r="H176">
            <v>10.450000000000001</v>
          </cell>
          <cell r="I176">
            <v>10.450000000000001</v>
          </cell>
          <cell r="J176">
            <v>10.99</v>
          </cell>
          <cell r="K176">
            <v>11.94</v>
          </cell>
          <cell r="M176">
            <v>12.8</v>
          </cell>
          <cell r="O176">
            <v>0</v>
          </cell>
          <cell r="P176">
            <v>0</v>
          </cell>
          <cell r="Q176">
            <v>0</v>
          </cell>
        </row>
        <row r="177">
          <cell r="B177" t="str">
            <v>SC12 Energy Only_Blk1 (Summer)</v>
          </cell>
          <cell r="D177">
            <v>12.8</v>
          </cell>
          <cell r="E177">
            <v>12.8</v>
          </cell>
          <cell r="G177">
            <v>12.8</v>
          </cell>
          <cell r="H177">
            <v>12.8</v>
          </cell>
          <cell r="I177">
            <v>12.8</v>
          </cell>
          <cell r="J177">
            <v>13.34</v>
          </cell>
          <cell r="K177">
            <v>14.22</v>
          </cell>
          <cell r="M177">
            <v>15.04</v>
          </cell>
          <cell r="O177">
            <v>0</v>
          </cell>
          <cell r="P177">
            <v>0</v>
          </cell>
          <cell r="Q177">
            <v>0</v>
          </cell>
        </row>
        <row r="178">
          <cell r="B178" t="str">
            <v>SC12 Energy Only_Blk2 (Summer)</v>
          </cell>
          <cell r="D178">
            <v>0.12280000000000001</v>
          </cell>
          <cell r="E178">
            <v>0.12280000000000001</v>
          </cell>
          <cell r="G178">
            <v>0.12280000000000001</v>
          </cell>
          <cell r="H178">
            <v>0.12280000000000001</v>
          </cell>
          <cell r="I178">
            <v>0.12280000000000001</v>
          </cell>
          <cell r="J178">
            <v>0.128</v>
          </cell>
          <cell r="K178">
            <v>0.13649999999999998</v>
          </cell>
          <cell r="M178">
            <v>0.14430000000000001</v>
          </cell>
          <cell r="O178">
            <v>0</v>
          </cell>
          <cell r="P178">
            <v>0</v>
          </cell>
          <cell r="Q178">
            <v>0</v>
          </cell>
        </row>
        <row r="179">
          <cell r="B179" t="str">
            <v>SC12 Energy Only_Blk1 (Winter)</v>
          </cell>
          <cell r="D179">
            <v>12.65</v>
          </cell>
          <cell r="E179">
            <v>12.65</v>
          </cell>
          <cell r="G179">
            <v>12.65</v>
          </cell>
          <cell r="H179">
            <v>12.65</v>
          </cell>
          <cell r="I179">
            <v>12.65</v>
          </cell>
          <cell r="J179">
            <v>13.19</v>
          </cell>
          <cell r="K179">
            <v>14.06</v>
          </cell>
          <cell r="M179">
            <v>14.86</v>
          </cell>
          <cell r="O179">
            <v>0</v>
          </cell>
          <cell r="P179">
            <v>0</v>
          </cell>
          <cell r="Q179">
            <v>0</v>
          </cell>
        </row>
        <row r="180">
          <cell r="B180" t="str">
            <v>SC12 Energy Only_Blk2 (Winter)</v>
          </cell>
          <cell r="D180">
            <v>0.1106</v>
          </cell>
          <cell r="E180">
            <v>0.1106</v>
          </cell>
          <cell r="G180">
            <v>0.1106</v>
          </cell>
          <cell r="H180">
            <v>0.1106</v>
          </cell>
          <cell r="I180">
            <v>0.1106</v>
          </cell>
          <cell r="J180">
            <v>0.1153</v>
          </cell>
          <cell r="K180">
            <v>0.1229</v>
          </cell>
          <cell r="M180">
            <v>0.13</v>
          </cell>
          <cell r="O180">
            <v>0</v>
          </cell>
          <cell r="P180">
            <v>0</v>
          </cell>
          <cell r="Q180">
            <v>0</v>
          </cell>
        </row>
        <row r="181">
          <cell r="B181" t="str">
            <v>NYPA LT Demand (Summer)</v>
          </cell>
          <cell r="D181">
            <v>27.55</v>
          </cell>
          <cell r="E181">
            <v>27.55</v>
          </cell>
          <cell r="G181">
            <v>27.55</v>
          </cell>
          <cell r="H181">
            <v>27.55</v>
          </cell>
          <cell r="I181">
            <v>27.55</v>
          </cell>
          <cell r="J181">
            <v>28.23</v>
          </cell>
          <cell r="K181">
            <v>29.98</v>
          </cell>
          <cell r="M181">
            <v>31.45</v>
          </cell>
          <cell r="O181">
            <v>0</v>
          </cell>
          <cell r="P181">
            <v>0</v>
          </cell>
          <cell r="Q181">
            <v>0</v>
          </cell>
        </row>
        <row r="182">
          <cell r="B182" t="str">
            <v>NYPA LT Demand (Winter)</v>
          </cell>
          <cell r="D182">
            <v>27.55</v>
          </cell>
          <cell r="E182">
            <v>27.55</v>
          </cell>
          <cell r="G182">
            <v>27.55</v>
          </cell>
          <cell r="H182">
            <v>27.55</v>
          </cell>
          <cell r="I182">
            <v>27.55</v>
          </cell>
          <cell r="J182">
            <v>28.23</v>
          </cell>
          <cell r="K182">
            <v>29.98</v>
          </cell>
          <cell r="M182">
            <v>31.45</v>
          </cell>
          <cell r="O182">
            <v>0</v>
          </cell>
          <cell r="P182">
            <v>0</v>
          </cell>
          <cell r="Q182">
            <v>0</v>
          </cell>
        </row>
        <row r="183">
          <cell r="B183" t="str">
            <v>NYPA LT Energy (Summer)</v>
          </cell>
          <cell r="D183">
            <v>0.20440000000000003</v>
          </cell>
          <cell r="E183">
            <v>0.20440000000000003</v>
          </cell>
          <cell r="G183">
            <v>0.20440000000000003</v>
          </cell>
          <cell r="H183">
            <v>0.20440000000000003</v>
          </cell>
          <cell r="I183">
            <v>0.20440000000000003</v>
          </cell>
          <cell r="J183">
            <v>0.2094</v>
          </cell>
          <cell r="K183">
            <v>0.22239999999999999</v>
          </cell>
          <cell r="M183">
            <v>0.2334</v>
          </cell>
          <cell r="O183">
            <v>0</v>
          </cell>
          <cell r="P183">
            <v>0</v>
          </cell>
          <cell r="Q183">
            <v>0</v>
          </cell>
        </row>
        <row r="184">
          <cell r="B184" t="str">
            <v>NYPA LT Energy (Winter)</v>
          </cell>
          <cell r="D184">
            <v>0.20440000000000003</v>
          </cell>
          <cell r="E184">
            <v>0.20440000000000003</v>
          </cell>
          <cell r="G184">
            <v>0.20440000000000003</v>
          </cell>
          <cell r="H184">
            <v>0.20440000000000003</v>
          </cell>
          <cell r="I184">
            <v>0.20440000000000003</v>
          </cell>
          <cell r="J184">
            <v>0.2094</v>
          </cell>
          <cell r="K184">
            <v>0.22239999999999999</v>
          </cell>
          <cell r="M184">
            <v>0.2334</v>
          </cell>
          <cell r="O184">
            <v>0</v>
          </cell>
          <cell r="P184">
            <v>0</v>
          </cell>
          <cell r="Q184">
            <v>0</v>
          </cell>
        </row>
        <row r="185">
          <cell r="B185" t="str">
            <v>NYPA HT Demand (Summer)</v>
          </cell>
          <cell r="D185">
            <v>19.14</v>
          </cell>
          <cell r="E185">
            <v>19.14</v>
          </cell>
          <cell r="G185">
            <v>19.14</v>
          </cell>
          <cell r="H185">
            <v>19.14</v>
          </cell>
          <cell r="I185">
            <v>19.14</v>
          </cell>
          <cell r="J185">
            <v>19.61</v>
          </cell>
          <cell r="K185">
            <v>20.83</v>
          </cell>
          <cell r="M185">
            <v>21.85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>NYPA HT Demand (Winter)</v>
          </cell>
          <cell r="D186">
            <v>19.14</v>
          </cell>
          <cell r="E186">
            <v>19.14</v>
          </cell>
          <cell r="G186">
            <v>19.14</v>
          </cell>
          <cell r="H186">
            <v>19.14</v>
          </cell>
          <cell r="I186">
            <v>19.14</v>
          </cell>
          <cell r="J186">
            <v>19.61</v>
          </cell>
          <cell r="K186">
            <v>20.83</v>
          </cell>
          <cell r="M186">
            <v>21.85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>NYPA HT Energy (Summer)</v>
          </cell>
          <cell r="D187">
            <v>0.20440000000000003</v>
          </cell>
          <cell r="E187">
            <v>0.20440000000000003</v>
          </cell>
          <cell r="G187">
            <v>0.20440000000000003</v>
          </cell>
          <cell r="H187">
            <v>0.20440000000000003</v>
          </cell>
          <cell r="I187">
            <v>0.20440000000000003</v>
          </cell>
          <cell r="J187">
            <v>0.2094</v>
          </cell>
          <cell r="K187">
            <v>0.22239999999999999</v>
          </cell>
          <cell r="M187">
            <v>0.2334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>NYPA HT Energy (Winter)</v>
          </cell>
          <cell r="D188">
            <v>0.20440000000000003</v>
          </cell>
          <cell r="E188">
            <v>0.20440000000000003</v>
          </cell>
          <cell r="G188">
            <v>0.20440000000000003</v>
          </cell>
          <cell r="H188">
            <v>0.20440000000000003</v>
          </cell>
          <cell r="I188">
            <v>0.20440000000000003</v>
          </cell>
          <cell r="J188">
            <v>0.2094</v>
          </cell>
          <cell r="K188">
            <v>0.22239999999999999</v>
          </cell>
          <cell r="M188">
            <v>0.2334</v>
          </cell>
          <cell r="O188">
            <v>0</v>
          </cell>
          <cell r="P188">
            <v>0</v>
          </cell>
          <cell r="Q188">
            <v>0</v>
          </cell>
        </row>
        <row r="189">
          <cell r="B189" t="str">
            <v>NYPA Facilities Charge</v>
          </cell>
          <cell r="D189">
            <v>11.45</v>
          </cell>
          <cell r="E189">
            <v>11.45</v>
          </cell>
          <cell r="G189">
            <v>11.45</v>
          </cell>
          <cell r="H189">
            <v>11.45</v>
          </cell>
          <cell r="I189">
            <v>11.45</v>
          </cell>
          <cell r="J189">
            <v>11.73</v>
          </cell>
          <cell r="K189">
            <v>12.46</v>
          </cell>
          <cell r="M189">
            <v>13.07</v>
          </cell>
          <cell r="O189">
            <v>0</v>
          </cell>
          <cell r="P189">
            <v>0</v>
          </cell>
          <cell r="Q189">
            <v>0</v>
          </cell>
        </row>
        <row r="195">
          <cell r="D195">
            <v>2019</v>
          </cell>
          <cell r="E195" t="str">
            <v>ED Shifting</v>
          </cell>
          <cell r="G195" t="str">
            <v>Current(RY1)</v>
          </cell>
          <cell r="H195" t="str">
            <v>Current(RY2)</v>
          </cell>
          <cell r="I195" t="str">
            <v>Current(RY3)</v>
          </cell>
          <cell r="J195">
            <v>2020</v>
          </cell>
          <cell r="K195">
            <v>2021</v>
          </cell>
          <cell r="M195">
            <v>2022</v>
          </cell>
          <cell r="O195" t="str">
            <v>Current(RY1)</v>
          </cell>
          <cell r="P195" t="str">
            <v>Current(RY2)</v>
          </cell>
          <cell r="Q195" t="str">
            <v>Current(RY3)</v>
          </cell>
        </row>
        <row r="196">
          <cell r="D196" t="str">
            <v>Current</v>
          </cell>
          <cell r="E196" t="str">
            <v>Redesigned</v>
          </cell>
          <cell r="G196" t="str">
            <v>Redesigned</v>
          </cell>
          <cell r="H196" t="str">
            <v>Redesigned</v>
          </cell>
          <cell r="I196" t="str">
            <v>Redesigned</v>
          </cell>
          <cell r="J196" t="str">
            <v>Proposed</v>
          </cell>
          <cell r="K196" t="str">
            <v>Proposed</v>
          </cell>
          <cell r="M196" t="str">
            <v>Proposed</v>
          </cell>
          <cell r="O196" t="str">
            <v>Redesigned</v>
          </cell>
          <cell r="P196" t="str">
            <v>Redesigned</v>
          </cell>
          <cell r="Q196" t="str">
            <v>Redesigned</v>
          </cell>
        </row>
        <row r="197">
          <cell r="B197">
            <v>1</v>
          </cell>
          <cell r="C197">
            <v>2</v>
          </cell>
          <cell r="D197">
            <v>3</v>
          </cell>
          <cell r="E197">
            <v>4</v>
          </cell>
          <cell r="F197">
            <v>5</v>
          </cell>
          <cell r="G197">
            <v>6</v>
          </cell>
          <cell r="H197">
            <v>7</v>
          </cell>
          <cell r="I197">
            <v>8</v>
          </cell>
          <cell r="J197">
            <v>9</v>
          </cell>
          <cell r="K197">
            <v>10</v>
          </cell>
          <cell r="L197">
            <v>11</v>
          </cell>
          <cell r="M197">
            <v>12</v>
          </cell>
          <cell r="O197">
            <v>14</v>
          </cell>
          <cell r="P197">
            <v>15</v>
          </cell>
          <cell r="Q197">
            <v>16</v>
          </cell>
        </row>
        <row r="198">
          <cell r="B198" t="str">
            <v>Rate II LT - Energy (Summer)_OnPeak</v>
          </cell>
          <cell r="D198">
            <v>7.9000000000000008E-3</v>
          </cell>
          <cell r="E198">
            <v>7.9000000000000008E-3</v>
          </cell>
          <cell r="G198">
            <v>7.9000000000000008E-3</v>
          </cell>
          <cell r="H198">
            <v>7.9000000000000008E-3</v>
          </cell>
          <cell r="I198">
            <v>7.9000000000000008E-3</v>
          </cell>
          <cell r="J198">
            <v>7.9000000000000008E-3</v>
          </cell>
          <cell r="K198">
            <v>7.9000000000000008E-3</v>
          </cell>
          <cell r="M198">
            <v>7.9000000000000008E-3</v>
          </cell>
          <cell r="O198">
            <v>0</v>
          </cell>
          <cell r="P198">
            <v>0</v>
          </cell>
          <cell r="Q198">
            <v>0</v>
          </cell>
        </row>
        <row r="199">
          <cell r="B199" t="str">
            <v>Rate II LT - Energy (Summer)_OffPeak</v>
          </cell>
          <cell r="D199">
            <v>7.9000000000000008E-3</v>
          </cell>
          <cell r="E199">
            <v>7.9000000000000008E-3</v>
          </cell>
          <cell r="G199">
            <v>7.9000000000000008E-3</v>
          </cell>
          <cell r="H199">
            <v>7.9000000000000008E-3</v>
          </cell>
          <cell r="I199">
            <v>7.9000000000000008E-3</v>
          </cell>
          <cell r="J199">
            <v>7.9000000000000008E-3</v>
          </cell>
          <cell r="K199">
            <v>7.9000000000000008E-3</v>
          </cell>
          <cell r="M199">
            <v>7.9000000000000008E-3</v>
          </cell>
          <cell r="O199">
            <v>0</v>
          </cell>
          <cell r="P199">
            <v>0</v>
          </cell>
          <cell r="Q199">
            <v>0</v>
          </cell>
        </row>
        <row r="200">
          <cell r="B200" t="str">
            <v>Rate II LT - Energy (Winter)_OnPeak</v>
          </cell>
          <cell r="D200">
            <v>7.9000000000000008E-3</v>
          </cell>
          <cell r="E200">
            <v>7.9000000000000008E-3</v>
          </cell>
          <cell r="G200">
            <v>7.9000000000000008E-3</v>
          </cell>
          <cell r="H200">
            <v>7.9000000000000008E-3</v>
          </cell>
          <cell r="I200">
            <v>7.9000000000000008E-3</v>
          </cell>
          <cell r="J200">
            <v>7.9000000000000008E-3</v>
          </cell>
          <cell r="K200">
            <v>7.9000000000000008E-3</v>
          </cell>
          <cell r="M200">
            <v>7.9000000000000008E-3</v>
          </cell>
          <cell r="O200">
            <v>0</v>
          </cell>
          <cell r="P200">
            <v>0</v>
          </cell>
          <cell r="Q200">
            <v>0</v>
          </cell>
        </row>
        <row r="201">
          <cell r="B201" t="str">
            <v>Rate II LT - Energy (Winter)_OffPeak</v>
          </cell>
          <cell r="D201">
            <v>7.9000000000000008E-3</v>
          </cell>
          <cell r="E201">
            <v>7.9000000000000008E-3</v>
          </cell>
          <cell r="G201">
            <v>7.9000000000000008E-3</v>
          </cell>
          <cell r="H201">
            <v>7.9000000000000008E-3</v>
          </cell>
          <cell r="I201">
            <v>7.9000000000000008E-3</v>
          </cell>
          <cell r="J201">
            <v>7.9000000000000008E-3</v>
          </cell>
          <cell r="K201">
            <v>7.9000000000000008E-3</v>
          </cell>
          <cell r="M201">
            <v>7.9000000000000008E-3</v>
          </cell>
          <cell r="O201">
            <v>0</v>
          </cell>
          <cell r="P201">
            <v>0</v>
          </cell>
          <cell r="Q201">
            <v>0</v>
          </cell>
        </row>
        <row r="202">
          <cell r="B202" t="str">
            <v>Rate II HT - Energy (Summer)_OnPeak</v>
          </cell>
          <cell r="D202">
            <v>7.9000000000000008E-3</v>
          </cell>
          <cell r="E202">
            <v>7.9000000000000008E-3</v>
          </cell>
          <cell r="G202">
            <v>7.9000000000000008E-3</v>
          </cell>
          <cell r="H202">
            <v>7.9000000000000008E-3</v>
          </cell>
          <cell r="I202">
            <v>7.9000000000000008E-3</v>
          </cell>
          <cell r="J202">
            <v>7.9000000000000008E-3</v>
          </cell>
          <cell r="K202">
            <v>7.9000000000000008E-3</v>
          </cell>
          <cell r="M202">
            <v>7.9000000000000008E-3</v>
          </cell>
          <cell r="O202">
            <v>0</v>
          </cell>
          <cell r="P202">
            <v>0</v>
          </cell>
          <cell r="Q202">
            <v>0</v>
          </cell>
        </row>
        <row r="203">
          <cell r="B203" t="str">
            <v>Rate II HT - Energy (Summer)_OffPeak</v>
          </cell>
          <cell r="D203">
            <v>7.9000000000000008E-3</v>
          </cell>
          <cell r="E203">
            <v>7.9000000000000008E-3</v>
          </cell>
          <cell r="G203">
            <v>7.9000000000000008E-3</v>
          </cell>
          <cell r="H203">
            <v>7.9000000000000008E-3</v>
          </cell>
          <cell r="I203">
            <v>7.9000000000000008E-3</v>
          </cell>
          <cell r="J203">
            <v>7.9000000000000008E-3</v>
          </cell>
          <cell r="K203">
            <v>7.9000000000000008E-3</v>
          </cell>
          <cell r="M203">
            <v>7.9000000000000008E-3</v>
          </cell>
          <cell r="O203">
            <v>0</v>
          </cell>
          <cell r="P203">
            <v>0</v>
          </cell>
          <cell r="Q203">
            <v>0</v>
          </cell>
        </row>
        <row r="204">
          <cell r="B204" t="str">
            <v>Rate II HT - Energy (Winter)_OnPeak</v>
          </cell>
          <cell r="D204">
            <v>7.9000000000000008E-3</v>
          </cell>
          <cell r="E204">
            <v>7.9000000000000008E-3</v>
          </cell>
          <cell r="G204">
            <v>7.9000000000000008E-3</v>
          </cell>
          <cell r="H204">
            <v>7.9000000000000008E-3</v>
          </cell>
          <cell r="I204">
            <v>7.9000000000000008E-3</v>
          </cell>
          <cell r="J204">
            <v>7.9000000000000008E-3</v>
          </cell>
          <cell r="K204">
            <v>7.9000000000000008E-3</v>
          </cell>
          <cell r="M204">
            <v>7.9000000000000008E-3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Rate II HT - Energy (Winter)_OffPeak</v>
          </cell>
          <cell r="D205">
            <v>7.9000000000000008E-3</v>
          </cell>
          <cell r="E205">
            <v>7.9000000000000008E-3</v>
          </cell>
          <cell r="G205">
            <v>7.9000000000000008E-3</v>
          </cell>
          <cell r="H205">
            <v>7.9000000000000008E-3</v>
          </cell>
          <cell r="I205">
            <v>7.9000000000000008E-3</v>
          </cell>
          <cell r="J205">
            <v>7.9000000000000008E-3</v>
          </cell>
          <cell r="K205">
            <v>7.9000000000000008E-3</v>
          </cell>
          <cell r="M205">
            <v>7.9000000000000008E-3</v>
          </cell>
          <cell r="O205">
            <v>0</v>
          </cell>
          <cell r="P205">
            <v>0</v>
          </cell>
          <cell r="Q205">
            <v>0</v>
          </cell>
        </row>
        <row r="206">
          <cell r="B206" t="str">
            <v>Rate III LT - Energy (Summer)_OnPeak</v>
          </cell>
          <cell r="D206">
            <v>7.9000000000000008E-3</v>
          </cell>
          <cell r="E206">
            <v>7.9000000000000008E-3</v>
          </cell>
          <cell r="G206">
            <v>7.9000000000000008E-3</v>
          </cell>
          <cell r="H206">
            <v>7.9000000000000008E-3</v>
          </cell>
          <cell r="I206">
            <v>7.9000000000000008E-3</v>
          </cell>
          <cell r="J206">
            <v>7.9000000000000008E-3</v>
          </cell>
          <cell r="K206">
            <v>7.9000000000000008E-3</v>
          </cell>
          <cell r="M206">
            <v>7.9000000000000008E-3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Rate III LT - Energy (Summer)_OffPeak</v>
          </cell>
          <cell r="D207">
            <v>7.9000000000000008E-3</v>
          </cell>
          <cell r="E207">
            <v>7.9000000000000008E-3</v>
          </cell>
          <cell r="G207">
            <v>7.9000000000000008E-3</v>
          </cell>
          <cell r="H207">
            <v>7.9000000000000008E-3</v>
          </cell>
          <cell r="I207">
            <v>7.9000000000000008E-3</v>
          </cell>
          <cell r="J207">
            <v>7.9000000000000008E-3</v>
          </cell>
          <cell r="K207">
            <v>7.9000000000000008E-3</v>
          </cell>
          <cell r="M207">
            <v>7.9000000000000008E-3</v>
          </cell>
          <cell r="O207">
            <v>0</v>
          </cell>
          <cell r="P207">
            <v>0</v>
          </cell>
          <cell r="Q207">
            <v>0</v>
          </cell>
        </row>
        <row r="208">
          <cell r="B208" t="str">
            <v>Rate III LT - Energy (Winter)_OnPeak</v>
          </cell>
          <cell r="D208">
            <v>7.9000000000000008E-3</v>
          </cell>
          <cell r="E208">
            <v>7.9000000000000008E-3</v>
          </cell>
          <cell r="G208">
            <v>7.9000000000000008E-3</v>
          </cell>
          <cell r="H208">
            <v>7.9000000000000008E-3</v>
          </cell>
          <cell r="I208">
            <v>7.9000000000000008E-3</v>
          </cell>
          <cell r="J208">
            <v>7.9000000000000008E-3</v>
          </cell>
          <cell r="K208">
            <v>7.9000000000000008E-3</v>
          </cell>
          <cell r="M208">
            <v>7.9000000000000008E-3</v>
          </cell>
          <cell r="O208">
            <v>0</v>
          </cell>
          <cell r="P208">
            <v>0</v>
          </cell>
          <cell r="Q208">
            <v>0</v>
          </cell>
        </row>
        <row r="209">
          <cell r="B209" t="str">
            <v>Rate III LT - Energy (Winter)_OffPeak</v>
          </cell>
          <cell r="D209">
            <v>7.9000000000000008E-3</v>
          </cell>
          <cell r="E209">
            <v>7.9000000000000008E-3</v>
          </cell>
          <cell r="G209">
            <v>7.9000000000000008E-3</v>
          </cell>
          <cell r="H209">
            <v>7.9000000000000008E-3</v>
          </cell>
          <cell r="I209">
            <v>7.9000000000000008E-3</v>
          </cell>
          <cell r="J209">
            <v>7.9000000000000008E-3</v>
          </cell>
          <cell r="K209">
            <v>7.9000000000000008E-3</v>
          </cell>
          <cell r="M209">
            <v>7.9000000000000008E-3</v>
          </cell>
          <cell r="O209">
            <v>0</v>
          </cell>
          <cell r="P209">
            <v>0</v>
          </cell>
          <cell r="Q209">
            <v>0</v>
          </cell>
        </row>
        <row r="210">
          <cell r="B210" t="str">
            <v>Rate III HT - Energy (Summer)_OnPeak</v>
          </cell>
          <cell r="D210">
            <v>7.9000000000000008E-3</v>
          </cell>
          <cell r="E210">
            <v>7.9000000000000008E-3</v>
          </cell>
          <cell r="G210">
            <v>7.9000000000000008E-3</v>
          </cell>
          <cell r="H210">
            <v>7.9000000000000008E-3</v>
          </cell>
          <cell r="I210">
            <v>7.9000000000000008E-3</v>
          </cell>
          <cell r="J210">
            <v>7.9000000000000008E-3</v>
          </cell>
          <cell r="K210">
            <v>7.9000000000000008E-3</v>
          </cell>
          <cell r="M210">
            <v>7.9000000000000008E-3</v>
          </cell>
          <cell r="O210">
            <v>0</v>
          </cell>
          <cell r="P210">
            <v>0</v>
          </cell>
          <cell r="Q210">
            <v>0</v>
          </cell>
        </row>
        <row r="211">
          <cell r="B211" t="str">
            <v>Rate III HT - Energy (Summer)_OffPeak</v>
          </cell>
          <cell r="D211">
            <v>7.9000000000000008E-3</v>
          </cell>
          <cell r="E211">
            <v>7.9000000000000008E-3</v>
          </cell>
          <cell r="G211">
            <v>7.9000000000000008E-3</v>
          </cell>
          <cell r="H211">
            <v>7.9000000000000008E-3</v>
          </cell>
          <cell r="I211">
            <v>7.9000000000000008E-3</v>
          </cell>
          <cell r="J211">
            <v>7.9000000000000008E-3</v>
          </cell>
          <cell r="K211">
            <v>7.9000000000000008E-3</v>
          </cell>
          <cell r="M211">
            <v>7.9000000000000008E-3</v>
          </cell>
          <cell r="O211">
            <v>0</v>
          </cell>
          <cell r="P211">
            <v>0</v>
          </cell>
          <cell r="Q211">
            <v>0</v>
          </cell>
        </row>
        <row r="212">
          <cell r="B212" t="str">
            <v>Rate III HT - Energy (Winter)_OnPeak</v>
          </cell>
          <cell r="D212">
            <v>7.9000000000000008E-3</v>
          </cell>
          <cell r="E212">
            <v>7.9000000000000008E-3</v>
          </cell>
          <cell r="G212">
            <v>7.9000000000000008E-3</v>
          </cell>
          <cell r="H212">
            <v>7.9000000000000008E-3</v>
          </cell>
          <cell r="I212">
            <v>7.9000000000000008E-3</v>
          </cell>
          <cell r="J212">
            <v>7.9000000000000008E-3</v>
          </cell>
          <cell r="K212">
            <v>7.9000000000000008E-3</v>
          </cell>
          <cell r="M212">
            <v>7.9000000000000008E-3</v>
          </cell>
          <cell r="O212">
            <v>0</v>
          </cell>
          <cell r="P212">
            <v>0</v>
          </cell>
          <cell r="Q212">
            <v>0</v>
          </cell>
        </row>
        <row r="213">
          <cell r="B213" t="str">
            <v>Rate III HT - Energy (Winter)_OffPeak</v>
          </cell>
          <cell r="D213">
            <v>7.9000000000000008E-3</v>
          </cell>
          <cell r="E213">
            <v>7.9000000000000008E-3</v>
          </cell>
          <cell r="G213">
            <v>7.9000000000000008E-3</v>
          </cell>
          <cell r="H213">
            <v>7.9000000000000008E-3</v>
          </cell>
          <cell r="I213">
            <v>7.9000000000000008E-3</v>
          </cell>
          <cell r="J213">
            <v>7.9000000000000008E-3</v>
          </cell>
          <cell r="K213">
            <v>7.9000000000000008E-3</v>
          </cell>
          <cell r="M213">
            <v>7.9000000000000008E-3</v>
          </cell>
          <cell r="O213">
            <v>0</v>
          </cell>
          <cell r="P213">
            <v>0</v>
          </cell>
          <cell r="Q213">
            <v>0</v>
          </cell>
        </row>
        <row r="214">
          <cell r="B214" t="str">
            <v>SC4 Rate II (Summer)_(8-6)</v>
          </cell>
          <cell r="E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B215" t="str">
            <v>SC4 Rate II (Summer)_(8-10)</v>
          </cell>
          <cell r="E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M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B216" t="str">
            <v>SC4 Rate II (Summer)_(All Day)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B217" t="str">
            <v>SC4 Rate II (Winter)_(8-6)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B218" t="str">
            <v>SC4 Rate II (Winter)_(8-10)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B219" t="str">
            <v>SC4 Rate II (Winter)_(All Day)</v>
          </cell>
          <cell r="E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B220" t="str">
            <v>SC4 Rate III (Summer)_(8-6)</v>
          </cell>
          <cell r="E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B221" t="str">
            <v>SC4 Rate III (Summer)_(8-10)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B222" t="str">
            <v>SC4 Rate III (Summer)_(All Day)</v>
          </cell>
          <cell r="E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O222">
            <v>0</v>
          </cell>
          <cell r="P222">
            <v>0</v>
          </cell>
          <cell r="Q222">
            <v>0</v>
          </cell>
        </row>
        <row r="223">
          <cell r="B223" t="str">
            <v>SC4 Rate III (Winter)_(8-6)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</row>
        <row r="224">
          <cell r="B224" t="str">
            <v>SC4 Rate III (Winter)_(8-10)</v>
          </cell>
          <cell r="E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</row>
        <row r="225">
          <cell r="B225" t="str">
            <v>SC4 Rate III (Winter)_(All Day)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</row>
        <row r="226">
          <cell r="B226" t="str">
            <v>SC5 Rate II (Summer)_(8-6)</v>
          </cell>
          <cell r="D226">
            <v>4.5999999999999996</v>
          </cell>
          <cell r="E226">
            <v>4.5999999999999996</v>
          </cell>
          <cell r="G226">
            <v>4.5999999999999996</v>
          </cell>
          <cell r="H226">
            <v>4.5999999999999996</v>
          </cell>
          <cell r="I226">
            <v>4.5999999999999996</v>
          </cell>
          <cell r="J226">
            <v>4.76</v>
          </cell>
          <cell r="K226">
            <v>5.2499999999999991</v>
          </cell>
          <cell r="M226">
            <v>5.74</v>
          </cell>
          <cell r="O226">
            <v>0</v>
          </cell>
          <cell r="P226">
            <v>0</v>
          </cell>
          <cell r="Q226">
            <v>0</v>
          </cell>
        </row>
        <row r="227">
          <cell r="B227" t="str">
            <v>SC5 Rate II (Summer)_(8-10)</v>
          </cell>
          <cell r="D227">
            <v>9.4599999999999991</v>
          </cell>
          <cell r="E227">
            <v>9.4599999999999991</v>
          </cell>
          <cell r="G227">
            <v>9.35</v>
          </cell>
          <cell r="H227">
            <v>9.35</v>
          </cell>
          <cell r="I227">
            <v>9.35</v>
          </cell>
          <cell r="J227">
            <v>9.67</v>
          </cell>
          <cell r="K227">
            <v>10.66</v>
          </cell>
          <cell r="M227">
            <v>11.66</v>
          </cell>
          <cell r="O227">
            <v>0</v>
          </cell>
          <cell r="P227">
            <v>0</v>
          </cell>
          <cell r="Q227">
            <v>0</v>
          </cell>
        </row>
        <row r="228">
          <cell r="B228" t="str">
            <v>SC5 Rate II (Summer)_(All Day)</v>
          </cell>
          <cell r="D228">
            <v>9.0599999999999987</v>
          </cell>
          <cell r="E228">
            <v>9.0599999999999987</v>
          </cell>
          <cell r="G228">
            <v>9.98</v>
          </cell>
          <cell r="H228">
            <v>9.98</v>
          </cell>
          <cell r="I228">
            <v>9.98</v>
          </cell>
          <cell r="J228">
            <v>10.32</v>
          </cell>
          <cell r="K228">
            <v>11.379999999999999</v>
          </cell>
          <cell r="M228">
            <v>12.450000000000001</v>
          </cell>
          <cell r="O228">
            <v>0</v>
          </cell>
          <cell r="P228">
            <v>0</v>
          </cell>
          <cell r="Q228">
            <v>0</v>
          </cell>
        </row>
        <row r="229">
          <cell r="B229" t="str">
            <v>SC5 Rate II (Winter)_(8-6)</v>
          </cell>
          <cell r="E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  <cell r="O229">
            <v>0</v>
          </cell>
          <cell r="P229">
            <v>0</v>
          </cell>
          <cell r="Q229">
            <v>0</v>
          </cell>
        </row>
        <row r="230">
          <cell r="B230" t="str">
            <v>SC5 Rate II (Winter)_(8-10)</v>
          </cell>
          <cell r="D230">
            <v>8.0399999999999991</v>
          </cell>
          <cell r="E230">
            <v>8.0399999999999991</v>
          </cell>
          <cell r="G230">
            <v>7.93</v>
          </cell>
          <cell r="H230">
            <v>7.93</v>
          </cell>
          <cell r="I230">
            <v>7.93</v>
          </cell>
          <cell r="J230">
            <v>8.1999999999999993</v>
          </cell>
          <cell r="K230">
            <v>9.0399999999999991</v>
          </cell>
          <cell r="M230">
            <v>9.89</v>
          </cell>
          <cell r="O230">
            <v>0</v>
          </cell>
          <cell r="P230">
            <v>0</v>
          </cell>
          <cell r="Q230">
            <v>0</v>
          </cell>
        </row>
        <row r="231">
          <cell r="B231" t="str">
            <v>SC5 Rate II (Winter)_(All Day)</v>
          </cell>
          <cell r="D231">
            <v>2.8599999999999994</v>
          </cell>
          <cell r="E231">
            <v>2.8599999999999994</v>
          </cell>
          <cell r="G231">
            <v>3.78</v>
          </cell>
          <cell r="H231">
            <v>3.78</v>
          </cell>
          <cell r="I231">
            <v>3.78</v>
          </cell>
          <cell r="J231">
            <v>3.9099999999999993</v>
          </cell>
          <cell r="K231">
            <v>4.3099999999999987</v>
          </cell>
          <cell r="M231">
            <v>4.7200000000000006</v>
          </cell>
          <cell r="O231">
            <v>0</v>
          </cell>
          <cell r="P231">
            <v>0</v>
          </cell>
          <cell r="Q231">
            <v>0</v>
          </cell>
        </row>
        <row r="232">
          <cell r="B232" t="str">
            <v>SC8 Rate II (Summer)_(8-6)</v>
          </cell>
          <cell r="D232">
            <v>9.06</v>
          </cell>
          <cell r="E232">
            <v>9.06</v>
          </cell>
          <cell r="G232">
            <v>9.06</v>
          </cell>
          <cell r="H232">
            <v>9.06</v>
          </cell>
          <cell r="I232">
            <v>9.06</v>
          </cell>
          <cell r="J232">
            <v>9.2900000000000009</v>
          </cell>
          <cell r="K232">
            <v>9.990000000000002</v>
          </cell>
          <cell r="M232">
            <v>10.63</v>
          </cell>
          <cell r="O232">
            <v>0</v>
          </cell>
          <cell r="P232">
            <v>0</v>
          </cell>
          <cell r="Q232">
            <v>0</v>
          </cell>
        </row>
        <row r="233">
          <cell r="B233" t="str">
            <v>SC8 Rate II (Summer)_(8-10)</v>
          </cell>
          <cell r="D233">
            <v>21.84</v>
          </cell>
          <cell r="E233">
            <v>21.84</v>
          </cell>
          <cell r="G233">
            <v>21.84</v>
          </cell>
          <cell r="H233">
            <v>21.84</v>
          </cell>
          <cell r="I233">
            <v>21.84</v>
          </cell>
          <cell r="J233">
            <v>22.4</v>
          </cell>
          <cell r="K233">
            <v>24.080000000000002</v>
          </cell>
          <cell r="M233">
            <v>25.62</v>
          </cell>
          <cell r="O233">
            <v>0</v>
          </cell>
          <cell r="P233">
            <v>0</v>
          </cell>
          <cell r="Q233">
            <v>0</v>
          </cell>
        </row>
        <row r="234">
          <cell r="B234" t="str">
            <v>SC8 Rate II (Summer)_(All Day)</v>
          </cell>
          <cell r="D234">
            <v>17.740000000000002</v>
          </cell>
          <cell r="E234">
            <v>17.740000000000002</v>
          </cell>
          <cell r="G234">
            <v>17.740000000000002</v>
          </cell>
          <cell r="H234">
            <v>17.740000000000002</v>
          </cell>
          <cell r="I234">
            <v>17.740000000000002</v>
          </cell>
          <cell r="J234">
            <v>18.2</v>
          </cell>
          <cell r="K234">
            <v>19.560000000000002</v>
          </cell>
          <cell r="M234">
            <v>20.81</v>
          </cell>
          <cell r="O234">
            <v>0</v>
          </cell>
          <cell r="P234">
            <v>0</v>
          </cell>
          <cell r="Q234">
            <v>0</v>
          </cell>
        </row>
        <row r="235">
          <cell r="B235" t="str">
            <v>SC8 Rate II (Winter)_(8-6)</v>
          </cell>
          <cell r="E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  <cell r="O235">
            <v>0</v>
          </cell>
          <cell r="P235">
            <v>0</v>
          </cell>
          <cell r="Q235">
            <v>0</v>
          </cell>
        </row>
        <row r="236">
          <cell r="B236" t="str">
            <v>SC8 Rate II (Winter)_(8-10)</v>
          </cell>
          <cell r="D236">
            <v>15.98</v>
          </cell>
          <cell r="E236">
            <v>15.98</v>
          </cell>
          <cell r="G236">
            <v>15.98</v>
          </cell>
          <cell r="H236">
            <v>15.98</v>
          </cell>
          <cell r="I236">
            <v>15.98</v>
          </cell>
          <cell r="J236">
            <v>16.39</v>
          </cell>
          <cell r="K236">
            <v>17.62</v>
          </cell>
          <cell r="M236">
            <v>18.75</v>
          </cell>
          <cell r="O236">
            <v>0</v>
          </cell>
          <cell r="P236">
            <v>0</v>
          </cell>
          <cell r="Q236">
            <v>0</v>
          </cell>
        </row>
        <row r="237">
          <cell r="B237" t="str">
            <v>SC8 Rate II (Winter)_(All Day)</v>
          </cell>
          <cell r="D237">
            <v>3.74</v>
          </cell>
          <cell r="E237">
            <v>3.74</v>
          </cell>
          <cell r="G237">
            <v>3.74</v>
          </cell>
          <cell r="H237">
            <v>3.74</v>
          </cell>
          <cell r="I237">
            <v>3.74</v>
          </cell>
          <cell r="J237">
            <v>3.83</v>
          </cell>
          <cell r="K237">
            <v>4.120000000000001</v>
          </cell>
          <cell r="M237">
            <v>4.3900000000000006</v>
          </cell>
          <cell r="O237">
            <v>0</v>
          </cell>
          <cell r="P237">
            <v>0</v>
          </cell>
          <cell r="Q237">
            <v>0</v>
          </cell>
        </row>
        <row r="238">
          <cell r="B238" t="str">
            <v>SC8 Rate III (Summer)_(8-6)</v>
          </cell>
          <cell r="D238">
            <v>9.02</v>
          </cell>
          <cell r="E238">
            <v>9.02</v>
          </cell>
          <cell r="G238">
            <v>9.02</v>
          </cell>
          <cell r="H238">
            <v>9.02</v>
          </cell>
          <cell r="I238">
            <v>9.02</v>
          </cell>
          <cell r="J238">
            <v>9.32</v>
          </cell>
          <cell r="K238">
            <v>9.93</v>
          </cell>
          <cell r="M238">
            <v>10.47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SC8 Rate III (Summer)_(8-10)</v>
          </cell>
          <cell r="D239">
            <v>21.52</v>
          </cell>
          <cell r="E239">
            <v>21.52</v>
          </cell>
          <cell r="G239">
            <v>21.52</v>
          </cell>
          <cell r="H239">
            <v>21.52</v>
          </cell>
          <cell r="I239">
            <v>21.52</v>
          </cell>
          <cell r="J239">
            <v>22.24</v>
          </cell>
          <cell r="K239">
            <v>23.69</v>
          </cell>
          <cell r="M239">
            <v>24.98</v>
          </cell>
          <cell r="O239">
            <v>0</v>
          </cell>
          <cell r="P239">
            <v>0</v>
          </cell>
          <cell r="Q239">
            <v>0</v>
          </cell>
        </row>
        <row r="240">
          <cell r="B240" t="str">
            <v>SC8 Rate III (Summer)_(All Day)</v>
          </cell>
          <cell r="D240">
            <v>19.82</v>
          </cell>
          <cell r="E240">
            <v>19.82</v>
          </cell>
          <cell r="G240">
            <v>19.82</v>
          </cell>
          <cell r="H240">
            <v>19.82</v>
          </cell>
          <cell r="I240">
            <v>19.82</v>
          </cell>
          <cell r="J240">
            <v>20.48</v>
          </cell>
          <cell r="K240">
            <v>21.82</v>
          </cell>
          <cell r="M240">
            <v>23.01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SC8 Rate III (Winter)_(8-6)</v>
          </cell>
          <cell r="E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O241">
            <v>0</v>
          </cell>
          <cell r="P241">
            <v>0</v>
          </cell>
          <cell r="Q241">
            <v>0</v>
          </cell>
        </row>
        <row r="242">
          <cell r="B242" t="str">
            <v>SC8 Rate III (Winter)_(8-10)</v>
          </cell>
          <cell r="D242">
            <v>15.9</v>
          </cell>
          <cell r="E242">
            <v>15.9</v>
          </cell>
          <cell r="G242">
            <v>15.9</v>
          </cell>
          <cell r="H242">
            <v>15.9</v>
          </cell>
          <cell r="I242">
            <v>15.9</v>
          </cell>
          <cell r="J242">
            <v>16.43</v>
          </cell>
          <cell r="K242">
            <v>17.5</v>
          </cell>
          <cell r="M242">
            <v>18.46</v>
          </cell>
          <cell r="O242">
            <v>0</v>
          </cell>
          <cell r="P242">
            <v>0</v>
          </cell>
          <cell r="Q242">
            <v>0</v>
          </cell>
        </row>
        <row r="243">
          <cell r="B243" t="str">
            <v>SC8 Rate III (Winter)_(All Day)</v>
          </cell>
          <cell r="D243">
            <v>6.3100000000000005</v>
          </cell>
          <cell r="E243">
            <v>6.3100000000000005</v>
          </cell>
          <cell r="G243">
            <v>6.3100000000000005</v>
          </cell>
          <cell r="H243">
            <v>6.3100000000000005</v>
          </cell>
          <cell r="I243">
            <v>6.3100000000000005</v>
          </cell>
          <cell r="J243">
            <v>6.52</v>
          </cell>
          <cell r="K243">
            <v>6.9399999999999995</v>
          </cell>
          <cell r="M243">
            <v>7.33</v>
          </cell>
          <cell r="O243">
            <v>0</v>
          </cell>
          <cell r="P243">
            <v>0</v>
          </cell>
          <cell r="Q243">
            <v>0</v>
          </cell>
        </row>
        <row r="244">
          <cell r="B244" t="str">
            <v>SC9 Rate II (Summer)_(8-6)</v>
          </cell>
          <cell r="D244">
            <v>8.33</v>
          </cell>
          <cell r="E244">
            <v>8.33</v>
          </cell>
          <cell r="G244">
            <v>8.33</v>
          </cell>
          <cell r="H244">
            <v>8.33</v>
          </cell>
          <cell r="I244">
            <v>8.33</v>
          </cell>
          <cell r="J244">
            <v>8.5299999999999994</v>
          </cell>
          <cell r="K244">
            <v>9.1500000000000021</v>
          </cell>
          <cell r="M244">
            <v>9.73</v>
          </cell>
          <cell r="O244">
            <v>0</v>
          </cell>
          <cell r="P244">
            <v>0</v>
          </cell>
          <cell r="Q244">
            <v>0</v>
          </cell>
        </row>
        <row r="245">
          <cell r="B245" t="str">
            <v>SC9 Rate II (Summer)_(8-10)</v>
          </cell>
          <cell r="D245">
            <v>15.56</v>
          </cell>
          <cell r="E245">
            <v>15.56</v>
          </cell>
          <cell r="G245">
            <v>16.79</v>
          </cell>
          <cell r="H245">
            <v>16.79</v>
          </cell>
          <cell r="I245">
            <v>16.79</v>
          </cell>
          <cell r="J245">
            <v>17.189999999999998</v>
          </cell>
          <cell r="K245">
            <v>18.440000000000001</v>
          </cell>
          <cell r="M245">
            <v>19.600000000000001</v>
          </cell>
          <cell r="O245">
            <v>0</v>
          </cell>
          <cell r="P245">
            <v>0</v>
          </cell>
          <cell r="Q245">
            <v>0</v>
          </cell>
        </row>
        <row r="246">
          <cell r="B246" t="str">
            <v>SC9 Rate II (Summer)_(All Day)</v>
          </cell>
          <cell r="D246">
            <v>16.7</v>
          </cell>
          <cell r="E246">
            <v>16.7</v>
          </cell>
          <cell r="G246">
            <v>15.17</v>
          </cell>
          <cell r="H246">
            <v>15.17</v>
          </cell>
          <cell r="I246">
            <v>15.17</v>
          </cell>
          <cell r="J246">
            <v>15.53</v>
          </cell>
          <cell r="K246">
            <v>16.66</v>
          </cell>
          <cell r="M246">
            <v>17.71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SC9 Rate II (Winter)_(8-6)</v>
          </cell>
          <cell r="E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M247">
            <v>0</v>
          </cell>
          <cell r="O247">
            <v>0</v>
          </cell>
          <cell r="P247">
            <v>0</v>
          </cell>
          <cell r="Q247">
            <v>0</v>
          </cell>
        </row>
        <row r="248">
          <cell r="B248" t="str">
            <v>SC9 Rate II (Winter)_(8-10)</v>
          </cell>
          <cell r="D248">
            <v>11.48</v>
          </cell>
          <cell r="E248">
            <v>11.48</v>
          </cell>
          <cell r="G248">
            <v>12.71</v>
          </cell>
          <cell r="H248">
            <v>12.71</v>
          </cell>
          <cell r="I248">
            <v>12.71</v>
          </cell>
          <cell r="J248">
            <v>13.01</v>
          </cell>
          <cell r="K248">
            <v>13.96</v>
          </cell>
          <cell r="M248">
            <v>14.84</v>
          </cell>
          <cell r="O248">
            <v>0</v>
          </cell>
          <cell r="P248">
            <v>0</v>
          </cell>
          <cell r="Q248">
            <v>0</v>
          </cell>
        </row>
        <row r="249">
          <cell r="B249" t="str">
            <v>SC9 Rate II (Winter)_(All Day)</v>
          </cell>
          <cell r="D249">
            <v>5.36</v>
          </cell>
          <cell r="E249">
            <v>5.36</v>
          </cell>
          <cell r="G249">
            <v>3.83</v>
          </cell>
          <cell r="H249">
            <v>3.83</v>
          </cell>
          <cell r="I249">
            <v>3.83</v>
          </cell>
          <cell r="J249">
            <v>3.92</v>
          </cell>
          <cell r="K249">
            <v>4.2100000000000009</v>
          </cell>
          <cell r="M249">
            <v>4.4700000000000006</v>
          </cell>
          <cell r="O249">
            <v>0</v>
          </cell>
          <cell r="P249">
            <v>0</v>
          </cell>
          <cell r="Q249">
            <v>0</v>
          </cell>
        </row>
        <row r="250">
          <cell r="B250" t="str">
            <v>SC9 Rate III (Summer)_(8-6)</v>
          </cell>
          <cell r="D250">
            <v>8.9499999999999993</v>
          </cell>
          <cell r="E250">
            <v>8.9499999999999993</v>
          </cell>
          <cell r="G250">
            <v>8.9499999999999993</v>
          </cell>
          <cell r="H250">
            <v>8.9499999999999993</v>
          </cell>
          <cell r="I250">
            <v>8.9499999999999993</v>
          </cell>
          <cell r="J250">
            <v>9.2800000000000011</v>
          </cell>
          <cell r="K250">
            <v>9.9499999999999993</v>
          </cell>
          <cell r="M250">
            <v>10.559999999999999</v>
          </cell>
          <cell r="O250">
            <v>0</v>
          </cell>
          <cell r="P250">
            <v>0</v>
          </cell>
          <cell r="Q250">
            <v>0</v>
          </cell>
        </row>
        <row r="251">
          <cell r="B251" t="str">
            <v>SC9 Rate III (Summer)_(8-10)</v>
          </cell>
          <cell r="D251">
            <v>19.2</v>
          </cell>
          <cell r="E251">
            <v>19.2</v>
          </cell>
          <cell r="G251">
            <v>19.2</v>
          </cell>
          <cell r="H251">
            <v>19.2</v>
          </cell>
          <cell r="I251">
            <v>19.2</v>
          </cell>
          <cell r="J251">
            <v>19.91</v>
          </cell>
          <cell r="K251">
            <v>21.35</v>
          </cell>
          <cell r="M251">
            <v>22.66</v>
          </cell>
          <cell r="O251">
            <v>0</v>
          </cell>
          <cell r="P251">
            <v>0</v>
          </cell>
          <cell r="Q251">
            <v>0</v>
          </cell>
        </row>
        <row r="252">
          <cell r="B252" t="str">
            <v>SC9 Rate III (Summer)_(All Day)</v>
          </cell>
          <cell r="D252">
            <v>18.36</v>
          </cell>
          <cell r="E252">
            <v>18.36</v>
          </cell>
          <cell r="G252">
            <v>18.36</v>
          </cell>
          <cell r="H252">
            <v>18.36</v>
          </cell>
          <cell r="I252">
            <v>18.36</v>
          </cell>
          <cell r="J252">
            <v>19.04</v>
          </cell>
          <cell r="K252">
            <v>20.41</v>
          </cell>
          <cell r="M252">
            <v>21.67</v>
          </cell>
          <cell r="O252">
            <v>0</v>
          </cell>
          <cell r="P252">
            <v>0</v>
          </cell>
          <cell r="Q252">
            <v>0</v>
          </cell>
        </row>
        <row r="253">
          <cell r="B253" t="str">
            <v>SC9 Rate III (Winter)_(8-6)</v>
          </cell>
          <cell r="E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</row>
        <row r="254">
          <cell r="B254" t="str">
            <v>SC9 Rate III (Winter)_(8-10)</v>
          </cell>
          <cell r="D254">
            <v>12.43</v>
          </cell>
          <cell r="E254">
            <v>12.43</v>
          </cell>
          <cell r="G254">
            <v>12.43</v>
          </cell>
          <cell r="H254">
            <v>12.43</v>
          </cell>
          <cell r="I254">
            <v>12.43</v>
          </cell>
          <cell r="J254">
            <v>12.89</v>
          </cell>
          <cell r="K254">
            <v>13.82</v>
          </cell>
          <cell r="M254">
            <v>14.67</v>
          </cell>
          <cell r="O254">
            <v>0</v>
          </cell>
          <cell r="P254">
            <v>0</v>
          </cell>
          <cell r="Q254">
            <v>0</v>
          </cell>
        </row>
        <row r="255">
          <cell r="B255" t="str">
            <v>SC9 Rate III (Winter)_(All Day)</v>
          </cell>
          <cell r="D255">
            <v>5.26</v>
          </cell>
          <cell r="E255">
            <v>5.26</v>
          </cell>
          <cell r="G255">
            <v>5.26</v>
          </cell>
          <cell r="H255">
            <v>5.26</v>
          </cell>
          <cell r="I255">
            <v>5.26</v>
          </cell>
          <cell r="J255">
            <v>5.4600000000000009</v>
          </cell>
          <cell r="K255">
            <v>5.8500000000000005</v>
          </cell>
          <cell r="M255">
            <v>6.2099999999999991</v>
          </cell>
          <cell r="O255">
            <v>0</v>
          </cell>
          <cell r="P255">
            <v>0</v>
          </cell>
          <cell r="Q255">
            <v>0</v>
          </cell>
        </row>
        <row r="256">
          <cell r="B256" t="str">
            <v>SC12 Rate II (Summer)_(8-6)</v>
          </cell>
          <cell r="D256">
            <v>8.1399999999999988</v>
          </cell>
          <cell r="E256">
            <v>8.1399999999999988</v>
          </cell>
          <cell r="G256">
            <v>8.1399999999999988</v>
          </cell>
          <cell r="H256">
            <v>8.1399999999999988</v>
          </cell>
          <cell r="I256">
            <v>8.1399999999999988</v>
          </cell>
          <cell r="J256">
            <v>8.3500000000000014</v>
          </cell>
          <cell r="K256">
            <v>8.99</v>
          </cell>
          <cell r="M256">
            <v>9.57</v>
          </cell>
          <cell r="O256">
            <v>0</v>
          </cell>
          <cell r="P256">
            <v>0</v>
          </cell>
          <cell r="Q256">
            <v>0</v>
          </cell>
        </row>
        <row r="257">
          <cell r="B257" t="str">
            <v>SC12 Rate II (Summer)_(8-10)</v>
          </cell>
          <cell r="D257">
            <v>20.93</v>
          </cell>
          <cell r="E257">
            <v>20.93</v>
          </cell>
          <cell r="G257">
            <v>20.93</v>
          </cell>
          <cell r="H257">
            <v>20.93</v>
          </cell>
          <cell r="I257">
            <v>20.93</v>
          </cell>
          <cell r="J257">
            <v>21.48</v>
          </cell>
          <cell r="K257">
            <v>23.11</v>
          </cell>
          <cell r="M257">
            <v>24.61</v>
          </cell>
          <cell r="O257">
            <v>0</v>
          </cell>
          <cell r="P257">
            <v>0</v>
          </cell>
          <cell r="Q257">
            <v>0</v>
          </cell>
        </row>
        <row r="258">
          <cell r="B258" t="str">
            <v>SC12 Rate II (Summer)_(All Day)</v>
          </cell>
          <cell r="D258">
            <v>12.399999999999999</v>
          </cell>
          <cell r="E258">
            <v>12.399999999999999</v>
          </cell>
          <cell r="G258">
            <v>12.399999999999999</v>
          </cell>
          <cell r="H258">
            <v>12.399999999999999</v>
          </cell>
          <cell r="I258">
            <v>12.399999999999999</v>
          </cell>
          <cell r="J258">
            <v>12.72</v>
          </cell>
          <cell r="K258">
            <v>13.69</v>
          </cell>
          <cell r="M258">
            <v>14.58</v>
          </cell>
          <cell r="O258">
            <v>0</v>
          </cell>
          <cell r="P258">
            <v>0</v>
          </cell>
          <cell r="Q258">
            <v>0</v>
          </cell>
        </row>
        <row r="259">
          <cell r="B259" t="str">
            <v>SC12 Rate II (Winter)_(8-6)</v>
          </cell>
          <cell r="E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</row>
        <row r="260">
          <cell r="B260" t="str">
            <v>SC12 Rate II (Winter)_(8-10)</v>
          </cell>
          <cell r="D260">
            <v>13.37</v>
          </cell>
          <cell r="E260">
            <v>13.37</v>
          </cell>
          <cell r="G260">
            <v>13.37</v>
          </cell>
          <cell r="H260">
            <v>13.37</v>
          </cell>
          <cell r="I260">
            <v>13.37</v>
          </cell>
          <cell r="J260">
            <v>13.72</v>
          </cell>
          <cell r="K260">
            <v>14.76</v>
          </cell>
          <cell r="M260">
            <v>15.72</v>
          </cell>
          <cell r="O260">
            <v>0</v>
          </cell>
          <cell r="P260">
            <v>0</v>
          </cell>
          <cell r="Q260">
            <v>0</v>
          </cell>
        </row>
        <row r="261">
          <cell r="B261" t="str">
            <v>SC12 Rate II (Winter)_(All Day)</v>
          </cell>
          <cell r="D261">
            <v>8.43</v>
          </cell>
          <cell r="E261">
            <v>8.43</v>
          </cell>
          <cell r="G261">
            <v>8.43</v>
          </cell>
          <cell r="H261">
            <v>8.43</v>
          </cell>
          <cell r="I261">
            <v>8.43</v>
          </cell>
          <cell r="J261">
            <v>8.65</v>
          </cell>
          <cell r="K261">
            <v>9.3099999999999987</v>
          </cell>
          <cell r="M261">
            <v>9.91</v>
          </cell>
          <cell r="O261">
            <v>0</v>
          </cell>
          <cell r="P261">
            <v>0</v>
          </cell>
          <cell r="Q261">
            <v>0</v>
          </cell>
        </row>
        <row r="262">
          <cell r="B262" t="str">
            <v>SC12 Rate III (Summer)_(8-6)</v>
          </cell>
          <cell r="D262">
            <v>7.55</v>
          </cell>
          <cell r="E262">
            <v>7.55</v>
          </cell>
          <cell r="G262">
            <v>7.55</v>
          </cell>
          <cell r="H262">
            <v>7.55</v>
          </cell>
          <cell r="I262">
            <v>7.55</v>
          </cell>
          <cell r="J262">
            <v>7.7900000000000009</v>
          </cell>
          <cell r="K262">
            <v>8.370000000000001</v>
          </cell>
          <cell r="M262">
            <v>8.8999999999999986</v>
          </cell>
          <cell r="O262">
            <v>0</v>
          </cell>
          <cell r="P262">
            <v>0</v>
          </cell>
          <cell r="Q262">
            <v>0</v>
          </cell>
        </row>
        <row r="263">
          <cell r="B263" t="str">
            <v>SC12 Rate III (Summer)_(8-10)</v>
          </cell>
          <cell r="D263">
            <v>17.84</v>
          </cell>
          <cell r="E263">
            <v>17.84</v>
          </cell>
          <cell r="G263">
            <v>17.84</v>
          </cell>
          <cell r="H263">
            <v>17.84</v>
          </cell>
          <cell r="I263">
            <v>17.84</v>
          </cell>
          <cell r="J263">
            <v>18.41</v>
          </cell>
          <cell r="K263">
            <v>19.78</v>
          </cell>
          <cell r="M263">
            <v>21.03</v>
          </cell>
          <cell r="O263">
            <v>0</v>
          </cell>
          <cell r="P263">
            <v>0</v>
          </cell>
          <cell r="Q263">
            <v>0</v>
          </cell>
        </row>
        <row r="264">
          <cell r="B264" t="str">
            <v>SC12 Rate III (Summer)_(All Day)</v>
          </cell>
          <cell r="D264">
            <v>18.350000000000001</v>
          </cell>
          <cell r="E264">
            <v>18.350000000000001</v>
          </cell>
          <cell r="G264">
            <v>18.350000000000001</v>
          </cell>
          <cell r="H264">
            <v>18.350000000000001</v>
          </cell>
          <cell r="I264">
            <v>18.350000000000001</v>
          </cell>
          <cell r="J264">
            <v>18.940000000000001</v>
          </cell>
          <cell r="K264">
            <v>20.350000000000001</v>
          </cell>
          <cell r="M264">
            <v>21.64</v>
          </cell>
          <cell r="O264">
            <v>0</v>
          </cell>
          <cell r="P264">
            <v>0</v>
          </cell>
          <cell r="Q264">
            <v>0</v>
          </cell>
        </row>
        <row r="265">
          <cell r="B265" t="str">
            <v>SC12 Rate III (Winter)_(8-6)</v>
          </cell>
          <cell r="E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</row>
        <row r="266">
          <cell r="B266" t="str">
            <v>SC12 Rate III (Winter)_(8-10)</v>
          </cell>
          <cell r="D266">
            <v>7.88</v>
          </cell>
          <cell r="E266">
            <v>7.88</v>
          </cell>
          <cell r="G266">
            <v>7.88</v>
          </cell>
          <cell r="H266">
            <v>7.88</v>
          </cell>
          <cell r="I266">
            <v>7.88</v>
          </cell>
          <cell r="J266">
            <v>8.1300000000000008</v>
          </cell>
          <cell r="K266">
            <v>8.74</v>
          </cell>
          <cell r="M266">
            <v>9.2899999999999991</v>
          </cell>
          <cell r="O266">
            <v>0</v>
          </cell>
          <cell r="P266">
            <v>0</v>
          </cell>
          <cell r="Q266">
            <v>0</v>
          </cell>
        </row>
        <row r="267">
          <cell r="B267" t="str">
            <v>SC12 Rate III (Winter)_(All Day)</v>
          </cell>
          <cell r="D267">
            <v>13.969999999999999</v>
          </cell>
          <cell r="E267">
            <v>13.969999999999999</v>
          </cell>
          <cell r="G267">
            <v>13.969999999999999</v>
          </cell>
          <cell r="H267">
            <v>13.969999999999999</v>
          </cell>
          <cell r="I267">
            <v>13.969999999999999</v>
          </cell>
          <cell r="J267">
            <v>14.420000000000002</v>
          </cell>
          <cell r="K267">
            <v>15.49</v>
          </cell>
          <cell r="M267">
            <v>16.47</v>
          </cell>
          <cell r="O267">
            <v>0</v>
          </cell>
          <cell r="P267">
            <v>0</v>
          </cell>
          <cell r="Q267">
            <v>0</v>
          </cell>
        </row>
        <row r="268">
          <cell r="B268" t="str">
            <v>SC13 Rate II (Summer)_(8-6)</v>
          </cell>
          <cell r="D268">
            <v>5.87</v>
          </cell>
          <cell r="E268">
            <v>5.87</v>
          </cell>
          <cell r="G268">
            <v>5.87</v>
          </cell>
          <cell r="H268">
            <v>5.87</v>
          </cell>
          <cell r="I268">
            <v>5.87</v>
          </cell>
          <cell r="J268">
            <v>6.02</v>
          </cell>
          <cell r="K268">
            <v>6.4399999999999995</v>
          </cell>
          <cell r="M268">
            <v>6.7899999999999991</v>
          </cell>
          <cell r="O268">
            <v>0</v>
          </cell>
          <cell r="P268">
            <v>0</v>
          </cell>
          <cell r="Q268">
            <v>0</v>
          </cell>
        </row>
        <row r="269">
          <cell r="B269" t="str">
            <v>SC13 Rate II (Summer)_(8-10)</v>
          </cell>
          <cell r="D269">
            <v>13.129999999999999</v>
          </cell>
          <cell r="E269">
            <v>13.129999999999999</v>
          </cell>
          <cell r="G269">
            <v>13.129999999999999</v>
          </cell>
          <cell r="H269">
            <v>13.129999999999999</v>
          </cell>
          <cell r="I269">
            <v>13.129999999999999</v>
          </cell>
          <cell r="J269">
            <v>13.469999999999999</v>
          </cell>
          <cell r="K269">
            <v>14.399999999999999</v>
          </cell>
          <cell r="M269">
            <v>15.19</v>
          </cell>
          <cell r="O269">
            <v>0</v>
          </cell>
          <cell r="P269">
            <v>0</v>
          </cell>
          <cell r="Q269">
            <v>0</v>
          </cell>
        </row>
        <row r="270">
          <cell r="B270" t="str">
            <v>SC13 Rate II (Summer)_(All Day)</v>
          </cell>
          <cell r="E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</row>
        <row r="271">
          <cell r="B271" t="str">
            <v>SC13 Rate II (Winter)_(8-6)</v>
          </cell>
          <cell r="E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</row>
        <row r="272">
          <cell r="B272" t="str">
            <v>SC13 Rate II (Winter)_(8-10)</v>
          </cell>
          <cell r="D272">
            <v>8.08</v>
          </cell>
          <cell r="E272">
            <v>8.08</v>
          </cell>
          <cell r="G272">
            <v>8.08</v>
          </cell>
          <cell r="H272">
            <v>8.08</v>
          </cell>
          <cell r="I272">
            <v>8.08</v>
          </cell>
          <cell r="J272">
            <v>8.2899999999999991</v>
          </cell>
          <cell r="K272">
            <v>8.86</v>
          </cell>
          <cell r="M272">
            <v>9.35</v>
          </cell>
          <cell r="O272">
            <v>0</v>
          </cell>
          <cell r="P272">
            <v>0</v>
          </cell>
          <cell r="Q272">
            <v>0</v>
          </cell>
        </row>
        <row r="273">
          <cell r="B273" t="str">
            <v>SC13 Rate II (Winter)_(All Day)</v>
          </cell>
          <cell r="E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M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NYPA Rate II (Summer)_(8-6)</v>
          </cell>
          <cell r="D274">
            <v>7.4</v>
          </cell>
          <cell r="E274">
            <v>7.4</v>
          </cell>
          <cell r="G274">
            <v>7.4</v>
          </cell>
          <cell r="H274">
            <v>7.4</v>
          </cell>
          <cell r="I274">
            <v>7.4</v>
          </cell>
          <cell r="J274">
            <v>7.5799999999999992</v>
          </cell>
          <cell r="K274">
            <v>8.0500000000000007</v>
          </cell>
          <cell r="M274">
            <v>8.4499999999999993</v>
          </cell>
          <cell r="O274">
            <v>0</v>
          </cell>
          <cell r="P274">
            <v>0</v>
          </cell>
          <cell r="Q274">
            <v>0</v>
          </cell>
        </row>
        <row r="275">
          <cell r="B275" t="str">
            <v>NYPA Rate II (Summer)_(8-10)</v>
          </cell>
          <cell r="D275">
            <v>20.46</v>
          </cell>
          <cell r="E275">
            <v>20.46</v>
          </cell>
          <cell r="G275">
            <v>21.77</v>
          </cell>
          <cell r="H275">
            <v>21.77</v>
          </cell>
          <cell r="I275">
            <v>21.77</v>
          </cell>
          <cell r="J275">
            <v>22.299999999999997</v>
          </cell>
          <cell r="K275">
            <v>23.689999999999998</v>
          </cell>
          <cell r="M275">
            <v>24.86</v>
          </cell>
          <cell r="O275">
            <v>0</v>
          </cell>
          <cell r="P275">
            <v>0</v>
          </cell>
          <cell r="Q275">
            <v>0</v>
          </cell>
        </row>
        <row r="276">
          <cell r="B276" t="str">
            <v>NYPA Rate II (Summer)_(All Day)</v>
          </cell>
          <cell r="D276">
            <v>22.47</v>
          </cell>
          <cell r="E276">
            <v>22.47</v>
          </cell>
          <cell r="G276">
            <v>20.09</v>
          </cell>
          <cell r="H276">
            <v>20.09</v>
          </cell>
          <cell r="I276">
            <v>20.09</v>
          </cell>
          <cell r="J276">
            <v>20.58</v>
          </cell>
          <cell r="K276">
            <v>21.86</v>
          </cell>
          <cell r="M276">
            <v>22.94</v>
          </cell>
          <cell r="O276">
            <v>0</v>
          </cell>
          <cell r="P276">
            <v>0</v>
          </cell>
          <cell r="Q276">
            <v>0</v>
          </cell>
        </row>
        <row r="277">
          <cell r="B277" t="str">
            <v>NYPA Rate II (Winter)_(8-6)</v>
          </cell>
          <cell r="E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</row>
        <row r="278">
          <cell r="B278" t="str">
            <v>NYPA Rate II (Winter)_(8-10)</v>
          </cell>
          <cell r="D278">
            <v>11.89</v>
          </cell>
          <cell r="E278">
            <v>11.89</v>
          </cell>
          <cell r="G278">
            <v>13.2</v>
          </cell>
          <cell r="H278">
            <v>13.2</v>
          </cell>
          <cell r="I278">
            <v>13.2</v>
          </cell>
          <cell r="J278">
            <v>13.52</v>
          </cell>
          <cell r="K278">
            <v>14.36</v>
          </cell>
          <cell r="M278">
            <v>15.07</v>
          </cell>
          <cell r="O278">
            <v>0</v>
          </cell>
          <cell r="P278">
            <v>0</v>
          </cell>
          <cell r="Q278">
            <v>0</v>
          </cell>
        </row>
        <row r="279">
          <cell r="B279" t="str">
            <v>NYPA Rate II (Winter)_(All Day)</v>
          </cell>
          <cell r="D279">
            <v>7.11</v>
          </cell>
          <cell r="E279">
            <v>7.11</v>
          </cell>
          <cell r="G279">
            <v>4.7300000000000004</v>
          </cell>
          <cell r="H279">
            <v>4.7300000000000004</v>
          </cell>
          <cell r="I279">
            <v>4.7300000000000004</v>
          </cell>
          <cell r="J279">
            <v>4.84</v>
          </cell>
          <cell r="K279">
            <v>5.1399999999999988</v>
          </cell>
          <cell r="M279">
            <v>5.4</v>
          </cell>
          <cell r="O279">
            <v>0</v>
          </cell>
          <cell r="P279">
            <v>0</v>
          </cell>
          <cell r="Q279">
            <v>0</v>
          </cell>
        </row>
        <row r="286">
          <cell r="D286">
            <v>2017</v>
          </cell>
        </row>
        <row r="287">
          <cell r="D287" t="str">
            <v>Current</v>
          </cell>
        </row>
        <row r="288">
          <cell r="B288">
            <v>1</v>
          </cell>
          <cell r="C288">
            <v>2</v>
          </cell>
          <cell r="D288">
            <v>3</v>
          </cell>
          <cell r="E288">
            <v>4</v>
          </cell>
          <cell r="F288">
            <v>5</v>
          </cell>
          <cell r="G288">
            <v>6</v>
          </cell>
          <cell r="H288">
            <v>7</v>
          </cell>
          <cell r="I288">
            <v>8</v>
          </cell>
        </row>
        <row r="289">
          <cell r="B289" t="str">
            <v>SC5 NTD (LT)</v>
          </cell>
          <cell r="D289">
            <v>40.83</v>
          </cell>
        </row>
        <row r="290">
          <cell r="B290" t="str">
            <v>SC5 TOD (LT)</v>
          </cell>
          <cell r="D290">
            <v>22.76</v>
          </cell>
        </row>
        <row r="291">
          <cell r="B291" t="str">
            <v>SC5 NTD (HT)</v>
          </cell>
          <cell r="D291">
            <v>27.01</v>
          </cell>
        </row>
        <row r="292">
          <cell r="B292" t="str">
            <v>SC5 TOD (HT)</v>
          </cell>
          <cell r="D292">
            <v>13.83</v>
          </cell>
        </row>
        <row r="293">
          <cell r="B293" t="str">
            <v>SC8 NTD (LT)</v>
          </cell>
          <cell r="D293">
            <v>39.75</v>
          </cell>
        </row>
        <row r="294">
          <cell r="B294" t="str">
            <v>SC8 TOD (LT)</v>
          </cell>
          <cell r="D294">
            <v>37.99</v>
          </cell>
        </row>
        <row r="295">
          <cell r="B295" t="str">
            <v>SC8 NTD (HT)</v>
          </cell>
          <cell r="D295">
            <v>26.76</v>
          </cell>
        </row>
        <row r="296">
          <cell r="B296" t="str">
            <v>SC8 TOD (HT)</v>
          </cell>
          <cell r="D296">
            <v>26.05</v>
          </cell>
        </row>
        <row r="297">
          <cell r="B297" t="str">
            <v>SC9 NTD (LT)</v>
          </cell>
          <cell r="D297">
            <v>33.65</v>
          </cell>
        </row>
        <row r="298">
          <cell r="B298" t="str">
            <v>SC9 TOD (LT)</v>
          </cell>
          <cell r="D298">
            <v>31.32</v>
          </cell>
        </row>
        <row r="299">
          <cell r="B299" t="str">
            <v>SC9 NTD (HT)</v>
          </cell>
          <cell r="D299">
            <v>21.76</v>
          </cell>
        </row>
        <row r="300">
          <cell r="B300" t="str">
            <v>SC9 TOD (HT)</v>
          </cell>
          <cell r="D300">
            <v>21.57</v>
          </cell>
        </row>
        <row r="301">
          <cell r="B301" t="str">
            <v>SC12 NTD (LT)</v>
          </cell>
          <cell r="D301">
            <v>33.43</v>
          </cell>
        </row>
        <row r="302">
          <cell r="B302" t="str">
            <v>SC12 TOD (LT)</v>
          </cell>
          <cell r="D302">
            <v>31.43</v>
          </cell>
        </row>
        <row r="303">
          <cell r="B303" t="str">
            <v>SC12 NTD (HT)</v>
          </cell>
          <cell r="D303">
            <v>21.4</v>
          </cell>
        </row>
        <row r="304">
          <cell r="B304" t="str">
            <v>SC12 TOD (HT)</v>
          </cell>
          <cell r="D304">
            <v>20.22</v>
          </cell>
        </row>
        <row r="305">
          <cell r="B305" t="str">
            <v>SC13 TOD (LT)</v>
          </cell>
          <cell r="D305" t="str">
            <v/>
          </cell>
        </row>
        <row r="306">
          <cell r="B306" t="str">
            <v>SC13 TOD (HT)</v>
          </cell>
          <cell r="D306">
            <v>14.08</v>
          </cell>
        </row>
        <row r="307">
          <cell r="B307" t="str">
            <v>NYPA NTD (LT)</v>
          </cell>
          <cell r="D307">
            <v>27.75</v>
          </cell>
        </row>
        <row r="308">
          <cell r="B308" t="str">
            <v>NYPA NTD (HT)</v>
          </cell>
          <cell r="D308">
            <v>18.27</v>
          </cell>
        </row>
        <row r="309">
          <cell r="B309" t="str">
            <v>NYPA TOD (LT)</v>
          </cell>
          <cell r="D309">
            <v>27.75</v>
          </cell>
        </row>
        <row r="310">
          <cell r="B310" t="str">
            <v>NYPA TOD (HT)</v>
          </cell>
          <cell r="D310">
            <v>18.27</v>
          </cell>
        </row>
        <row r="315">
          <cell r="D315">
            <v>2019</v>
          </cell>
          <cell r="E315" t="str">
            <v>ED Shifting</v>
          </cell>
        </row>
        <row r="316">
          <cell r="D316" t="str">
            <v>Current</v>
          </cell>
          <cell r="E316" t="str">
            <v>Current</v>
          </cell>
        </row>
        <row r="317">
          <cell r="B317">
            <v>1</v>
          </cell>
          <cell r="C317">
            <v>2</v>
          </cell>
          <cell r="D317">
            <v>3</v>
          </cell>
          <cell r="E317">
            <v>4</v>
          </cell>
          <cell r="F317">
            <v>5</v>
          </cell>
          <cell r="G317">
            <v>6</v>
          </cell>
          <cell r="H317">
            <v>7</v>
          </cell>
          <cell r="I317">
            <v>8</v>
          </cell>
        </row>
        <row r="318">
          <cell r="B318" t="str">
            <v>SC5 NTD (LT)</v>
          </cell>
          <cell r="D318">
            <v>23.01</v>
          </cell>
          <cell r="E318">
            <v>23.77</v>
          </cell>
        </row>
        <row r="319">
          <cell r="B319" t="str">
            <v>SC5 TOD (LT)</v>
          </cell>
          <cell r="D319">
            <v>14.97</v>
          </cell>
          <cell r="E319">
            <v>14.97</v>
          </cell>
        </row>
        <row r="320">
          <cell r="B320" t="str">
            <v>SC5 NTD (HT)</v>
          </cell>
          <cell r="D320">
            <v>15.69</v>
          </cell>
          <cell r="E320">
            <v>16.21</v>
          </cell>
        </row>
        <row r="321">
          <cell r="B321" t="str">
            <v>SC5 TOD (HT)</v>
          </cell>
          <cell r="D321">
            <v>10.050000000000001</v>
          </cell>
          <cell r="E321">
            <v>10.050000000000001</v>
          </cell>
        </row>
        <row r="322">
          <cell r="B322" t="str">
            <v>SC8 NTD (LT)</v>
          </cell>
          <cell r="D322">
            <v>28.76</v>
          </cell>
          <cell r="E322">
            <v>29.12</v>
          </cell>
        </row>
        <row r="323">
          <cell r="B323" t="str">
            <v>SC8 TOD (LT)</v>
          </cell>
          <cell r="D323">
            <v>29.36</v>
          </cell>
          <cell r="E323">
            <v>29.36</v>
          </cell>
        </row>
        <row r="324">
          <cell r="B324" t="str">
            <v>SC8 NTD (HT)</v>
          </cell>
          <cell r="D324">
            <v>21.55</v>
          </cell>
          <cell r="E324">
            <v>21.82</v>
          </cell>
        </row>
        <row r="325">
          <cell r="B325" t="str">
            <v>SC8 TOD (HT)</v>
          </cell>
          <cell r="D325">
            <v>20.95</v>
          </cell>
          <cell r="E325">
            <v>20.95</v>
          </cell>
        </row>
        <row r="326">
          <cell r="B326" t="str">
            <v>SC9 NTD (LT)</v>
          </cell>
          <cell r="D326">
            <v>21.85</v>
          </cell>
          <cell r="E326">
            <v>22.21</v>
          </cell>
        </row>
        <row r="327">
          <cell r="B327" t="str">
            <v>SC9 TOD (LT)</v>
          </cell>
          <cell r="D327">
            <v>24.76</v>
          </cell>
          <cell r="E327">
            <v>24.76</v>
          </cell>
        </row>
        <row r="328">
          <cell r="B328" t="str">
            <v>SC9 NTD (HT)</v>
          </cell>
          <cell r="D328">
            <v>15.7</v>
          </cell>
          <cell r="E328">
            <v>15.96</v>
          </cell>
        </row>
        <row r="329">
          <cell r="B329" t="str">
            <v>SC9 TOD (HT)</v>
          </cell>
          <cell r="D329">
            <v>15.62</v>
          </cell>
          <cell r="E329">
            <v>15.62</v>
          </cell>
        </row>
        <row r="330">
          <cell r="B330" t="str">
            <v>SC12 NTD (LT)</v>
          </cell>
          <cell r="D330">
            <v>23.53</v>
          </cell>
          <cell r="E330">
            <v>23.93</v>
          </cell>
        </row>
        <row r="331">
          <cell r="B331" t="str">
            <v>SC12 TOD (LT)</v>
          </cell>
          <cell r="D331">
            <v>28.36</v>
          </cell>
          <cell r="E331">
            <v>28.36</v>
          </cell>
        </row>
        <row r="332">
          <cell r="B332" t="str">
            <v>SC12 NTD (HT)</v>
          </cell>
          <cell r="D332">
            <v>15.13</v>
          </cell>
          <cell r="E332">
            <v>15.4</v>
          </cell>
        </row>
        <row r="333">
          <cell r="B333" t="str">
            <v>SC12 TOD (HT)</v>
          </cell>
          <cell r="D333">
            <v>18.600000000000001</v>
          </cell>
          <cell r="E333">
            <v>18.600000000000001</v>
          </cell>
        </row>
        <row r="334">
          <cell r="B334" t="str">
            <v>SC13 TOD (LT)</v>
          </cell>
          <cell r="D334">
            <v>0</v>
          </cell>
          <cell r="E334">
            <v>0</v>
          </cell>
        </row>
        <row r="335">
          <cell r="B335" t="str">
            <v>SC13 TOD (HT)</v>
          </cell>
          <cell r="D335">
            <v>11.72</v>
          </cell>
          <cell r="E335">
            <v>11.72</v>
          </cell>
        </row>
        <row r="336">
          <cell r="B336" t="str">
            <v>NYPA NTD (LT)</v>
          </cell>
          <cell r="D336">
            <v>27.55</v>
          </cell>
          <cell r="E336">
            <v>27.55</v>
          </cell>
        </row>
        <row r="337">
          <cell r="B337" t="str">
            <v>NYPA NTD (HT)</v>
          </cell>
          <cell r="D337">
            <v>19.14</v>
          </cell>
          <cell r="E337">
            <v>19.14</v>
          </cell>
        </row>
        <row r="338">
          <cell r="B338" t="str">
            <v>NYPA TOD (LT)</v>
          </cell>
          <cell r="D338">
            <v>29.44</v>
          </cell>
          <cell r="E338">
            <v>29.44</v>
          </cell>
        </row>
        <row r="339">
          <cell r="B339" t="str">
            <v>NYPA TOD (HT)</v>
          </cell>
          <cell r="D339">
            <v>17.21</v>
          </cell>
          <cell r="E339">
            <v>17.21</v>
          </cell>
        </row>
        <row r="346">
          <cell r="B346" t="str">
            <v>SC1 (Provision D) - Formly Rider H</v>
          </cell>
          <cell r="D346">
            <v>2019</v>
          </cell>
          <cell r="E346">
            <v>2020</v>
          </cell>
          <cell r="F346">
            <v>2021</v>
          </cell>
        </row>
        <row r="347">
          <cell r="D347" t="str">
            <v>Current</v>
          </cell>
          <cell r="E347" t="str">
            <v>Proposed</v>
          </cell>
          <cell r="F347" t="str">
            <v>Proposed</v>
          </cell>
        </row>
        <row r="348">
          <cell r="B348">
            <v>1</v>
          </cell>
          <cell r="C348">
            <v>2</v>
          </cell>
          <cell r="D348">
            <v>3</v>
          </cell>
          <cell r="E348">
            <v>4</v>
          </cell>
          <cell r="F348">
            <v>5</v>
          </cell>
          <cell r="G348">
            <v>6</v>
          </cell>
          <cell r="H348">
            <v>7</v>
          </cell>
          <cell r="I348">
            <v>8</v>
          </cell>
        </row>
        <row r="349">
          <cell r="B349" t="str">
            <v>T&amp;D Chg ($/kW) - Summer</v>
          </cell>
          <cell r="D349">
            <v>1.41E-2</v>
          </cell>
          <cell r="E349">
            <v>1.54E-2</v>
          </cell>
          <cell r="F349">
            <v>1.67E-2</v>
          </cell>
        </row>
        <row r="350">
          <cell r="B350" t="str">
            <v>Meter Chg ($/Bill) - Summer</v>
          </cell>
          <cell r="D350">
            <v>3</v>
          </cell>
          <cell r="E350">
            <v>4.46</v>
          </cell>
          <cell r="F350">
            <v>4.46</v>
          </cell>
        </row>
        <row r="351">
          <cell r="B351" t="str">
            <v>T&amp;D Chg ($/kW) - Winter</v>
          </cell>
          <cell r="D351">
            <v>1.41E-2</v>
          </cell>
          <cell r="E351">
            <v>1.54E-2</v>
          </cell>
          <cell r="F351">
            <v>1.67E-2</v>
          </cell>
        </row>
        <row r="352">
          <cell r="B352" t="str">
            <v>Meter Chg ($/Bill) - Winter</v>
          </cell>
          <cell r="D352">
            <v>3</v>
          </cell>
          <cell r="E352">
            <v>4.46</v>
          </cell>
          <cell r="F352">
            <v>4.46</v>
          </cell>
        </row>
        <row r="356">
          <cell r="B356" t="str">
            <v>Rider D</v>
          </cell>
          <cell r="D356">
            <v>2019</v>
          </cell>
          <cell r="E356">
            <v>2020</v>
          </cell>
          <cell r="F356">
            <v>2021</v>
          </cell>
        </row>
        <row r="357">
          <cell r="D357" t="str">
            <v>Current</v>
          </cell>
          <cell r="E357" t="str">
            <v>Proposed</v>
          </cell>
          <cell r="F357" t="str">
            <v>Proposed</v>
          </cell>
        </row>
        <row r="358">
          <cell r="B358">
            <v>1</v>
          </cell>
          <cell r="C358">
            <v>2</v>
          </cell>
          <cell r="D358">
            <v>3</v>
          </cell>
          <cell r="E358">
            <v>4</v>
          </cell>
          <cell r="F358">
            <v>5</v>
          </cell>
          <cell r="G358">
            <v>6</v>
          </cell>
          <cell r="H358">
            <v>7</v>
          </cell>
          <cell r="I358">
            <v>8</v>
          </cell>
        </row>
        <row r="359">
          <cell r="B359" t="str">
            <v>Service Connection - Summer</v>
          </cell>
          <cell r="D359">
            <v>107.85</v>
          </cell>
          <cell r="E359">
            <v>110.53</v>
          </cell>
          <cell r="F359">
            <v>117.63999999999999</v>
          </cell>
        </row>
        <row r="360">
          <cell r="B360" t="str">
            <v>Metered Service ($/Mo) - Summer</v>
          </cell>
          <cell r="D360">
            <v>7.3999999999999995</v>
          </cell>
          <cell r="E360">
            <v>7.5799999999999992</v>
          </cell>
          <cell r="F360">
            <v>8.07</v>
          </cell>
        </row>
        <row r="361">
          <cell r="B361" t="str">
            <v>Unmetered Service ($/Mo) - Summer</v>
          </cell>
          <cell r="D361">
            <v>22.15</v>
          </cell>
          <cell r="E361">
            <v>22.7</v>
          </cell>
          <cell r="F361">
            <v>24.159999999999997</v>
          </cell>
        </row>
        <row r="362">
          <cell r="B362" t="str">
            <v>Chg Per Add'l 125 mA ($/Mo) - Summer</v>
          </cell>
          <cell r="D362">
            <v>7.3999999999999995</v>
          </cell>
          <cell r="E362">
            <v>7.5799999999999992</v>
          </cell>
          <cell r="F362">
            <v>8.07</v>
          </cell>
        </row>
        <row r="363">
          <cell r="B363" t="str">
            <v>Service Connection - Winter</v>
          </cell>
          <cell r="D363">
            <v>107.85</v>
          </cell>
          <cell r="E363">
            <v>110.53</v>
          </cell>
          <cell r="F363">
            <v>117.63999999999999</v>
          </cell>
        </row>
        <row r="364">
          <cell r="B364" t="str">
            <v>Metered Service ($/Mo) - Winter</v>
          </cell>
          <cell r="D364">
            <v>7.3999999999999995</v>
          </cell>
          <cell r="E364">
            <v>7.5799999999999992</v>
          </cell>
          <cell r="F364">
            <v>8.07</v>
          </cell>
        </row>
        <row r="365">
          <cell r="B365" t="str">
            <v>Unmetered Service ($/Mo) - Winter</v>
          </cell>
          <cell r="D365">
            <v>22.15</v>
          </cell>
          <cell r="E365">
            <v>22.7</v>
          </cell>
          <cell r="F365">
            <v>24.159999999999997</v>
          </cell>
        </row>
        <row r="366">
          <cell r="B366" t="str">
            <v>Chg Per Add'l 125 mA ($/Mo) - Winter</v>
          </cell>
          <cell r="D366">
            <v>7.3999999999999995</v>
          </cell>
          <cell r="E366">
            <v>7.5799999999999992</v>
          </cell>
          <cell r="F366">
            <v>8.07</v>
          </cell>
        </row>
        <row r="373">
          <cell r="D373">
            <v>2019</v>
          </cell>
          <cell r="E373">
            <v>2020</v>
          </cell>
          <cell r="F373">
            <v>2021</v>
          </cell>
        </row>
        <row r="374">
          <cell r="D374" t="str">
            <v>Current</v>
          </cell>
          <cell r="E374" t="str">
            <v>Proposed</v>
          </cell>
          <cell r="F374" t="str">
            <v>Proposed</v>
          </cell>
        </row>
        <row r="375">
          <cell r="B375">
            <v>1</v>
          </cell>
          <cell r="C375">
            <v>2</v>
          </cell>
          <cell r="D375">
            <v>3</v>
          </cell>
          <cell r="E375">
            <v>4</v>
          </cell>
          <cell r="F375">
            <v>5</v>
          </cell>
          <cell r="G375">
            <v>6</v>
          </cell>
          <cell r="H375">
            <v>7</v>
          </cell>
          <cell r="I375">
            <v>8</v>
          </cell>
        </row>
        <row r="376">
          <cell r="B376" t="str">
            <v>kVar</v>
          </cell>
          <cell r="D376">
            <v>1.97</v>
          </cell>
          <cell r="E376">
            <v>2.14</v>
          </cell>
          <cell r="F376">
            <v>2.14</v>
          </cell>
          <cell r="K376">
            <v>2.14</v>
          </cell>
        </row>
        <row r="383">
          <cell r="D383">
            <v>2016</v>
          </cell>
          <cell r="E383">
            <v>2019</v>
          </cell>
          <cell r="F383">
            <v>2020</v>
          </cell>
          <cell r="G383">
            <v>2021</v>
          </cell>
        </row>
        <row r="384">
          <cell r="D384" t="str">
            <v>Old</v>
          </cell>
          <cell r="E384" t="str">
            <v>Current</v>
          </cell>
          <cell r="F384" t="str">
            <v>Proposed</v>
          </cell>
          <cell r="G384" t="str">
            <v>Proposed</v>
          </cell>
        </row>
        <row r="385">
          <cell r="B385">
            <v>1</v>
          </cell>
          <cell r="C385">
            <v>2</v>
          </cell>
          <cell r="D385">
            <v>3</v>
          </cell>
          <cell r="E385">
            <v>4</v>
          </cell>
          <cell r="F385">
            <v>5</v>
          </cell>
          <cell r="G385">
            <v>6</v>
          </cell>
          <cell r="H385">
            <v>7</v>
          </cell>
          <cell r="I385">
            <v>8</v>
          </cell>
        </row>
        <row r="386">
          <cell r="B386" t="str">
            <v>Furnishing &amp; Maintaining Control Eqpt</v>
          </cell>
          <cell r="D386">
            <v>4.7300000000000004</v>
          </cell>
          <cell r="E386">
            <v>5.32</v>
          </cell>
          <cell r="F386">
            <v>5.45</v>
          </cell>
          <cell r="G386">
            <v>5.79</v>
          </cell>
        </row>
        <row r="387">
          <cell r="B387" t="str">
            <v>Facilities Charge ($/Calendar Month)</v>
          </cell>
          <cell r="D387">
            <v>10.17</v>
          </cell>
          <cell r="E387">
            <v>11.45</v>
          </cell>
          <cell r="F387">
            <v>11.729999999999999</v>
          </cell>
          <cell r="G387">
            <v>12.459999999999999</v>
          </cell>
        </row>
        <row r="388">
          <cell r="B388" t="str">
            <v>Service Connection</v>
          </cell>
          <cell r="D388">
            <v>119.79</v>
          </cell>
          <cell r="E388">
            <v>134.86000000000001</v>
          </cell>
          <cell r="F388">
            <v>138.17000000000002</v>
          </cell>
          <cell r="G388">
            <v>146.75</v>
          </cell>
        </row>
        <row r="389">
          <cell r="B389" t="str">
            <v>Each Gong or Signal Circuit &lt; 125 milliamperes</v>
          </cell>
          <cell r="D389">
            <v>8.23</v>
          </cell>
          <cell r="E389">
            <v>9.27</v>
          </cell>
          <cell r="F389">
            <v>9.5</v>
          </cell>
          <cell r="G389">
            <v>10.09</v>
          </cell>
        </row>
        <row r="390">
          <cell r="B390" t="str">
            <v>For Each Additional 125 Milliamperes</v>
          </cell>
          <cell r="D390">
            <v>8.23</v>
          </cell>
          <cell r="E390">
            <v>9.27</v>
          </cell>
          <cell r="F390">
            <v>9.5</v>
          </cell>
          <cell r="G390">
            <v>10.09</v>
          </cell>
        </row>
        <row r="490">
          <cell r="D490">
            <v>54700000</v>
          </cell>
        </row>
        <row r="491">
          <cell r="D491">
            <v>547000</v>
          </cell>
        </row>
      </sheetData>
      <sheetData sheetId="2"/>
      <sheetData sheetId="3">
        <row r="220">
          <cell r="T220">
            <v>4</v>
          </cell>
          <cell r="U220">
            <v>8</v>
          </cell>
        </row>
        <row r="231">
          <cell r="T231">
            <v>16</v>
          </cell>
          <cell r="U231">
            <v>32</v>
          </cell>
        </row>
        <row r="232">
          <cell r="T232">
            <v>4</v>
          </cell>
          <cell r="U232">
            <v>8</v>
          </cell>
        </row>
        <row r="245">
          <cell r="T245">
            <v>0</v>
          </cell>
          <cell r="U245">
            <v>0</v>
          </cell>
        </row>
        <row r="246">
          <cell r="T246">
            <v>588</v>
          </cell>
          <cell r="U246">
            <v>1171</v>
          </cell>
        </row>
        <row r="247">
          <cell r="T247">
            <v>0</v>
          </cell>
          <cell r="U247">
            <v>0</v>
          </cell>
        </row>
        <row r="248">
          <cell r="T248">
            <v>80</v>
          </cell>
          <cell r="U248">
            <v>160</v>
          </cell>
        </row>
        <row r="254">
          <cell r="T254">
            <v>20</v>
          </cell>
          <cell r="U254">
            <v>40</v>
          </cell>
        </row>
        <row r="255">
          <cell r="T255">
            <v>18446</v>
          </cell>
          <cell r="U255">
            <v>36887</v>
          </cell>
        </row>
        <row r="256">
          <cell r="T256">
            <v>448</v>
          </cell>
          <cell r="U256">
            <v>899</v>
          </cell>
        </row>
        <row r="257">
          <cell r="T257">
            <v>2672</v>
          </cell>
          <cell r="U257">
            <v>5348</v>
          </cell>
        </row>
        <row r="260">
          <cell r="T260">
            <v>0</v>
          </cell>
          <cell r="U260">
            <v>0</v>
          </cell>
        </row>
        <row r="261">
          <cell r="T261">
            <v>4</v>
          </cell>
          <cell r="U261">
            <v>8</v>
          </cell>
        </row>
        <row r="262">
          <cell r="T262">
            <v>0</v>
          </cell>
          <cell r="U262">
            <v>0</v>
          </cell>
        </row>
        <row r="263">
          <cell r="T263">
            <v>104</v>
          </cell>
          <cell r="U263">
            <v>208</v>
          </cell>
        </row>
        <row r="264">
          <cell r="T264">
            <v>4</v>
          </cell>
          <cell r="U264">
            <v>8</v>
          </cell>
        </row>
        <row r="265">
          <cell r="T265">
            <v>11644</v>
          </cell>
          <cell r="U265">
            <v>23315</v>
          </cell>
        </row>
        <row r="832">
          <cell r="T832">
            <v>794</v>
          </cell>
          <cell r="U832">
            <v>2150</v>
          </cell>
        </row>
        <row r="877">
          <cell r="T877">
            <v>0</v>
          </cell>
          <cell r="U87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</row>
        <row r="6">
          <cell r="B6" t="str">
            <v>SC5</v>
          </cell>
        </row>
        <row r="7">
          <cell r="B7" t="str">
            <v>FS</v>
          </cell>
        </row>
        <row r="8">
          <cell r="A8" t="str">
            <v>SC5(FS)kW pd 1 LT</v>
          </cell>
          <cell r="B8" t="str">
            <v>kW pd 1 LT</v>
          </cell>
          <cell r="C8" t="str">
            <v>8-6</v>
          </cell>
          <cell r="D8">
            <v>0</v>
          </cell>
          <cell r="E8">
            <v>0</v>
          </cell>
          <cell r="F8">
            <v>0</v>
          </cell>
          <cell r="J8">
            <v>0</v>
          </cell>
        </row>
        <row r="9">
          <cell r="A9" t="str">
            <v>SC5(FS)kW pd 1 HT</v>
          </cell>
          <cell r="B9" t="str">
            <v>kW pd 1 HT</v>
          </cell>
          <cell r="D9">
            <v>0</v>
          </cell>
          <cell r="E9">
            <v>0</v>
          </cell>
          <cell r="F9">
            <v>0</v>
          </cell>
          <cell r="J9">
            <v>0</v>
          </cell>
        </row>
        <row r="10">
          <cell r="A10" t="str">
            <v>SC5(FS)kW pd 2 LT</v>
          </cell>
          <cell r="B10" t="str">
            <v>kW pd 2 LT</v>
          </cell>
          <cell r="C10" t="str">
            <v>8-10</v>
          </cell>
          <cell r="D10">
            <v>0</v>
          </cell>
          <cell r="E10">
            <v>0</v>
          </cell>
          <cell r="F10">
            <v>0</v>
          </cell>
          <cell r="J10">
            <v>0</v>
          </cell>
        </row>
        <row r="11">
          <cell r="A11" t="str">
            <v>SC5(FS)kW pd 2 HT</v>
          </cell>
          <cell r="B11" t="str">
            <v>kW pd 2 HT</v>
          </cell>
          <cell r="D11">
            <v>0</v>
          </cell>
          <cell r="E11">
            <v>0</v>
          </cell>
          <cell r="F11">
            <v>0</v>
          </cell>
          <cell r="J11">
            <v>0</v>
          </cell>
        </row>
        <row r="12">
          <cell r="A12" t="str">
            <v>SC5(FS)kW Secondary</v>
          </cell>
          <cell r="B12" t="str">
            <v>kW Secondary</v>
          </cell>
          <cell r="C12" t="str">
            <v>All Day</v>
          </cell>
          <cell r="D12">
            <v>0</v>
          </cell>
          <cell r="E12">
            <v>0</v>
          </cell>
          <cell r="F12">
            <v>0</v>
          </cell>
          <cell r="J12">
            <v>0</v>
          </cell>
        </row>
        <row r="13">
          <cell r="A13" t="str">
            <v>SC5(FS)kWh LT</v>
          </cell>
          <cell r="B13" t="str">
            <v>kWh LT</v>
          </cell>
          <cell r="D13">
            <v>0</v>
          </cell>
          <cell r="E13">
            <v>0</v>
          </cell>
          <cell r="F13">
            <v>0</v>
          </cell>
          <cell r="J13">
            <v>0</v>
          </cell>
        </row>
        <row r="14">
          <cell r="A14" t="str">
            <v>SC5(FS)kWh HT</v>
          </cell>
          <cell r="B14" t="str">
            <v>kWh HT</v>
          </cell>
          <cell r="D14">
            <v>0</v>
          </cell>
          <cell r="E14">
            <v>0</v>
          </cell>
          <cell r="F14">
            <v>0</v>
          </cell>
          <cell r="J14">
            <v>0</v>
          </cell>
        </row>
        <row r="15">
          <cell r="A15" t="str">
            <v>SC5(FS)kWh OnPk LT</v>
          </cell>
          <cell r="B15" t="str">
            <v>kWh OnPk LT</v>
          </cell>
          <cell r="D15">
            <v>0</v>
          </cell>
          <cell r="E15">
            <v>0</v>
          </cell>
          <cell r="F15">
            <v>0</v>
          </cell>
          <cell r="J15">
            <v>0</v>
          </cell>
        </row>
        <row r="16">
          <cell r="A16" t="str">
            <v>SC5(FS)kWh OnPk HT</v>
          </cell>
          <cell r="B16" t="str">
            <v>kWh OnPk HT</v>
          </cell>
          <cell r="D16">
            <v>0</v>
          </cell>
          <cell r="E16">
            <v>0</v>
          </cell>
          <cell r="F16">
            <v>0</v>
          </cell>
          <cell r="J16">
            <v>0</v>
          </cell>
        </row>
        <row r="17">
          <cell r="A17" t="str">
            <v>SC5(FS)kWh OffPk LT</v>
          </cell>
          <cell r="B17" t="str">
            <v>kWh OffPk LT</v>
          </cell>
          <cell r="D17">
            <v>0</v>
          </cell>
          <cell r="E17">
            <v>0</v>
          </cell>
          <cell r="F17">
            <v>0</v>
          </cell>
          <cell r="J17">
            <v>0</v>
          </cell>
        </row>
        <row r="18">
          <cell r="A18" t="str">
            <v>SC5(FS)kWh OffPk HT</v>
          </cell>
          <cell r="B18" t="str">
            <v>kWh OffPk HT</v>
          </cell>
          <cell r="D18">
            <v>0</v>
          </cell>
          <cell r="E18">
            <v>0</v>
          </cell>
          <cell r="F18">
            <v>0</v>
          </cell>
          <cell r="J18">
            <v>0</v>
          </cell>
        </row>
        <row r="19">
          <cell r="H19">
            <v>0</v>
          </cell>
          <cell r="I19">
            <v>0</v>
          </cell>
        </row>
        <row r="20">
          <cell r="H20">
            <v>0</v>
          </cell>
          <cell r="I20">
            <v>0</v>
          </cell>
        </row>
        <row r="22">
          <cell r="B22" t="str">
            <v>RA</v>
          </cell>
        </row>
        <row r="23">
          <cell r="A23" t="str">
            <v>SC5(RA)kW pd 1 LT</v>
          </cell>
          <cell r="B23" t="str">
            <v>kW pd 1 LT</v>
          </cell>
          <cell r="C23" t="str">
            <v>8-6</v>
          </cell>
          <cell r="D23">
            <v>9249.6</v>
          </cell>
          <cell r="E23">
            <v>17349.599999999999</v>
          </cell>
          <cell r="F23">
            <v>26599.199999999997</v>
          </cell>
          <cell r="J23">
            <v>0</v>
          </cell>
        </row>
        <row r="24">
          <cell r="A24" t="str">
            <v>SC5(RA)kW pd 1 HT</v>
          </cell>
          <cell r="B24" t="str">
            <v>kW pd 1 HT</v>
          </cell>
          <cell r="D24">
            <v>60312.880000000005</v>
          </cell>
          <cell r="E24">
            <v>134829.04</v>
          </cell>
          <cell r="F24">
            <v>195141.92</v>
          </cell>
          <cell r="J24">
            <v>0</v>
          </cell>
        </row>
        <row r="25">
          <cell r="A25" t="str">
            <v>SC5(RA)kW pd 2 LT</v>
          </cell>
          <cell r="B25" t="str">
            <v>kW pd 2 LT</v>
          </cell>
          <cell r="C25" t="str">
            <v>8-10</v>
          </cell>
          <cell r="D25">
            <v>9249.6</v>
          </cell>
          <cell r="E25">
            <v>17349.599999999999</v>
          </cell>
          <cell r="F25">
            <v>26599.199999999997</v>
          </cell>
          <cell r="J25">
            <v>0</v>
          </cell>
        </row>
        <row r="26">
          <cell r="A26" t="str">
            <v>SC5(RA)kW pd 2 HT</v>
          </cell>
          <cell r="B26" t="str">
            <v>kW pd 2 HT</v>
          </cell>
          <cell r="D26">
            <v>62098</v>
          </cell>
          <cell r="E26">
            <v>139243.36000000004</v>
          </cell>
          <cell r="F26">
            <v>201341.36000000004</v>
          </cell>
          <cell r="J26">
            <v>0</v>
          </cell>
        </row>
        <row r="27">
          <cell r="A27" t="str">
            <v>SC5(RA)kW Secondary</v>
          </cell>
          <cell r="B27" t="str">
            <v>kW Secondary</v>
          </cell>
          <cell r="C27" t="str">
            <v>All Day</v>
          </cell>
          <cell r="D27">
            <v>9249.5</v>
          </cell>
          <cell r="E27">
            <v>17349.300000000003</v>
          </cell>
          <cell r="F27">
            <v>26598.800000000003</v>
          </cell>
          <cell r="J27">
            <v>0</v>
          </cell>
        </row>
        <row r="28">
          <cell r="A28" t="str">
            <v>SC5(RA)kWh LT</v>
          </cell>
          <cell r="B28" t="str">
            <v>kWh LT</v>
          </cell>
          <cell r="D28">
            <v>5768000</v>
          </cell>
          <cell r="E28">
            <v>10680000</v>
          </cell>
          <cell r="F28">
            <v>16448000</v>
          </cell>
          <cell r="J28">
            <v>0</v>
          </cell>
        </row>
        <row r="29">
          <cell r="A29" t="str">
            <v>SC5(RA)kWh HT</v>
          </cell>
          <cell r="B29" t="str">
            <v>kWh HT</v>
          </cell>
          <cell r="D29">
            <v>30259600</v>
          </cell>
          <cell r="E29">
            <v>62404400</v>
          </cell>
          <cell r="F29">
            <v>92664000</v>
          </cell>
          <cell r="J29">
            <v>0</v>
          </cell>
        </row>
        <row r="30">
          <cell r="A30" t="str">
            <v>SC5(RA)kWh OnPk LT</v>
          </cell>
          <cell r="B30" t="str">
            <v>kWh OnPk LT</v>
          </cell>
          <cell r="D30">
            <v>2537291</v>
          </cell>
          <cell r="E30">
            <v>4683918</v>
          </cell>
          <cell r="F30">
            <v>7221209</v>
          </cell>
          <cell r="J30">
            <v>0</v>
          </cell>
        </row>
        <row r="31">
          <cell r="A31" t="str">
            <v>SC5(RA)kWh OnPk HT</v>
          </cell>
          <cell r="B31" t="str">
            <v>kWh OnPk HT</v>
          </cell>
          <cell r="D31">
            <v>13044883</v>
          </cell>
          <cell r="E31">
            <v>28324937</v>
          </cell>
          <cell r="F31">
            <v>41369820</v>
          </cell>
          <cell r="J31">
            <v>0</v>
          </cell>
        </row>
        <row r="32">
          <cell r="A32" t="str">
            <v>SC5(RA)kWh OffPk LT</v>
          </cell>
          <cell r="B32" t="str">
            <v>kWh OffPk LT</v>
          </cell>
          <cell r="D32">
            <v>3230709</v>
          </cell>
          <cell r="E32">
            <v>5996082</v>
          </cell>
          <cell r="F32">
            <v>9226791</v>
          </cell>
          <cell r="J32">
            <v>0</v>
          </cell>
        </row>
        <row r="33">
          <cell r="A33" t="str">
            <v>SC5(RA)kWh OffPk HT</v>
          </cell>
          <cell r="B33" t="str">
            <v>kWh OffPk HT</v>
          </cell>
          <cell r="D33">
            <v>17214717</v>
          </cell>
          <cell r="E33">
            <v>34079463</v>
          </cell>
          <cell r="F33">
            <v>51294180</v>
          </cell>
          <cell r="J33">
            <v>0</v>
          </cell>
        </row>
        <row r="34">
          <cell r="H34">
            <v>0</v>
          </cell>
          <cell r="I34">
            <v>0</v>
          </cell>
        </row>
        <row r="35">
          <cell r="H35">
            <v>0</v>
          </cell>
          <cell r="I35">
            <v>0</v>
          </cell>
        </row>
        <row r="37">
          <cell r="B37" t="str">
            <v>SC8</v>
          </cell>
        </row>
        <row r="38">
          <cell r="B38" t="str">
            <v>FS</v>
          </cell>
        </row>
        <row r="39">
          <cell r="A39" t="str">
            <v>SC8(FS)kW pd 1 LT</v>
          </cell>
          <cell r="B39" t="str">
            <v>kW pd 1 LT</v>
          </cell>
          <cell r="C39" t="str">
            <v>8-6</v>
          </cell>
          <cell r="D39">
            <v>6852.7199999999993</v>
          </cell>
          <cell r="E39">
            <v>8104.32</v>
          </cell>
          <cell r="F39">
            <v>14957.039999999999</v>
          </cell>
          <cell r="H39">
            <v>12878.919999999998</v>
          </cell>
          <cell r="I39">
            <v>18790.349999999999</v>
          </cell>
          <cell r="J39">
            <v>31669.269999999997</v>
          </cell>
        </row>
        <row r="40">
          <cell r="A40" t="str">
            <v>SC8(FS)kW pd 1 HT</v>
          </cell>
          <cell r="B40" t="str">
            <v>kW pd 1 HT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SC8(FS)kW pd 2 LT</v>
          </cell>
          <cell r="B41" t="str">
            <v>kW pd 2 LT</v>
          </cell>
          <cell r="C41" t="str">
            <v>8-10</v>
          </cell>
          <cell r="D41">
            <v>7535.28</v>
          </cell>
          <cell r="E41">
            <v>8948.16</v>
          </cell>
          <cell r="F41">
            <v>16483.439999999999</v>
          </cell>
          <cell r="H41">
            <v>13613.419999999998</v>
          </cell>
          <cell r="I41">
            <v>19724.520000000004</v>
          </cell>
          <cell r="J41">
            <v>33337.94</v>
          </cell>
        </row>
        <row r="42">
          <cell r="A42" t="str">
            <v>SC8(FS)kW pd 2 HT</v>
          </cell>
          <cell r="B42" t="str">
            <v>kW pd 2 HT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SC8(FS)kW Secondary</v>
          </cell>
          <cell r="B43" t="str">
            <v>kW Secondary</v>
          </cell>
          <cell r="C43" t="str">
            <v>All Day</v>
          </cell>
          <cell r="D43">
            <v>7535.1</v>
          </cell>
          <cell r="E43">
            <v>9112.4999999999982</v>
          </cell>
          <cell r="F43">
            <v>16647.599999999999</v>
          </cell>
          <cell r="H43">
            <v>13637.1</v>
          </cell>
          <cell r="I43">
            <v>20775.200000000004</v>
          </cell>
          <cell r="J43">
            <v>34412.300000000003</v>
          </cell>
        </row>
        <row r="44">
          <cell r="A44" t="str">
            <v>SC8(FS)kWh LT</v>
          </cell>
          <cell r="B44" t="str">
            <v>kWh LT</v>
          </cell>
          <cell r="D44">
            <v>3078800</v>
          </cell>
          <cell r="E44">
            <v>3994400</v>
          </cell>
          <cell r="F44">
            <v>7073200</v>
          </cell>
          <cell r="H44">
            <v>5780657</v>
          </cell>
          <cell r="I44">
            <v>9205406</v>
          </cell>
          <cell r="J44">
            <v>14986063</v>
          </cell>
        </row>
        <row r="45">
          <cell r="A45" t="str">
            <v>SC8(FS)kWh HT</v>
          </cell>
          <cell r="B45" t="str">
            <v>kWh HT</v>
          </cell>
          <cell r="D45">
            <v>0</v>
          </cell>
          <cell r="E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SC8(FS)kWh OnPk LT</v>
          </cell>
          <cell r="B46" t="str">
            <v>kWh OnPk LT</v>
          </cell>
          <cell r="D46">
            <v>1355833</v>
          </cell>
          <cell r="E46">
            <v>1755870</v>
          </cell>
          <cell r="F46">
            <v>3111703</v>
          </cell>
          <cell r="H46">
            <v>1454246</v>
          </cell>
          <cell r="I46">
            <v>2718093</v>
          </cell>
          <cell r="J46">
            <v>4172339</v>
          </cell>
        </row>
        <row r="47">
          <cell r="A47" t="str">
            <v>SC8(FS)kWh OnPk HT</v>
          </cell>
          <cell r="B47" t="str">
            <v>kWh OnPk HT</v>
          </cell>
          <cell r="D47">
            <v>0</v>
          </cell>
          <cell r="E47">
            <v>0</v>
          </cell>
          <cell r="F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SC8(FS)kWh OffPk LT</v>
          </cell>
          <cell r="B48" t="str">
            <v>kWh OffPk LT</v>
          </cell>
          <cell r="D48">
            <v>1722967</v>
          </cell>
          <cell r="E48">
            <v>2238530</v>
          </cell>
          <cell r="F48">
            <v>3961497</v>
          </cell>
          <cell r="H48">
            <v>1810143</v>
          </cell>
          <cell r="I48">
            <v>3397334</v>
          </cell>
          <cell r="J48">
            <v>5207477</v>
          </cell>
        </row>
        <row r="49">
          <cell r="A49" t="str">
            <v>SC8(FS)kWh OffPk HT</v>
          </cell>
          <cell r="B49" t="str">
            <v>kWh OffPk HT</v>
          </cell>
          <cell r="D49">
            <v>0</v>
          </cell>
          <cell r="E49">
            <v>0</v>
          </cell>
          <cell r="F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H50">
            <v>-2516268</v>
          </cell>
          <cell r="I50">
            <v>-3089979</v>
          </cell>
        </row>
        <row r="53">
          <cell r="B53" t="str">
            <v>RA</v>
          </cell>
        </row>
        <row r="54">
          <cell r="A54" t="str">
            <v>SC8(RA)kW pd 1 LT</v>
          </cell>
          <cell r="B54" t="str">
            <v>kW pd 1 LT</v>
          </cell>
          <cell r="C54" t="str">
            <v>8-6</v>
          </cell>
          <cell r="D54">
            <v>111158.31</v>
          </cell>
          <cell r="E54">
            <v>149018.64000000001</v>
          </cell>
          <cell r="F54">
            <v>260176.95</v>
          </cell>
          <cell r="H54">
            <v>134931.07999999999</v>
          </cell>
          <cell r="I54">
            <v>185491.50999999998</v>
          </cell>
          <cell r="J54">
            <v>320422.58999999997</v>
          </cell>
        </row>
        <row r="55">
          <cell r="A55" t="str">
            <v>SC8(RA)kW pd 1 HT</v>
          </cell>
          <cell r="B55" t="str">
            <v>kW pd 1 HT</v>
          </cell>
          <cell r="D55">
            <v>0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 t="str">
            <v>SC8(RA)kW pd 2 LT</v>
          </cell>
          <cell r="B56" t="str">
            <v>kW pd 2 LT</v>
          </cell>
          <cell r="C56" t="str">
            <v>8-10</v>
          </cell>
          <cell r="D56">
            <v>117827.29999999999</v>
          </cell>
          <cell r="E56">
            <v>158224.50999999995</v>
          </cell>
          <cell r="F56">
            <v>276051.80999999994</v>
          </cell>
          <cell r="H56">
            <v>142601.25000000003</v>
          </cell>
          <cell r="I56">
            <v>195827.61999999997</v>
          </cell>
          <cell r="J56">
            <v>338428.87</v>
          </cell>
        </row>
        <row r="57">
          <cell r="A57" t="str">
            <v>SC8(RA)kW pd 2 HT</v>
          </cell>
          <cell r="B57" t="str">
            <v>kW pd 2 HT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SC8(RA)kW Secondary</v>
          </cell>
          <cell r="B58" t="str">
            <v>kW Secondary</v>
          </cell>
          <cell r="C58" t="str">
            <v>All Day</v>
          </cell>
          <cell r="D58">
            <v>118125.09999999999</v>
          </cell>
          <cell r="E58">
            <v>159298.60000000003</v>
          </cell>
          <cell r="F58">
            <v>277423.7</v>
          </cell>
          <cell r="H58">
            <v>143390.9</v>
          </cell>
          <cell r="I58">
            <v>197610.9</v>
          </cell>
          <cell r="J58">
            <v>341001.8</v>
          </cell>
        </row>
        <row r="59">
          <cell r="A59" t="str">
            <v>SC8(RA)kWh LT</v>
          </cell>
          <cell r="B59" t="str">
            <v>kWh LT</v>
          </cell>
          <cell r="D59">
            <v>51642160</v>
          </cell>
          <cell r="E59">
            <v>77660080</v>
          </cell>
          <cell r="F59">
            <v>129302240</v>
          </cell>
          <cell r="H59">
            <v>61181425</v>
          </cell>
          <cell r="I59">
            <v>90491509</v>
          </cell>
          <cell r="J59">
            <v>151672934</v>
          </cell>
        </row>
        <row r="60">
          <cell r="A60" t="str">
            <v>SC8(RA)kWh HT</v>
          </cell>
          <cell r="B60" t="str">
            <v>kWh HT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 t="str">
            <v>SC8(RA)kWh OnPk LT</v>
          </cell>
          <cell r="B61" t="str">
            <v>kWh OnPk LT</v>
          </cell>
          <cell r="D61">
            <v>22889051</v>
          </cell>
          <cell r="E61">
            <v>34699946</v>
          </cell>
          <cell r="F61">
            <v>57588997</v>
          </cell>
          <cell r="H61">
            <v>23830894</v>
          </cell>
          <cell r="I61">
            <v>35359952</v>
          </cell>
          <cell r="J61">
            <v>59190846</v>
          </cell>
        </row>
        <row r="62">
          <cell r="A62" t="str">
            <v>SC8(RA)kWh OnPk HT</v>
          </cell>
          <cell r="B62" t="str">
            <v>kWh OnPk HT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 t="str">
            <v>SC8(RA)kWh OffPk LT</v>
          </cell>
          <cell r="B63" t="str">
            <v>kWh OffPk LT</v>
          </cell>
          <cell r="D63">
            <v>28753109</v>
          </cell>
          <cell r="E63">
            <v>42960134</v>
          </cell>
          <cell r="F63">
            <v>71713243</v>
          </cell>
          <cell r="H63">
            <v>31071220</v>
          </cell>
          <cell r="I63">
            <v>44707868</v>
          </cell>
          <cell r="J63">
            <v>75779088</v>
          </cell>
        </row>
        <row r="64">
          <cell r="A64" t="str">
            <v>SC8(RA)kWh OffPk HT</v>
          </cell>
          <cell r="B64" t="str">
            <v>kWh OffPk HT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G65" t="str">
            <v>LT Var</v>
          </cell>
          <cell r="H65">
            <v>-6279311</v>
          </cell>
          <cell r="I65">
            <v>-10423689</v>
          </cell>
        </row>
        <row r="66">
          <cell r="G66" t="str">
            <v>HT Var</v>
          </cell>
          <cell r="H66">
            <v>0</v>
          </cell>
          <cell r="I66">
            <v>0</v>
          </cell>
        </row>
        <row r="67">
          <cell r="G67" t="str">
            <v>(Input)</v>
          </cell>
          <cell r="H67">
            <v>-6279311</v>
          </cell>
          <cell r="I67">
            <v>-10423689</v>
          </cell>
        </row>
        <row r="68">
          <cell r="G68" t="str">
            <v>(Input)</v>
          </cell>
        </row>
        <row r="70">
          <cell r="B70" t="str">
            <v>SC9</v>
          </cell>
        </row>
        <row r="71">
          <cell r="B71" t="str">
            <v>FS</v>
          </cell>
        </row>
        <row r="72">
          <cell r="A72" t="str">
            <v>SC9(FS)kW pd 1 LT</v>
          </cell>
          <cell r="B72" t="str">
            <v>kW pd 1 LT</v>
          </cell>
          <cell r="C72" t="str">
            <v>8-6</v>
          </cell>
          <cell r="D72">
            <v>284530.23</v>
          </cell>
          <cell r="E72">
            <v>485148.52</v>
          </cell>
          <cell r="F72">
            <v>769678.75</v>
          </cell>
          <cell r="H72">
            <v>136330.37</v>
          </cell>
          <cell r="I72">
            <v>251596.99999999994</v>
          </cell>
          <cell r="J72">
            <v>387927.36999999994</v>
          </cell>
        </row>
        <row r="73">
          <cell r="A73" t="str">
            <v>SC9(FS)kW pd 1 HT</v>
          </cell>
          <cell r="B73" t="str">
            <v>kW pd 1 HT</v>
          </cell>
          <cell r="D73">
            <v>114098.54000000001</v>
          </cell>
          <cell r="E73">
            <v>177926.40999999995</v>
          </cell>
          <cell r="F73">
            <v>292024.94999999995</v>
          </cell>
          <cell r="H73">
            <v>80</v>
          </cell>
          <cell r="I73">
            <v>267.94</v>
          </cell>
          <cell r="J73">
            <v>347.94</v>
          </cell>
        </row>
        <row r="74">
          <cell r="A74" t="str">
            <v>SC9(FS)kW pd 2 LT</v>
          </cell>
          <cell r="B74" t="str">
            <v>kW pd 2 LT</v>
          </cell>
          <cell r="C74" t="str">
            <v>8-10</v>
          </cell>
          <cell r="D74">
            <v>284905.11000000004</v>
          </cell>
          <cell r="E74">
            <v>486558.12000000017</v>
          </cell>
          <cell r="F74">
            <v>771463.23000000021</v>
          </cell>
          <cell r="H74">
            <v>138516.19000000003</v>
          </cell>
          <cell r="I74">
            <v>255162.00999999998</v>
          </cell>
          <cell r="J74">
            <v>393678.2</v>
          </cell>
        </row>
        <row r="75">
          <cell r="A75" t="str">
            <v>SC9(FS)kW pd 2 HT</v>
          </cell>
          <cell r="B75" t="str">
            <v>kW pd 2 HT</v>
          </cell>
          <cell r="D75">
            <v>114403.82</v>
          </cell>
          <cell r="E75">
            <v>179107.21000000002</v>
          </cell>
          <cell r="F75">
            <v>293511.03000000003</v>
          </cell>
          <cell r="H75">
            <v>264</v>
          </cell>
          <cell r="I75">
            <v>328.12</v>
          </cell>
          <cell r="J75">
            <v>592.12</v>
          </cell>
        </row>
        <row r="76">
          <cell r="A76" t="str">
            <v>SC9(FS)kW Secondary</v>
          </cell>
          <cell r="B76" t="str">
            <v>kW Secondary</v>
          </cell>
          <cell r="C76" t="str">
            <v>All Day</v>
          </cell>
          <cell r="D76">
            <v>285974.80000000005</v>
          </cell>
          <cell r="E76">
            <v>489052.69999999995</v>
          </cell>
          <cell r="F76">
            <v>775027.5</v>
          </cell>
          <cell r="H76">
            <v>139872.18</v>
          </cell>
          <cell r="I76">
            <v>259194.62000000005</v>
          </cell>
          <cell r="J76">
            <v>399066.80000000005</v>
          </cell>
        </row>
        <row r="77">
          <cell r="A77" t="str">
            <v>SC9(FS)kWh LT</v>
          </cell>
          <cell r="B77" t="str">
            <v>kWh LT</v>
          </cell>
          <cell r="D77">
            <v>122157418</v>
          </cell>
          <cell r="E77">
            <v>217617869</v>
          </cell>
          <cell r="F77">
            <v>339775287</v>
          </cell>
          <cell r="H77">
            <v>65100654</v>
          </cell>
          <cell r="I77">
            <v>120274036.88</v>
          </cell>
          <cell r="J77">
            <v>185374690.88</v>
          </cell>
        </row>
        <row r="78">
          <cell r="A78" t="str">
            <v>SC9(FS)kWh HT</v>
          </cell>
          <cell r="B78" t="str">
            <v>kWh HT</v>
          </cell>
          <cell r="D78">
            <v>39399153</v>
          </cell>
          <cell r="E78">
            <v>71502373</v>
          </cell>
          <cell r="F78">
            <v>110901526</v>
          </cell>
          <cell r="H78">
            <v>45600</v>
          </cell>
          <cell r="I78">
            <v>57287</v>
          </cell>
          <cell r="J78">
            <v>102887</v>
          </cell>
        </row>
        <row r="79">
          <cell r="A79" t="str">
            <v>SC9(FS)kWh OnPk LT</v>
          </cell>
          <cell r="B79" t="str">
            <v>kWh OnPk LT</v>
          </cell>
          <cell r="D79">
            <v>62067469.599999994</v>
          </cell>
          <cell r="E79">
            <v>107193288.69999999</v>
          </cell>
          <cell r="F79">
            <v>169260758.29999998</v>
          </cell>
          <cell r="H79">
            <v>28097252</v>
          </cell>
          <cell r="I79">
            <v>50337522</v>
          </cell>
          <cell r="J79">
            <v>78434774</v>
          </cell>
        </row>
        <row r="80">
          <cell r="A80" t="str">
            <v>SC9(FS)kWh OnPk HT</v>
          </cell>
          <cell r="B80" t="str">
            <v>kWh OnPk HT</v>
          </cell>
          <cell r="D80">
            <v>19131854.299999997</v>
          </cell>
          <cell r="E80">
            <v>34573377.699999996</v>
          </cell>
          <cell r="F80">
            <v>53705231.999999993</v>
          </cell>
          <cell r="H80">
            <v>15200</v>
          </cell>
          <cell r="I80">
            <v>27733</v>
          </cell>
          <cell r="J80">
            <v>42933</v>
          </cell>
        </row>
        <row r="81">
          <cell r="A81" t="str">
            <v>SC9(FS)kWh OffPk LT</v>
          </cell>
          <cell r="B81" t="str">
            <v>kWh OffPk LT</v>
          </cell>
          <cell r="D81">
            <v>60089948.400000006</v>
          </cell>
          <cell r="E81">
            <v>109626179.30000001</v>
          </cell>
          <cell r="F81">
            <v>169716127.70000002</v>
          </cell>
          <cell r="H81">
            <v>33593145</v>
          </cell>
          <cell r="I81">
            <v>61525434</v>
          </cell>
          <cell r="J81">
            <v>95118579</v>
          </cell>
        </row>
        <row r="82">
          <cell r="A82" t="str">
            <v>SC9(FS)kWh OffPk HT</v>
          </cell>
          <cell r="B82" t="str">
            <v>kWh OffPk HT</v>
          </cell>
          <cell r="D82">
            <v>20248098.700000003</v>
          </cell>
          <cell r="E82">
            <v>36928995.300000004</v>
          </cell>
          <cell r="F82">
            <v>57177094.000000007</v>
          </cell>
          <cell r="H82">
            <v>30400</v>
          </cell>
          <cell r="I82">
            <v>29553</v>
          </cell>
          <cell r="J82">
            <v>59953</v>
          </cell>
        </row>
        <row r="83">
          <cell r="H83">
            <v>-3410257</v>
          </cell>
          <cell r="I83">
            <v>-8411080.8799999952</v>
          </cell>
        </row>
        <row r="84">
          <cell r="H84">
            <v>0</v>
          </cell>
          <cell r="I84">
            <v>-1</v>
          </cell>
        </row>
        <row r="85">
          <cell r="H85">
            <v>-3410257</v>
          </cell>
          <cell r="I85">
            <v>-8411080.8799999952</v>
          </cell>
          <cell r="K85">
            <v>-1303575</v>
          </cell>
        </row>
        <row r="86">
          <cell r="G86" t="str">
            <v>(Input)</v>
          </cell>
          <cell r="H86">
            <v>0</v>
          </cell>
          <cell r="I86">
            <v>-1</v>
          </cell>
        </row>
        <row r="88">
          <cell r="B88" t="str">
            <v>RA</v>
          </cell>
        </row>
        <row r="89">
          <cell r="A89" t="str">
            <v>SC9(RA)kW pd 1 LT</v>
          </cell>
          <cell r="B89" t="str">
            <v>kW pd 1 LT</v>
          </cell>
          <cell r="C89" t="str">
            <v>8-6</v>
          </cell>
          <cell r="D89">
            <v>5517869.9100000001</v>
          </cell>
          <cell r="E89">
            <v>9383666.1899999958</v>
          </cell>
          <cell r="F89">
            <v>14901536.099999996</v>
          </cell>
          <cell r="H89">
            <v>1229699.959999999</v>
          </cell>
          <cell r="I89">
            <v>2192720.1199999992</v>
          </cell>
          <cell r="J89">
            <v>3422420.0799999982</v>
          </cell>
        </row>
        <row r="90">
          <cell r="A90" t="str">
            <v>SC9(RA)kW pd 1 HT</v>
          </cell>
          <cell r="B90" t="str">
            <v>kW pd 1 HT</v>
          </cell>
          <cell r="D90">
            <v>1249311.7000000002</v>
          </cell>
          <cell r="E90">
            <v>2184081.9399999995</v>
          </cell>
          <cell r="F90">
            <v>3433393.6399999997</v>
          </cell>
          <cell r="H90">
            <v>13708.079999999998</v>
          </cell>
          <cell r="I90">
            <v>24651.06</v>
          </cell>
          <cell r="J90">
            <v>38359.14</v>
          </cell>
        </row>
        <row r="91">
          <cell r="A91" t="str">
            <v>SC9(RA)kW pd 2 LT</v>
          </cell>
          <cell r="B91" t="str">
            <v>kW pd 2 LT</v>
          </cell>
          <cell r="C91" t="str">
            <v>8-10</v>
          </cell>
          <cell r="D91">
            <v>5524356.5499999998</v>
          </cell>
          <cell r="E91">
            <v>9394962.9899999984</v>
          </cell>
          <cell r="F91">
            <v>14919319.539999999</v>
          </cell>
          <cell r="H91">
            <v>1238125.6199999989</v>
          </cell>
          <cell r="I91">
            <v>2208355.3899999997</v>
          </cell>
          <cell r="J91">
            <v>3446481.0099999988</v>
          </cell>
        </row>
        <row r="92">
          <cell r="A92" t="str">
            <v>SC9(RA)kW pd 2 HT</v>
          </cell>
          <cell r="B92" t="str">
            <v>kW pd 2 HT</v>
          </cell>
          <cell r="D92">
            <v>1260415.69</v>
          </cell>
          <cell r="E92">
            <v>2203872.7000000002</v>
          </cell>
          <cell r="F92">
            <v>3464288.39</v>
          </cell>
          <cell r="H92">
            <v>13937.46</v>
          </cell>
          <cell r="I92">
            <v>24746.340000000004</v>
          </cell>
          <cell r="J92">
            <v>38683.800000000003</v>
          </cell>
        </row>
        <row r="93">
          <cell r="A93" t="str">
            <v>SC9(RA)kW Secondary</v>
          </cell>
          <cell r="B93" t="str">
            <v>kW Secondary</v>
          </cell>
          <cell r="C93" t="str">
            <v>All Day</v>
          </cell>
          <cell r="D93">
            <v>5491994.5600000005</v>
          </cell>
          <cell r="E93">
            <v>9333696.4299999978</v>
          </cell>
          <cell r="F93">
            <v>14825690.989999998</v>
          </cell>
          <cell r="G93" t="str">
            <v>Why this is lower than 8-10???</v>
          </cell>
          <cell r="H93">
            <v>1252208.8200000008</v>
          </cell>
          <cell r="I93">
            <v>2239756.9199999995</v>
          </cell>
          <cell r="J93">
            <v>3491965.74</v>
          </cell>
        </row>
        <row r="94">
          <cell r="A94" t="str">
            <v>SC9(RA)kWh LT</v>
          </cell>
          <cell r="B94" t="str">
            <v>kWh LT</v>
          </cell>
          <cell r="D94">
            <v>2416530851</v>
          </cell>
          <cell r="E94">
            <v>4276087636</v>
          </cell>
          <cell r="F94">
            <v>6692618487</v>
          </cell>
          <cell r="H94">
            <v>630010829.98000002</v>
          </cell>
          <cell r="I94">
            <v>1128774445.03</v>
          </cell>
          <cell r="J94">
            <v>1758785275.01</v>
          </cell>
        </row>
        <row r="95">
          <cell r="A95" t="str">
            <v>SC9(RA)kWh HT</v>
          </cell>
          <cell r="B95" t="str">
            <v>kWh HT</v>
          </cell>
          <cell r="D95">
            <v>628733427</v>
          </cell>
          <cell r="E95">
            <v>1125730134</v>
          </cell>
          <cell r="F95">
            <v>1754463561</v>
          </cell>
          <cell r="H95">
            <v>6013116</v>
          </cell>
          <cell r="I95">
            <v>12094895</v>
          </cell>
          <cell r="J95">
            <v>18108011</v>
          </cell>
        </row>
        <row r="96">
          <cell r="A96" t="str">
            <v>SC9(RA)kWh OnPk LT</v>
          </cell>
          <cell r="B96" t="str">
            <v>kWh OnPk LT</v>
          </cell>
          <cell r="D96">
            <v>1237121489.4000001</v>
          </cell>
          <cell r="E96">
            <v>2151629274.25</v>
          </cell>
          <cell r="F96">
            <v>3388750763.6500001</v>
          </cell>
          <cell r="H96">
            <v>254820794.09999999</v>
          </cell>
          <cell r="I96">
            <v>457811388.4000001</v>
          </cell>
          <cell r="J96">
            <v>712632182.50000012</v>
          </cell>
        </row>
        <row r="97">
          <cell r="A97" t="str">
            <v>SC9(RA)kWh OnPk HT</v>
          </cell>
          <cell r="B97" t="str">
            <v>kWh OnPk HT</v>
          </cell>
          <cell r="D97">
            <v>284976998.90000004</v>
          </cell>
          <cell r="E97">
            <v>503294480.89999992</v>
          </cell>
          <cell r="F97">
            <v>788271479.79999995</v>
          </cell>
          <cell r="H97">
            <v>2876689</v>
          </cell>
          <cell r="I97">
            <v>5693491</v>
          </cell>
          <cell r="J97">
            <v>8570180</v>
          </cell>
        </row>
        <row r="98">
          <cell r="A98" t="str">
            <v>SC9(RA)kWh OffPk LT</v>
          </cell>
          <cell r="B98" t="str">
            <v>kWh OffPk LT</v>
          </cell>
          <cell r="D98">
            <v>1179831476.5999999</v>
          </cell>
          <cell r="E98">
            <v>2123270791.9499998</v>
          </cell>
          <cell r="F98">
            <v>3303102268.5499997</v>
          </cell>
          <cell r="H98">
            <v>309646531.89999998</v>
          </cell>
          <cell r="I98">
            <v>564391424.79999995</v>
          </cell>
          <cell r="J98">
            <v>874037956.69999993</v>
          </cell>
        </row>
        <row r="99">
          <cell r="A99" t="str">
            <v>SC9(RA)kWh OffPk HT</v>
          </cell>
          <cell r="B99" t="str">
            <v>kWh OffPk HT</v>
          </cell>
          <cell r="D99">
            <v>336720546.79999995</v>
          </cell>
          <cell r="E99">
            <v>608193851.10000002</v>
          </cell>
          <cell r="F99">
            <v>944914397.89999998</v>
          </cell>
          <cell r="H99">
            <v>3136427</v>
          </cell>
          <cell r="I99">
            <v>6401404</v>
          </cell>
          <cell r="J99">
            <v>9537831</v>
          </cell>
        </row>
        <row r="100">
          <cell r="G100" t="str">
            <v>LT Var</v>
          </cell>
          <cell r="H100">
            <v>-65543503.980000019</v>
          </cell>
          <cell r="I100">
            <v>-106571631.82999992</v>
          </cell>
        </row>
        <row r="101">
          <cell r="G101" t="str">
            <v>HT Var</v>
          </cell>
          <cell r="H101">
            <v>0</v>
          </cell>
          <cell r="I101">
            <v>0</v>
          </cell>
        </row>
        <row r="102">
          <cell r="G102" t="str">
            <v>(Input)</v>
          </cell>
          <cell r="H102">
            <v>-65543503.980000019</v>
          </cell>
          <cell r="I102">
            <v>-106571631.82999992</v>
          </cell>
        </row>
        <row r="103">
          <cell r="G103" t="str">
            <v>(Input)</v>
          </cell>
        </row>
        <row r="105">
          <cell r="B105" t="str">
            <v>SC12</v>
          </cell>
        </row>
        <row r="106">
          <cell r="B106" t="str">
            <v>FS</v>
          </cell>
        </row>
        <row r="107">
          <cell r="A107" t="str">
            <v>SC12(FS)kW pd 1 LT</v>
          </cell>
          <cell r="B107" t="str">
            <v>kW pd 1 LT</v>
          </cell>
          <cell r="C107" t="str">
            <v>8-6</v>
          </cell>
          <cell r="D107">
            <v>3427.2</v>
          </cell>
          <cell r="E107">
            <v>12271.2</v>
          </cell>
          <cell r="F107">
            <v>15698.400000000001</v>
          </cell>
          <cell r="J107">
            <v>0</v>
          </cell>
        </row>
        <row r="108">
          <cell r="A108" t="str">
            <v>SC12(FS)kW pd 1 HT</v>
          </cell>
          <cell r="B108" t="str">
            <v>kW pd 1 HT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 t="str">
            <v>SC12(FS)kW pd 2 LT</v>
          </cell>
          <cell r="B109" t="str">
            <v>kW pd 2 LT</v>
          </cell>
          <cell r="C109" t="str">
            <v>8-10</v>
          </cell>
          <cell r="D109">
            <v>4068.0000000000005</v>
          </cell>
          <cell r="E109">
            <v>14696.16</v>
          </cell>
          <cell r="F109">
            <v>18764.16</v>
          </cell>
          <cell r="J109">
            <v>0</v>
          </cell>
        </row>
        <row r="110">
          <cell r="A110" t="str">
            <v>SC12(FS)kW pd 2 HT</v>
          </cell>
          <cell r="B110" t="str">
            <v>kW pd 2 HT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 t="str">
            <v>SC12(FS)kW Secondary</v>
          </cell>
          <cell r="B111" t="str">
            <v>kW Secondary</v>
          </cell>
          <cell r="C111" t="str">
            <v>All Day</v>
          </cell>
          <cell r="D111">
            <v>4079.4</v>
          </cell>
          <cell r="E111">
            <v>14807.499999999998</v>
          </cell>
          <cell r="F111">
            <v>18886.899999999998</v>
          </cell>
          <cell r="J111">
            <v>0</v>
          </cell>
        </row>
        <row r="112">
          <cell r="A112" t="str">
            <v>SC12(FS)kWh LT</v>
          </cell>
          <cell r="B112" t="str">
            <v>kWh LT</v>
          </cell>
          <cell r="D112">
            <v>1652000</v>
          </cell>
          <cell r="E112">
            <v>5261600</v>
          </cell>
          <cell r="F112">
            <v>6913600</v>
          </cell>
          <cell r="J112">
            <v>0</v>
          </cell>
        </row>
        <row r="113">
          <cell r="A113" t="str">
            <v>SC12(FS)kWh HT</v>
          </cell>
          <cell r="B113" t="str">
            <v>kWh HT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 t="str">
            <v>SC12(FS)kWh OnPk LT</v>
          </cell>
          <cell r="B114" t="str">
            <v>kWh OnPk LT</v>
          </cell>
          <cell r="D114">
            <v>705661</v>
          </cell>
          <cell r="E114">
            <v>2068445</v>
          </cell>
          <cell r="F114">
            <v>2774106</v>
          </cell>
          <cell r="J114">
            <v>0</v>
          </cell>
        </row>
        <row r="115">
          <cell r="A115" t="str">
            <v>SC12(FS)kWh OnPk HT</v>
          </cell>
          <cell r="B115" t="str">
            <v>kWh OnPk HT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 t="str">
            <v>SC12(FS)kWh OffPk LT</v>
          </cell>
          <cell r="B116" t="str">
            <v>kWh OffPk LT</v>
          </cell>
          <cell r="D116">
            <v>946339</v>
          </cell>
          <cell r="E116">
            <v>3193155</v>
          </cell>
          <cell r="F116">
            <v>4139494</v>
          </cell>
          <cell r="J116">
            <v>0</v>
          </cell>
        </row>
        <row r="117">
          <cell r="A117" t="str">
            <v>SC12(FS)kWh OffPk HT</v>
          </cell>
          <cell r="B117" t="str">
            <v>kWh OffPk HT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23">
          <cell r="B123" t="str">
            <v>RA</v>
          </cell>
        </row>
        <row r="124">
          <cell r="A124" t="str">
            <v>SC12(RA)kW pd 1 LT</v>
          </cell>
          <cell r="B124" t="str">
            <v>kW pd 1 LT</v>
          </cell>
          <cell r="C124" t="str">
            <v>8-6</v>
          </cell>
          <cell r="D124">
            <v>88526.16</v>
          </cell>
          <cell r="E124">
            <v>291886.32000000007</v>
          </cell>
          <cell r="F124">
            <v>380412.4800000001</v>
          </cell>
          <cell r="H124">
            <v>639.72</v>
          </cell>
          <cell r="J124">
            <v>639.72</v>
          </cell>
        </row>
        <row r="125">
          <cell r="A125" t="str">
            <v>SC12(RA)kW pd 1 HT</v>
          </cell>
          <cell r="B125" t="str">
            <v>kW pd 1 HT</v>
          </cell>
          <cell r="D125">
            <v>0</v>
          </cell>
          <cell r="E125">
            <v>0</v>
          </cell>
          <cell r="F125">
            <v>0</v>
          </cell>
          <cell r="J125">
            <v>0</v>
          </cell>
        </row>
        <row r="126">
          <cell r="A126" t="str">
            <v>SC12(RA)kW pd 2 LT</v>
          </cell>
          <cell r="B126" t="str">
            <v>kW pd 2 LT</v>
          </cell>
          <cell r="C126" t="str">
            <v>8-10</v>
          </cell>
          <cell r="D126">
            <v>97138.319999999992</v>
          </cell>
          <cell r="E126">
            <v>312492.48000000004</v>
          </cell>
          <cell r="F126">
            <v>409630.80000000005</v>
          </cell>
          <cell r="H126">
            <v>639.72</v>
          </cell>
          <cell r="I126">
            <v>2126.88</v>
          </cell>
          <cell r="J126">
            <v>2766.6000000000004</v>
          </cell>
        </row>
        <row r="127">
          <cell r="A127" t="str">
            <v>SC12(RA)kW pd 2 HT</v>
          </cell>
          <cell r="B127" t="str">
            <v>kW pd 2 HT</v>
          </cell>
          <cell r="D127">
            <v>0</v>
          </cell>
          <cell r="E127">
            <v>0</v>
          </cell>
          <cell r="F127">
            <v>0</v>
          </cell>
          <cell r="J127">
            <v>0</v>
          </cell>
        </row>
        <row r="128">
          <cell r="A128" t="str">
            <v>SC12(RA)kW Secondary</v>
          </cell>
          <cell r="B128" t="str">
            <v>kW Secondary</v>
          </cell>
          <cell r="C128" t="str">
            <v>All Day</v>
          </cell>
          <cell r="D128">
            <v>97391.5</v>
          </cell>
          <cell r="E128">
            <v>314644.3</v>
          </cell>
          <cell r="F128">
            <v>412035.8</v>
          </cell>
          <cell r="H128">
            <v>639.6</v>
          </cell>
          <cell r="I128">
            <v>2521.5999999999995</v>
          </cell>
          <cell r="J128">
            <v>3161.1999999999994</v>
          </cell>
        </row>
        <row r="129">
          <cell r="A129" t="str">
            <v>SC12(RA)kWh LT</v>
          </cell>
          <cell r="B129" t="str">
            <v>kWh LT</v>
          </cell>
          <cell r="D129">
            <v>41480000</v>
          </cell>
          <cell r="E129">
            <v>134480000</v>
          </cell>
          <cell r="F129">
            <v>175960000</v>
          </cell>
          <cell r="H129">
            <v>350800</v>
          </cell>
          <cell r="I129">
            <v>1208400</v>
          </cell>
          <cell r="J129">
            <v>1559200</v>
          </cell>
        </row>
        <row r="130">
          <cell r="A130" t="str">
            <v>SC12(RA)kWh HT</v>
          </cell>
          <cell r="B130" t="str">
            <v>kWh HT</v>
          </cell>
          <cell r="D130">
            <v>0</v>
          </cell>
          <cell r="E130">
            <v>0</v>
          </cell>
          <cell r="F130">
            <v>0</v>
          </cell>
          <cell r="J130">
            <v>0</v>
          </cell>
        </row>
        <row r="131">
          <cell r="A131" t="str">
            <v>SC12(RA)kWh OnPk LT</v>
          </cell>
          <cell r="B131" t="str">
            <v>kWh OnPk LT</v>
          </cell>
          <cell r="D131">
            <v>18122850</v>
          </cell>
          <cell r="E131">
            <v>56384579</v>
          </cell>
          <cell r="F131">
            <v>74507429</v>
          </cell>
          <cell r="H131">
            <v>158192</v>
          </cell>
          <cell r="I131">
            <v>434102</v>
          </cell>
          <cell r="J131">
            <v>592294</v>
          </cell>
        </row>
        <row r="132">
          <cell r="A132" t="str">
            <v>SC12(RA)kWh OnPk HT</v>
          </cell>
          <cell r="B132" t="str">
            <v>kWh OnPk HT</v>
          </cell>
          <cell r="D132">
            <v>0</v>
          </cell>
          <cell r="E132">
            <v>0</v>
          </cell>
          <cell r="F132">
            <v>0</v>
          </cell>
          <cell r="J132">
            <v>0</v>
          </cell>
        </row>
        <row r="133">
          <cell r="A133" t="str">
            <v>SC12(RA)kWh OffPk LT</v>
          </cell>
          <cell r="B133" t="str">
            <v>kWh OffPk LT</v>
          </cell>
          <cell r="D133">
            <v>23357150</v>
          </cell>
          <cell r="E133">
            <v>78095421</v>
          </cell>
          <cell r="F133">
            <v>101452571</v>
          </cell>
          <cell r="H133">
            <v>192608</v>
          </cell>
          <cell r="I133">
            <v>568298</v>
          </cell>
          <cell r="J133">
            <v>760906</v>
          </cell>
        </row>
        <row r="134">
          <cell r="A134" t="str">
            <v>SC12(RA)kWh OffPk HT</v>
          </cell>
          <cell r="B134" t="str">
            <v>kWh OffPk HT</v>
          </cell>
          <cell r="D134">
            <v>0</v>
          </cell>
          <cell r="E134">
            <v>0</v>
          </cell>
          <cell r="F134">
            <v>0</v>
          </cell>
          <cell r="J134">
            <v>0</v>
          </cell>
        </row>
        <row r="140">
          <cell r="B140" t="str">
            <v>SC13</v>
          </cell>
        </row>
        <row r="141">
          <cell r="B141" t="str">
            <v>FS</v>
          </cell>
        </row>
        <row r="142">
          <cell r="A142" t="str">
            <v>SC13(FS)kW pd 1 LT</v>
          </cell>
          <cell r="B142" t="str">
            <v>kW pd 1 LT</v>
          </cell>
          <cell r="C142" t="str">
            <v>8-6</v>
          </cell>
          <cell r="D142">
            <v>0</v>
          </cell>
          <cell r="E142">
            <v>0</v>
          </cell>
          <cell r="F142">
            <v>0</v>
          </cell>
          <cell r="J142">
            <v>0</v>
          </cell>
        </row>
        <row r="143">
          <cell r="A143" t="str">
            <v>SC13(FS)kW pd 1 HT</v>
          </cell>
          <cell r="B143" t="str">
            <v>kW pd 1 HT</v>
          </cell>
          <cell r="D143">
            <v>0</v>
          </cell>
          <cell r="E143">
            <v>0</v>
          </cell>
          <cell r="F143">
            <v>0</v>
          </cell>
          <cell r="J143">
            <v>0</v>
          </cell>
        </row>
        <row r="144">
          <cell r="A144" t="str">
            <v>SC13(FS)kW pd 2 LT</v>
          </cell>
          <cell r="B144" t="str">
            <v>kW pd 2 LT</v>
          </cell>
          <cell r="C144" t="str">
            <v>8-10</v>
          </cell>
          <cell r="D144">
            <v>0</v>
          </cell>
          <cell r="E144">
            <v>0</v>
          </cell>
          <cell r="F144">
            <v>0</v>
          </cell>
          <cell r="J144">
            <v>0</v>
          </cell>
        </row>
        <row r="145">
          <cell r="A145" t="str">
            <v>SC13(FS)kW pd 2 HT</v>
          </cell>
          <cell r="B145" t="str">
            <v>kW pd 2 HT</v>
          </cell>
          <cell r="D145">
            <v>0</v>
          </cell>
          <cell r="E145">
            <v>0</v>
          </cell>
          <cell r="F145">
            <v>0</v>
          </cell>
          <cell r="J145">
            <v>0</v>
          </cell>
        </row>
        <row r="146">
          <cell r="A146" t="str">
            <v>SC13(FS)kW Secondary</v>
          </cell>
          <cell r="B146" t="str">
            <v>kW Secondary</v>
          </cell>
          <cell r="C146" t="str">
            <v>All Day</v>
          </cell>
          <cell r="D146">
            <v>0</v>
          </cell>
          <cell r="E146">
            <v>0</v>
          </cell>
          <cell r="F146">
            <v>0</v>
          </cell>
          <cell r="J146">
            <v>0</v>
          </cell>
        </row>
        <row r="147">
          <cell r="A147" t="str">
            <v>SC13(FS)kWh LT</v>
          </cell>
          <cell r="B147" t="str">
            <v>kWh LT</v>
          </cell>
          <cell r="D147">
            <v>0</v>
          </cell>
          <cell r="E147">
            <v>0</v>
          </cell>
          <cell r="F147">
            <v>0</v>
          </cell>
          <cell r="J147">
            <v>0</v>
          </cell>
        </row>
        <row r="148">
          <cell r="A148" t="str">
            <v>SC13(FS)kWh HT</v>
          </cell>
          <cell r="B148" t="str">
            <v>kWh HT</v>
          </cell>
          <cell r="D148">
            <v>0</v>
          </cell>
          <cell r="E148">
            <v>0</v>
          </cell>
          <cell r="F148">
            <v>0</v>
          </cell>
          <cell r="J148">
            <v>0</v>
          </cell>
        </row>
        <row r="149">
          <cell r="A149" t="str">
            <v>SC13(FS)kWh OnPk LT</v>
          </cell>
          <cell r="B149" t="str">
            <v>kWh OnPk LT</v>
          </cell>
          <cell r="D149">
            <v>0</v>
          </cell>
          <cell r="E149">
            <v>0</v>
          </cell>
          <cell r="F149">
            <v>0</v>
          </cell>
          <cell r="J149">
            <v>0</v>
          </cell>
        </row>
        <row r="150">
          <cell r="A150" t="str">
            <v>SC13(FS)kWh OnPk HT</v>
          </cell>
          <cell r="B150" t="str">
            <v>kWh OnPk HT</v>
          </cell>
          <cell r="D150">
            <v>0</v>
          </cell>
          <cell r="E150">
            <v>0</v>
          </cell>
          <cell r="F150">
            <v>0</v>
          </cell>
          <cell r="J150">
            <v>0</v>
          </cell>
        </row>
        <row r="151">
          <cell r="A151" t="str">
            <v>SC13(FS)kWh OffPk LT</v>
          </cell>
          <cell r="B151" t="str">
            <v>kWh OffPk LT</v>
          </cell>
          <cell r="D151">
            <v>0</v>
          </cell>
          <cell r="E151">
            <v>0</v>
          </cell>
          <cell r="F151">
            <v>0</v>
          </cell>
          <cell r="J151">
            <v>0</v>
          </cell>
        </row>
        <row r="152">
          <cell r="A152" t="str">
            <v>SC13(FS)kWh OffPk HT</v>
          </cell>
          <cell r="B152" t="str">
            <v>kWh OffPk HT</v>
          </cell>
          <cell r="D152">
            <v>0</v>
          </cell>
          <cell r="E152">
            <v>0</v>
          </cell>
          <cell r="F152">
            <v>0</v>
          </cell>
          <cell r="J152">
            <v>0</v>
          </cell>
        </row>
        <row r="158">
          <cell r="B158" t="str">
            <v>RA</v>
          </cell>
        </row>
        <row r="159">
          <cell r="A159" t="str">
            <v>SC13(RA)kW pd 1 LT</v>
          </cell>
          <cell r="B159" t="str">
            <v>kW pd 1 LT</v>
          </cell>
          <cell r="C159" t="str">
            <v>8-6</v>
          </cell>
          <cell r="D159">
            <v>0</v>
          </cell>
          <cell r="E159">
            <v>0</v>
          </cell>
          <cell r="F159">
            <v>0</v>
          </cell>
          <cell r="J159">
            <v>0</v>
          </cell>
        </row>
        <row r="160">
          <cell r="A160" t="str">
            <v>SC13(RA)kW pd 1 HT</v>
          </cell>
          <cell r="B160" t="str">
            <v>kW pd 1 HT</v>
          </cell>
          <cell r="D160">
            <v>37300</v>
          </cell>
          <cell r="E160">
            <v>122400</v>
          </cell>
          <cell r="F160">
            <v>159700</v>
          </cell>
          <cell r="J160">
            <v>0</v>
          </cell>
        </row>
        <row r="161">
          <cell r="A161" t="str">
            <v>SC13(RA)kW pd 2 LT</v>
          </cell>
          <cell r="B161" t="str">
            <v>kW pd 2 LT</v>
          </cell>
          <cell r="C161" t="str">
            <v>8-10</v>
          </cell>
          <cell r="D161">
            <v>0</v>
          </cell>
          <cell r="E161">
            <v>0</v>
          </cell>
          <cell r="F161">
            <v>0</v>
          </cell>
          <cell r="J161">
            <v>0</v>
          </cell>
        </row>
        <row r="162">
          <cell r="A162" t="str">
            <v>SC13(RA)kW pd 2 HT</v>
          </cell>
          <cell r="B162" t="str">
            <v>kW pd 2 HT</v>
          </cell>
          <cell r="D162">
            <v>39440</v>
          </cell>
          <cell r="E162">
            <v>133680</v>
          </cell>
          <cell r="F162">
            <v>173120</v>
          </cell>
          <cell r="J162">
            <v>0</v>
          </cell>
        </row>
        <row r="163">
          <cell r="A163" t="str">
            <v>SC13(RA)kW Secondary</v>
          </cell>
          <cell r="B163" t="str">
            <v>kW Secondary</v>
          </cell>
          <cell r="C163" t="str">
            <v>All Day</v>
          </cell>
          <cell r="D163">
            <v>0</v>
          </cell>
          <cell r="E163">
            <v>0</v>
          </cell>
          <cell r="F163">
            <v>0</v>
          </cell>
          <cell r="J163">
            <v>0</v>
          </cell>
        </row>
        <row r="164">
          <cell r="A164" t="str">
            <v>SC13(RA)kWh LT</v>
          </cell>
          <cell r="B164" t="str">
            <v>kWh LT</v>
          </cell>
          <cell r="D164">
            <v>0</v>
          </cell>
          <cell r="E164">
            <v>0</v>
          </cell>
          <cell r="F164">
            <v>0</v>
          </cell>
          <cell r="J164">
            <v>0</v>
          </cell>
        </row>
        <row r="165">
          <cell r="A165" t="str">
            <v>SC13(RA)kWh HT</v>
          </cell>
          <cell r="B165" t="str">
            <v>kWh HT</v>
          </cell>
          <cell r="D165">
            <v>6508900</v>
          </cell>
          <cell r="E165">
            <v>16841300</v>
          </cell>
          <cell r="F165">
            <v>23350200</v>
          </cell>
          <cell r="J165">
            <v>0</v>
          </cell>
        </row>
        <row r="166">
          <cell r="A166" t="str">
            <v>SC13(RA)kWh OnPk LT</v>
          </cell>
          <cell r="B166" t="str">
            <v>kWh OnPk LT</v>
          </cell>
          <cell r="D166">
            <v>0</v>
          </cell>
          <cell r="E166">
            <v>0</v>
          </cell>
          <cell r="F166">
            <v>0</v>
          </cell>
          <cell r="J166">
            <v>0</v>
          </cell>
        </row>
        <row r="167">
          <cell r="A167" t="str">
            <v>SC13(RA)kWh OnPk HT</v>
          </cell>
          <cell r="B167" t="str">
            <v>kWh OnPk HT</v>
          </cell>
          <cell r="D167">
            <v>2922041</v>
          </cell>
          <cell r="E167">
            <v>7883342</v>
          </cell>
          <cell r="F167">
            <v>10805383</v>
          </cell>
          <cell r="J167">
            <v>0</v>
          </cell>
        </row>
        <row r="168">
          <cell r="A168" t="str">
            <v>SC13(RA)kWh OffPk LT</v>
          </cell>
          <cell r="B168" t="str">
            <v>kWh OffPk LT</v>
          </cell>
          <cell r="D168">
            <v>0</v>
          </cell>
          <cell r="E168">
            <v>0</v>
          </cell>
          <cell r="F168">
            <v>0</v>
          </cell>
          <cell r="J168">
            <v>0</v>
          </cell>
        </row>
        <row r="169">
          <cell r="A169" t="str">
            <v>SC13(RA)kWh OffPk HT</v>
          </cell>
          <cell r="B169" t="str">
            <v>kWh OffPk HT</v>
          </cell>
          <cell r="D169">
            <v>3586859</v>
          </cell>
          <cell r="E169">
            <v>8957958</v>
          </cell>
          <cell r="F169">
            <v>12544817</v>
          </cell>
          <cell r="J169">
            <v>0</v>
          </cell>
        </row>
      </sheetData>
      <sheetData sheetId="11">
        <row r="105">
          <cell r="F105">
            <v>0.50321795623874999</v>
          </cell>
          <cell r="G105">
            <v>0.49678204376125007</v>
          </cell>
          <cell r="H105">
            <v>0.48252105204924745</v>
          </cell>
          <cell r="I105">
            <v>0.51747894795075466</v>
          </cell>
        </row>
        <row r="114">
          <cell r="F114">
            <v>0.37610779289714114</v>
          </cell>
          <cell r="G114">
            <v>0.62389220710285898</v>
          </cell>
          <cell r="H114">
            <v>0.37456018836492366</v>
          </cell>
          <cell r="I114">
            <v>0.62543981163507756</v>
          </cell>
        </row>
        <row r="117">
          <cell r="F117">
            <v>0.71593589588317141</v>
          </cell>
          <cell r="G117">
            <v>0.28406410411682853</v>
          </cell>
          <cell r="H117">
            <v>0.72358166961421766</v>
          </cell>
          <cell r="I117">
            <v>0.27641833038578228</v>
          </cell>
        </row>
      </sheetData>
      <sheetData sheetId="12">
        <row r="27">
          <cell r="D27">
            <v>0</v>
          </cell>
          <cell r="E27">
            <v>18575845</v>
          </cell>
          <cell r="I27">
            <v>0</v>
          </cell>
          <cell r="J27">
            <v>36684491</v>
          </cell>
        </row>
        <row r="28">
          <cell r="D28">
            <v>0</v>
          </cell>
          <cell r="E28">
            <v>9060210</v>
          </cell>
          <cell r="F28">
            <v>0</v>
          </cell>
          <cell r="I28">
            <v>0</v>
          </cell>
          <cell r="J28">
            <v>17204467</v>
          </cell>
          <cell r="K28">
            <v>0</v>
          </cell>
        </row>
        <row r="29">
          <cell r="D29">
            <v>0</v>
          </cell>
          <cell r="E29">
            <v>9515635</v>
          </cell>
          <cell r="F29">
            <v>0</v>
          </cell>
          <cell r="I29">
            <v>0</v>
          </cell>
          <cell r="J29">
            <v>19480024</v>
          </cell>
          <cell r="K29">
            <v>0</v>
          </cell>
        </row>
        <row r="31">
          <cell r="D31">
            <v>0</v>
          </cell>
          <cell r="E31">
            <v>50338.2</v>
          </cell>
          <cell r="I31">
            <v>0</v>
          </cell>
          <cell r="J31">
            <v>93863.92</v>
          </cell>
        </row>
        <row r="32">
          <cell r="D32">
            <v>0</v>
          </cell>
          <cell r="E32">
            <v>49122.23</v>
          </cell>
          <cell r="F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D33">
            <v>0</v>
          </cell>
          <cell r="E33">
            <v>49606.94</v>
          </cell>
          <cell r="F33">
            <v>0</v>
          </cell>
          <cell r="I33">
            <v>0</v>
          </cell>
          <cell r="J33">
            <v>91989.46</v>
          </cell>
          <cell r="K33">
            <v>0</v>
          </cell>
        </row>
        <row r="35">
          <cell r="D35">
            <v>602294876</v>
          </cell>
          <cell r="E35">
            <v>5967559051.6299992</v>
          </cell>
          <cell r="F35">
            <v>39321291</v>
          </cell>
          <cell r="I35">
            <v>911800979.00999999</v>
          </cell>
          <cell r="J35">
            <v>10316378372.860001</v>
          </cell>
          <cell r="K35">
            <v>115292046</v>
          </cell>
        </row>
        <row r="36">
          <cell r="D36">
            <v>264104302</v>
          </cell>
          <cell r="E36">
            <v>2910626194</v>
          </cell>
          <cell r="F36">
            <v>17019228</v>
          </cell>
          <cell r="I36">
            <v>401180677</v>
          </cell>
          <cell r="J36">
            <v>4838224123</v>
          </cell>
          <cell r="K36">
            <v>48318454</v>
          </cell>
        </row>
        <row r="37">
          <cell r="D37">
            <v>338190574</v>
          </cell>
          <cell r="E37">
            <v>3056932857.6299992</v>
          </cell>
          <cell r="F37">
            <v>22302063</v>
          </cell>
          <cell r="I37">
            <v>510620302.00999999</v>
          </cell>
          <cell r="J37">
            <v>5478154249.8600006</v>
          </cell>
          <cell r="K37">
            <v>66973592</v>
          </cell>
        </row>
        <row r="40">
          <cell r="D40">
            <v>1515483.7</v>
          </cell>
          <cell r="E40">
            <v>17195520.75</v>
          </cell>
          <cell r="F40">
            <v>93159.5</v>
          </cell>
          <cell r="I40">
            <v>2083661.6</v>
          </cell>
          <cell r="J40">
            <v>29725071.23</v>
          </cell>
          <cell r="K40">
            <v>267492.5</v>
          </cell>
        </row>
        <row r="41">
          <cell r="D41">
            <v>1358669.02</v>
          </cell>
          <cell r="E41">
            <v>16780145.75</v>
          </cell>
          <cell r="F41">
            <v>85869.68</v>
          </cell>
          <cell r="I41">
            <v>0</v>
          </cell>
          <cell r="J41">
            <v>0</v>
          </cell>
          <cell r="K41">
            <v>0</v>
          </cell>
        </row>
        <row r="42">
          <cell r="D42">
            <v>1505420.89</v>
          </cell>
          <cell r="E42">
            <v>16945721.420000002</v>
          </cell>
          <cell r="F42">
            <v>92433.14</v>
          </cell>
          <cell r="I42">
            <v>2029382.22</v>
          </cell>
          <cell r="J42">
            <v>29131461.559999999</v>
          </cell>
          <cell r="K42">
            <v>260813.21</v>
          </cell>
        </row>
        <row r="43">
          <cell r="D43">
            <v>1515483.7</v>
          </cell>
          <cell r="E43">
            <v>17195520.75</v>
          </cell>
          <cell r="F43">
            <v>93159.5</v>
          </cell>
          <cell r="I43">
            <v>2083661.6</v>
          </cell>
          <cell r="J43">
            <v>29725071.23</v>
          </cell>
          <cell r="K43">
            <v>267492.5</v>
          </cell>
        </row>
        <row r="49">
          <cell r="D49">
            <v>0</v>
          </cell>
          <cell r="E49">
            <v>6058716</v>
          </cell>
          <cell r="F49">
            <v>0</v>
          </cell>
          <cell r="I49">
            <v>0</v>
          </cell>
          <cell r="J49">
            <v>12152182</v>
          </cell>
          <cell r="K49">
            <v>0</v>
          </cell>
        </row>
        <row r="50">
          <cell r="D50">
            <v>0</v>
          </cell>
          <cell r="E50">
            <v>2891889</v>
          </cell>
          <cell r="F50">
            <v>0</v>
          </cell>
          <cell r="I50">
            <v>0</v>
          </cell>
          <cell r="J50">
            <v>5721224</v>
          </cell>
          <cell r="K50">
            <v>0</v>
          </cell>
        </row>
        <row r="51">
          <cell r="D51">
            <v>0</v>
          </cell>
          <cell r="E51">
            <v>3166827</v>
          </cell>
          <cell r="F51">
            <v>0</v>
          </cell>
          <cell r="I51">
            <v>0</v>
          </cell>
          <cell r="J51">
            <v>6430957</v>
          </cell>
          <cell r="K51">
            <v>0</v>
          </cell>
        </row>
        <row r="53">
          <cell r="D53">
            <v>0</v>
          </cell>
          <cell r="E53">
            <v>14200.900000000001</v>
          </cell>
          <cell r="F53">
            <v>0</v>
          </cell>
          <cell r="I53">
            <v>0</v>
          </cell>
          <cell r="J53">
            <v>25073.18</v>
          </cell>
          <cell r="K53">
            <v>2521.6</v>
          </cell>
        </row>
        <row r="54">
          <cell r="D54">
            <v>0</v>
          </cell>
          <cell r="E54">
            <v>13788</v>
          </cell>
          <cell r="F54">
            <v>0</v>
          </cell>
        </row>
        <row r="55">
          <cell r="D55">
            <v>0</v>
          </cell>
          <cell r="E55">
            <v>14201</v>
          </cell>
          <cell r="F55">
            <v>0</v>
          </cell>
          <cell r="I55">
            <v>0</v>
          </cell>
          <cell r="J55">
            <v>25074</v>
          </cell>
          <cell r="K55">
            <v>0</v>
          </cell>
        </row>
        <row r="57">
          <cell r="D57">
            <v>66962484.670000002</v>
          </cell>
          <cell r="E57">
            <v>695111483.98000002</v>
          </cell>
          <cell r="F57">
            <v>350800</v>
          </cell>
          <cell r="I57">
            <v>99696528.420000002</v>
          </cell>
          <cell r="J57">
            <v>1249048319.9099998</v>
          </cell>
          <cell r="K57">
            <v>1208400</v>
          </cell>
        </row>
        <row r="58">
          <cell r="D58">
            <v>25285140</v>
          </cell>
          <cell r="E58">
            <v>282918046</v>
          </cell>
          <cell r="F58">
            <v>158192</v>
          </cell>
          <cell r="I58">
            <v>38078045</v>
          </cell>
          <cell r="J58">
            <v>508148910</v>
          </cell>
          <cell r="K58">
            <v>434102</v>
          </cell>
        </row>
        <row r="59">
          <cell r="D59">
            <v>32881363</v>
          </cell>
          <cell r="E59">
            <v>343239677</v>
          </cell>
          <cell r="F59">
            <v>192608</v>
          </cell>
          <cell r="I59">
            <v>48105202</v>
          </cell>
          <cell r="J59">
            <v>625916859</v>
          </cell>
          <cell r="K59">
            <v>568298</v>
          </cell>
        </row>
        <row r="61">
          <cell r="D61">
            <v>157028</v>
          </cell>
          <cell r="E61">
            <v>1392081</v>
          </cell>
          <cell r="F61">
            <v>640</v>
          </cell>
          <cell r="I61">
            <v>218386</v>
          </cell>
          <cell r="J61">
            <v>2498952</v>
          </cell>
          <cell r="K61">
            <v>2522</v>
          </cell>
        </row>
        <row r="62">
          <cell r="D62">
            <v>147810</v>
          </cell>
          <cell r="E62">
            <v>1366030</v>
          </cell>
          <cell r="F62">
            <v>640</v>
          </cell>
        </row>
        <row r="63">
          <cell r="D63">
            <v>156215</v>
          </cell>
          <cell r="E63">
            <v>1376642</v>
          </cell>
          <cell r="F63">
            <v>640</v>
          </cell>
          <cell r="I63">
            <v>215552</v>
          </cell>
          <cell r="J63">
            <v>2463517</v>
          </cell>
          <cell r="K63">
            <v>2127</v>
          </cell>
        </row>
        <row r="64">
          <cell r="D64">
            <v>157028</v>
          </cell>
          <cell r="E64">
            <v>1392081</v>
          </cell>
          <cell r="F64">
            <v>640</v>
          </cell>
          <cell r="I64">
            <v>218386</v>
          </cell>
          <cell r="J64">
            <v>2498952</v>
          </cell>
          <cell r="K64">
            <v>2522</v>
          </cell>
        </row>
      </sheetData>
      <sheetData sheetId="13"/>
      <sheetData sheetId="14"/>
      <sheetData sheetId="15">
        <row r="53">
          <cell r="H53">
            <v>1.97</v>
          </cell>
          <cell r="K53">
            <v>2.14</v>
          </cell>
        </row>
      </sheetData>
      <sheetData sheetId="16"/>
      <sheetData sheetId="17"/>
      <sheetData sheetId="18">
        <row r="22">
          <cell r="D22">
            <v>6193921</v>
          </cell>
          <cell r="H22">
            <v>-1491703.1284422702</v>
          </cell>
        </row>
        <row r="23">
          <cell r="D23">
            <v>321573</v>
          </cell>
          <cell r="H23">
            <v>-186393</v>
          </cell>
        </row>
        <row r="24">
          <cell r="D24">
            <v>2690454</v>
          </cell>
          <cell r="H24">
            <v>-10134899.728127901</v>
          </cell>
        </row>
      </sheetData>
      <sheetData sheetId="19">
        <row r="27">
          <cell r="E27">
            <v>31054.306616539892</v>
          </cell>
        </row>
        <row r="28">
          <cell r="E28">
            <v>701672.37533170404</v>
          </cell>
        </row>
        <row r="29">
          <cell r="E29">
            <v>-419562.10998261347</v>
          </cell>
        </row>
        <row r="30">
          <cell r="E30">
            <v>-1715178.7603865275</v>
          </cell>
        </row>
        <row r="31">
          <cell r="E31">
            <v>342711.21953040012</v>
          </cell>
        </row>
        <row r="38">
          <cell r="E38">
            <v>633188.28107374255</v>
          </cell>
        </row>
      </sheetData>
      <sheetData sheetId="20">
        <row r="7">
          <cell r="D7">
            <v>70102</v>
          </cell>
          <cell r="E7">
            <v>6297072</v>
          </cell>
        </row>
        <row r="8">
          <cell r="D8">
            <v>35115</v>
          </cell>
          <cell r="E8">
            <v>3707547</v>
          </cell>
        </row>
        <row r="10">
          <cell r="D10">
            <v>2187</v>
          </cell>
          <cell r="E10">
            <v>3765413</v>
          </cell>
        </row>
        <row r="11">
          <cell r="D11">
            <v>1092</v>
          </cell>
          <cell r="E11">
            <v>1965888</v>
          </cell>
        </row>
        <row r="28">
          <cell r="E28">
            <v>41839031.450000003</v>
          </cell>
        </row>
        <row r="29">
          <cell r="E29">
            <v>17728864.030000001</v>
          </cell>
        </row>
        <row r="40">
          <cell r="D40">
            <v>215409</v>
          </cell>
        </row>
      </sheetData>
      <sheetData sheetId="21">
        <row r="23">
          <cell r="J23">
            <v>23.195399999999999</v>
          </cell>
          <cell r="K23">
            <v>54.314999999999998</v>
          </cell>
          <cell r="N23">
            <v>23.195399999999999</v>
          </cell>
          <cell r="O23">
            <v>54.314999999999998</v>
          </cell>
        </row>
        <row r="44">
          <cell r="C44">
            <v>374890</v>
          </cell>
        </row>
      </sheetData>
      <sheetData sheetId="22"/>
      <sheetData sheetId="23">
        <row r="11">
          <cell r="BP11">
            <v>35628824</v>
          </cell>
        </row>
        <row r="12">
          <cell r="BP12">
            <v>17580</v>
          </cell>
        </row>
        <row r="17">
          <cell r="BP17">
            <v>5111886</v>
          </cell>
        </row>
        <row r="18">
          <cell r="BP18">
            <v>36987</v>
          </cell>
        </row>
        <row r="31">
          <cell r="BP31">
            <v>40836</v>
          </cell>
        </row>
        <row r="65">
          <cell r="BP65">
            <v>40836113</v>
          </cell>
        </row>
      </sheetData>
      <sheetData sheetId="24"/>
      <sheetData sheetId="25"/>
      <sheetData sheetId="26"/>
      <sheetData sheetId="27"/>
      <sheetData sheetId="28">
        <row r="19">
          <cell r="D19">
            <v>-54700000</v>
          </cell>
        </row>
        <row r="20">
          <cell r="D20">
            <v>-15462668</v>
          </cell>
        </row>
        <row r="23">
          <cell r="D23">
            <v>-547000</v>
          </cell>
        </row>
        <row r="24">
          <cell r="D24">
            <v>-154627</v>
          </cell>
        </row>
      </sheetData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CompRev_Px-out=&gt;"/>
      <sheetName val="1A.)BBP_RateSummary"/>
      <sheetName val="1B.)Allocation-BPP"/>
      <sheetName val="1C.)HY_BPP PxOut"/>
      <sheetName val="1D.)RY_BPP PxOut"/>
      <sheetName val="1F.)ForeGroup_BPP PxOut"/>
      <sheetName val="1E.)ECOS Study_BPP PxOut"/>
      <sheetName val="2A.)MFC_RateSummary"/>
      <sheetName val="2B.)Allocation-MFC"/>
      <sheetName val="2C.)HY_MFC PxOut"/>
      <sheetName val="2D.)RY_MFC PxOut"/>
      <sheetName val="2F.)MFC_RatesDesign"/>
      <sheetName val="2G.)MFC_Targets(ForeGroup)"/>
      <sheetName val="2E.)ECOS Study_MFC PxOut"/>
      <sheetName val="3A.)Metering_RateSummary"/>
      <sheetName val="3B.)Allocation-Metering"/>
      <sheetName val="3C.)HY_Metering PxOut"/>
      <sheetName val="3D.)RY_Metering PxOut"/>
      <sheetName val="3E.)CECONY_MeteringRatesDesign"/>
      <sheetName val="3F.)NYPA_MeteringRatesDesign"/>
      <sheetName val="NonCompRev_Px-out=&gt;"/>
      <sheetName val="4A.)HY_PxOut_Summary"/>
      <sheetName val="4B.)HY_EnergyRatePxOut(Rate I)"/>
      <sheetName val="4C.)HY_DemandRatePxOut(Rate I)"/>
      <sheetName val="4D-1.)HY_TODLRatePxOut(SC1&amp;2)"/>
      <sheetName val="4D-2.)HY_TODLRatePxOut(SC5)"/>
      <sheetName val="4D-3.)HY_TODLRatePxOut(SC8)"/>
      <sheetName val="4D-4.)HY_TODLRatePxOut(SC9)"/>
      <sheetName val="4D-5.)HY_TODLRatePxOut(SC12)"/>
      <sheetName val="4D-6.)HY_TODLRatePxOut(SC13)"/>
      <sheetName val="4D-7.)HY_TODLRatePxOut(NYPA)"/>
      <sheetName val="4D-8.)HY_TODLRatePxOut(KIAC)"/>
      <sheetName val="4E-1.)HY_TODMRatePxOut(SC8)"/>
      <sheetName val="4E-2.)HY_TODMRatePxOut(SC9)"/>
      <sheetName val="4E-3.)HY_TODMRatePxOut(SC12)"/>
      <sheetName val="4F.)EDB_Adj"/>
      <sheetName val="Rev&amp;RateChangeAlloc=&gt;"/>
      <sheetName val="5A.)RevAllocation"/>
      <sheetName val="6A.)RateChange"/>
      <sheetName val="6B.)RateChgAllocation"/>
      <sheetName val="6C.)Proof_of_Rev"/>
      <sheetName val="6D.)HY_Del%Change"/>
      <sheetName val="6E.)HY_Total_Bill%Change"/>
      <sheetName val="6F.)RY_Rev_Increase%(Orig)"/>
      <sheetName val="6F.)RY_Rev_Increase%"/>
      <sheetName val="6G.)RY_RateIncrease"/>
      <sheetName val="6G.)RY_RateIncrease(NEW)(b4Chg)"/>
      <sheetName val="6H.)DelRevSplit"/>
      <sheetName val="6I.)Tax Sur-Credit &amp; SBC Impact"/>
      <sheetName val="RateIncreaseSummary"/>
      <sheetName val="RateIncreaseSummary(v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D10" t="str">
            <v>N</v>
          </cell>
        </row>
        <row r="11">
          <cell r="C11">
            <v>1.1299999999999999</v>
          </cell>
        </row>
        <row r="12">
          <cell r="C12">
            <v>27.25</v>
          </cell>
        </row>
        <row r="13">
          <cell r="C13">
            <v>2.2799999999999998</v>
          </cell>
        </row>
        <row r="14">
          <cell r="C14">
            <v>27.25</v>
          </cell>
        </row>
        <row r="15">
          <cell r="C15">
            <v>1.05</v>
          </cell>
        </row>
        <row r="16">
          <cell r="C16">
            <v>27.25</v>
          </cell>
        </row>
        <row r="17">
          <cell r="C17">
            <v>2.67</v>
          </cell>
        </row>
        <row r="18">
          <cell r="C18">
            <v>27.25</v>
          </cell>
        </row>
        <row r="19">
          <cell r="C19">
            <v>27.25</v>
          </cell>
        </row>
        <row r="22">
          <cell r="Q22">
            <v>12.45</v>
          </cell>
        </row>
        <row r="26">
          <cell r="D26" t="str">
            <v>N</v>
          </cell>
        </row>
        <row r="27">
          <cell r="C27">
            <v>3.15</v>
          </cell>
        </row>
        <row r="28">
          <cell r="C28">
            <v>49.22</v>
          </cell>
        </row>
        <row r="29">
          <cell r="C29">
            <v>4.0599999999999996</v>
          </cell>
        </row>
        <row r="30">
          <cell r="C30">
            <v>49.22</v>
          </cell>
        </row>
        <row r="31">
          <cell r="C31">
            <v>2.4300000000000002</v>
          </cell>
        </row>
        <row r="32">
          <cell r="C32">
            <v>49.22</v>
          </cell>
        </row>
        <row r="33">
          <cell r="C33">
            <v>5.54</v>
          </cell>
        </row>
        <row r="34">
          <cell r="C34">
            <v>49.22</v>
          </cell>
        </row>
        <row r="35">
          <cell r="C35">
            <v>49.22</v>
          </cell>
        </row>
        <row r="42">
          <cell r="D42" t="str">
            <v>N</v>
          </cell>
        </row>
        <row r="43">
          <cell r="C43">
            <v>4.24</v>
          </cell>
        </row>
        <row r="44">
          <cell r="C44">
            <v>66.62</v>
          </cell>
        </row>
        <row r="45">
          <cell r="C45">
            <v>4.66</v>
          </cell>
        </row>
        <row r="46">
          <cell r="C46">
            <v>66.62</v>
          </cell>
        </row>
        <row r="47">
          <cell r="C47">
            <v>3.15</v>
          </cell>
        </row>
        <row r="48">
          <cell r="C48">
            <v>66.62</v>
          </cell>
        </row>
        <row r="49">
          <cell r="C49">
            <v>6.31</v>
          </cell>
        </row>
        <row r="50">
          <cell r="C50">
            <v>66.62</v>
          </cell>
        </row>
        <row r="51">
          <cell r="C51">
            <v>66.62</v>
          </cell>
        </row>
      </sheetData>
      <sheetData sheetId="16"/>
      <sheetData sheetId="17">
        <row r="28">
          <cell r="B28">
            <v>60</v>
          </cell>
        </row>
        <row r="37">
          <cell r="B37">
            <v>17699</v>
          </cell>
          <cell r="C37">
            <v>3048</v>
          </cell>
        </row>
        <row r="38">
          <cell r="B38">
            <v>1531</v>
          </cell>
          <cell r="C38">
            <v>228</v>
          </cell>
        </row>
        <row r="40">
          <cell r="B40">
            <v>240</v>
          </cell>
        </row>
        <row r="45">
          <cell r="B45">
            <v>1533438</v>
          </cell>
          <cell r="C45">
            <v>11520</v>
          </cell>
        </row>
        <row r="46">
          <cell r="B46">
            <v>53233</v>
          </cell>
          <cell r="C46">
            <v>2160</v>
          </cell>
        </row>
        <row r="48">
          <cell r="B48">
            <v>9367</v>
          </cell>
        </row>
        <row r="52">
          <cell r="B52">
            <v>2124</v>
          </cell>
          <cell r="C52">
            <v>612</v>
          </cell>
        </row>
        <row r="54">
          <cell r="B54">
            <v>12</v>
          </cell>
          <cell r="C54">
            <v>0</v>
          </cell>
        </row>
        <row r="56">
          <cell r="B56">
            <v>312</v>
          </cell>
        </row>
        <row r="59">
          <cell r="B59">
            <v>12</v>
          </cell>
        </row>
      </sheetData>
      <sheetData sheetId="18"/>
      <sheetData sheetId="19"/>
      <sheetData sheetId="20"/>
      <sheetData sheetId="21"/>
      <sheetData sheetId="22">
        <row r="153">
          <cell r="E153">
            <v>27213</v>
          </cell>
          <cell r="F153">
            <v>27213</v>
          </cell>
        </row>
        <row r="160">
          <cell r="E160">
            <v>0</v>
          </cell>
          <cell r="F160">
            <v>0</v>
          </cell>
        </row>
        <row r="166">
          <cell r="E166">
            <v>40621</v>
          </cell>
          <cell r="F166">
            <v>41070</v>
          </cell>
        </row>
        <row r="172">
          <cell r="E172">
            <v>0</v>
          </cell>
          <cell r="F172">
            <v>0</v>
          </cell>
        </row>
        <row r="186">
          <cell r="E186">
            <v>26648087</v>
          </cell>
          <cell r="F186">
            <v>26648087</v>
          </cell>
        </row>
        <row r="193">
          <cell r="E193">
            <v>0</v>
          </cell>
          <cell r="F193">
            <v>0</v>
          </cell>
        </row>
        <row r="199">
          <cell r="E199">
            <v>106597638</v>
          </cell>
          <cell r="F199">
            <v>107799571</v>
          </cell>
        </row>
        <row r="205">
          <cell r="E205">
            <v>0</v>
          </cell>
          <cell r="F205">
            <v>0</v>
          </cell>
        </row>
        <row r="212">
          <cell r="E212">
            <v>359875017</v>
          </cell>
          <cell r="F212">
            <v>359875017</v>
          </cell>
        </row>
        <row r="219">
          <cell r="E219">
            <v>1138363</v>
          </cell>
          <cell r="F219">
            <v>1138363</v>
          </cell>
        </row>
        <row r="226">
          <cell r="E226">
            <v>1097410241</v>
          </cell>
          <cell r="F226">
            <v>1109695973</v>
          </cell>
        </row>
        <row r="233">
          <cell r="E233">
            <v>2292857</v>
          </cell>
          <cell r="F233">
            <v>2318544</v>
          </cell>
        </row>
        <row r="240">
          <cell r="E240">
            <v>2798501</v>
          </cell>
          <cell r="F240">
            <v>2798501</v>
          </cell>
        </row>
        <row r="253">
          <cell r="E253">
            <v>8125171</v>
          </cell>
          <cell r="F253">
            <v>8215762</v>
          </cell>
        </row>
        <row r="259">
          <cell r="E259">
            <v>0</v>
          </cell>
          <cell r="F259">
            <v>0</v>
          </cell>
        </row>
      </sheetData>
      <sheetData sheetId="23">
        <row r="7">
          <cell r="Q7">
            <v>15.76</v>
          </cell>
        </row>
        <row r="8">
          <cell r="L8">
            <v>10336871.944585584</v>
          </cell>
          <cell r="M8">
            <v>3928043675.482244</v>
          </cell>
        </row>
        <row r="9">
          <cell r="L9">
            <v>9736150.0554144159</v>
          </cell>
          <cell r="M9">
            <v>3101094872.517756</v>
          </cell>
        </row>
        <row r="10">
          <cell r="L10">
            <v>20073022</v>
          </cell>
        </row>
        <row r="13">
          <cell r="L13">
            <v>3478310.4074146072</v>
          </cell>
          <cell r="M13">
            <v>2161097475.1509094</v>
          </cell>
          <cell r="X13">
            <v>-316224.10918867355</v>
          </cell>
        </row>
        <row r="14">
          <cell r="L14">
            <v>6562490.5925853932</v>
          </cell>
          <cell r="M14">
            <v>2602571137.8490906</v>
          </cell>
        </row>
        <row r="15">
          <cell r="L15">
            <v>10040801</v>
          </cell>
        </row>
        <row r="17">
          <cell r="Y17">
            <v>479855570.84321916</v>
          </cell>
        </row>
        <row r="18">
          <cell r="T18">
            <v>658662398</v>
          </cell>
        </row>
        <row r="19">
          <cell r="T19">
            <v>659049127</v>
          </cell>
        </row>
        <row r="20">
          <cell r="L20">
            <v>30113823</v>
          </cell>
        </row>
        <row r="28">
          <cell r="E28">
            <v>250</v>
          </cell>
          <cell r="L28">
            <v>1918887.4657769073</v>
          </cell>
          <cell r="M28">
            <v>674229583.7299366</v>
          </cell>
        </row>
        <row r="29">
          <cell r="L29">
            <v>1542104.5342230927</v>
          </cell>
          <cell r="M29">
            <v>334718003.2700634</v>
          </cell>
        </row>
        <row r="30">
          <cell r="L30">
            <v>3460992</v>
          </cell>
        </row>
        <row r="33">
          <cell r="L33">
            <v>624154.67559771601</v>
          </cell>
          <cell r="M33">
            <v>373734620.59815663</v>
          </cell>
          <cell r="X33">
            <v>-53383.203135642805</v>
          </cell>
        </row>
        <row r="34">
          <cell r="L34">
            <v>1107843.3244022841</v>
          </cell>
          <cell r="M34">
            <v>328838305.40184337</v>
          </cell>
        </row>
        <row r="35">
          <cell r="L35">
            <v>1731998</v>
          </cell>
        </row>
        <row r="37">
          <cell r="Y37">
            <v>82748891.758681595</v>
          </cell>
        </row>
        <row r="38">
          <cell r="T38">
            <v>113358288</v>
          </cell>
        </row>
        <row r="39">
          <cell r="T39">
            <v>77094201</v>
          </cell>
        </row>
        <row r="40">
          <cell r="L40">
            <v>5192990</v>
          </cell>
        </row>
        <row r="48">
          <cell r="E48">
            <v>2000</v>
          </cell>
          <cell r="L48">
            <v>3048277.3649167623</v>
          </cell>
          <cell r="M48">
            <v>1303809080.028403</v>
          </cell>
        </row>
        <row r="49">
          <cell r="L49">
            <v>86885.635083237925</v>
          </cell>
          <cell r="M49">
            <v>117233571.97159687</v>
          </cell>
        </row>
        <row r="53">
          <cell r="L53">
            <v>1526912.1280006967</v>
          </cell>
          <cell r="M53">
            <v>689714330.74310398</v>
          </cell>
        </row>
        <row r="54">
          <cell r="L54">
            <v>45710.871999303112</v>
          </cell>
          <cell r="M54">
            <v>57320839.256895944</v>
          </cell>
        </row>
        <row r="57">
          <cell r="Y57">
            <v>123010078</v>
          </cell>
        </row>
        <row r="58">
          <cell r="T58">
            <v>235703690</v>
          </cell>
        </row>
        <row r="59">
          <cell r="T59">
            <v>20573286</v>
          </cell>
        </row>
        <row r="68">
          <cell r="M68">
            <v>530566</v>
          </cell>
        </row>
        <row r="73">
          <cell r="M73">
            <v>151446</v>
          </cell>
        </row>
        <row r="80">
          <cell r="T80">
            <v>27213</v>
          </cell>
          <cell r="V80">
            <v>27213</v>
          </cell>
        </row>
        <row r="88">
          <cell r="M88">
            <v>0</v>
          </cell>
        </row>
        <row r="93">
          <cell r="M93">
            <v>0</v>
          </cell>
        </row>
        <row r="106">
          <cell r="Q106">
            <v>33.89</v>
          </cell>
        </row>
        <row r="107">
          <cell r="L107">
            <v>27359</v>
          </cell>
          <cell r="M107">
            <v>5541507</v>
          </cell>
        </row>
        <row r="109">
          <cell r="L109">
            <v>27359</v>
          </cell>
        </row>
        <row r="112">
          <cell r="L112">
            <v>13640</v>
          </cell>
          <cell r="M112">
            <v>1964206</v>
          </cell>
        </row>
        <row r="114">
          <cell r="L114">
            <v>13640</v>
          </cell>
        </row>
        <row r="116">
          <cell r="V116">
            <v>1389457</v>
          </cell>
        </row>
        <row r="117">
          <cell r="V117">
            <v>427075</v>
          </cell>
        </row>
        <row r="118">
          <cell r="V118">
            <v>0</v>
          </cell>
        </row>
        <row r="119">
          <cell r="L119">
            <v>40999</v>
          </cell>
        </row>
        <row r="126">
          <cell r="M126">
            <v>911800979</v>
          </cell>
        </row>
        <row r="131">
          <cell r="M131">
            <v>602294876</v>
          </cell>
        </row>
        <row r="138">
          <cell r="T138">
            <v>26648087</v>
          </cell>
          <cell r="V138">
            <v>26648087</v>
          </cell>
        </row>
        <row r="145">
          <cell r="M145">
            <v>0</v>
          </cell>
        </row>
        <row r="150">
          <cell r="M150">
            <v>0</v>
          </cell>
        </row>
        <row r="207">
          <cell r="M207">
            <v>10316378373</v>
          </cell>
        </row>
        <row r="212">
          <cell r="M212">
            <v>5967559052</v>
          </cell>
        </row>
        <row r="247">
          <cell r="M247">
            <v>36684491</v>
          </cell>
        </row>
        <row r="252">
          <cell r="M252">
            <v>18575845</v>
          </cell>
        </row>
        <row r="261">
          <cell r="T261">
            <v>361013380</v>
          </cell>
          <cell r="V261">
            <v>361013380</v>
          </cell>
        </row>
        <row r="267">
          <cell r="M267">
            <v>115292046</v>
          </cell>
        </row>
        <row r="272">
          <cell r="M272">
            <v>39321291</v>
          </cell>
        </row>
        <row r="279">
          <cell r="T279">
            <v>2798501</v>
          </cell>
          <cell r="V279">
            <v>2798501</v>
          </cell>
        </row>
        <row r="287">
          <cell r="M287">
            <v>0</v>
          </cell>
        </row>
        <row r="292">
          <cell r="M292">
            <v>0</v>
          </cell>
        </row>
        <row r="301">
          <cell r="V301">
            <v>2798501</v>
          </cell>
        </row>
        <row r="307">
          <cell r="L307">
            <v>29</v>
          </cell>
          <cell r="M307">
            <v>16851</v>
          </cell>
        </row>
        <row r="308">
          <cell r="L308">
            <v>1675</v>
          </cell>
          <cell r="M308">
            <v>846731</v>
          </cell>
        </row>
        <row r="312">
          <cell r="E312">
            <v>10</v>
          </cell>
          <cell r="L312">
            <v>25</v>
          </cell>
          <cell r="M312">
            <v>8366</v>
          </cell>
        </row>
        <row r="313">
          <cell r="E313">
            <v>10</v>
          </cell>
          <cell r="L313">
            <v>827</v>
          </cell>
          <cell r="M313">
            <v>268358</v>
          </cell>
        </row>
        <row r="317">
          <cell r="T317">
            <v>32462</v>
          </cell>
          <cell r="V317">
            <v>32470</v>
          </cell>
        </row>
        <row r="318">
          <cell r="T318">
            <v>126602</v>
          </cell>
        </row>
        <row r="319">
          <cell r="T319">
            <v>159064</v>
          </cell>
        </row>
        <row r="338">
          <cell r="T338">
            <v>12175678</v>
          </cell>
          <cell r="V338">
            <v>12175678</v>
          </cell>
        </row>
        <row r="350">
          <cell r="Q350">
            <v>26.01</v>
          </cell>
        </row>
        <row r="353">
          <cell r="L353">
            <v>3018519</v>
          </cell>
        </row>
        <row r="358">
          <cell r="L358">
            <v>1513144</v>
          </cell>
        </row>
        <row r="363">
          <cell r="L363">
            <v>4531663.0000000009</v>
          </cell>
        </row>
        <row r="370">
          <cell r="Q370">
            <v>21.6</v>
          </cell>
        </row>
        <row r="373">
          <cell r="L373">
            <v>115740</v>
          </cell>
        </row>
        <row r="378">
          <cell r="L378">
            <v>59027</v>
          </cell>
        </row>
        <row r="383">
          <cell r="L383">
            <v>174767</v>
          </cell>
        </row>
        <row r="390">
          <cell r="Q390">
            <v>13.005000000000001</v>
          </cell>
        </row>
        <row r="393">
          <cell r="L393">
            <v>904</v>
          </cell>
        </row>
        <row r="398">
          <cell r="L398">
            <v>452</v>
          </cell>
        </row>
        <row r="403">
          <cell r="L403">
            <v>1356</v>
          </cell>
        </row>
      </sheetData>
      <sheetData sheetId="24">
        <row r="3">
          <cell r="R3">
            <v>2019</v>
          </cell>
        </row>
        <row r="7">
          <cell r="E7">
            <v>5</v>
          </cell>
          <cell r="L7">
            <v>14</v>
          </cell>
          <cell r="N7">
            <v>370</v>
          </cell>
        </row>
        <row r="8">
          <cell r="L8">
            <v>59.999999999999993</v>
          </cell>
          <cell r="N8">
            <v>1056</v>
          </cell>
        </row>
        <row r="11">
          <cell r="L11">
            <v>10</v>
          </cell>
          <cell r="N11">
            <v>180</v>
          </cell>
        </row>
        <row r="12">
          <cell r="L12">
            <v>26</v>
          </cell>
          <cell r="N12">
            <v>190</v>
          </cell>
        </row>
        <row r="24">
          <cell r="L24">
            <v>0</v>
          </cell>
          <cell r="N24">
            <v>0</v>
          </cell>
        </row>
        <row r="25">
          <cell r="L25">
            <v>0</v>
          </cell>
          <cell r="N25">
            <v>0</v>
          </cell>
        </row>
        <row r="28">
          <cell r="L28">
            <v>0</v>
          </cell>
          <cell r="N28">
            <v>0</v>
          </cell>
        </row>
        <row r="29">
          <cell r="L29">
            <v>0</v>
          </cell>
          <cell r="N29">
            <v>0</v>
          </cell>
        </row>
        <row r="41">
          <cell r="E41">
            <v>10</v>
          </cell>
          <cell r="L41">
            <v>243.00000000000003</v>
          </cell>
          <cell r="N41">
            <v>138280</v>
          </cell>
        </row>
        <row r="42">
          <cell r="L42">
            <v>13585</v>
          </cell>
          <cell r="N42">
            <v>1945382</v>
          </cell>
        </row>
        <row r="45">
          <cell r="L45">
            <v>74</v>
          </cell>
          <cell r="N45">
            <v>69190</v>
          </cell>
        </row>
        <row r="46">
          <cell r="L46">
            <v>6845</v>
          </cell>
          <cell r="N46">
            <v>1446294</v>
          </cell>
        </row>
        <row r="58">
          <cell r="L58">
            <v>0</v>
          </cell>
          <cell r="M58">
            <v>0</v>
          </cell>
        </row>
        <row r="59">
          <cell r="L59">
            <v>0</v>
          </cell>
          <cell r="M59">
            <v>0</v>
          </cell>
        </row>
        <row r="62">
          <cell r="L62">
            <v>0</v>
          </cell>
          <cell r="M62">
            <v>0</v>
          </cell>
        </row>
        <row r="63">
          <cell r="L63">
            <v>0</v>
          </cell>
          <cell r="M63">
            <v>0</v>
          </cell>
        </row>
        <row r="121">
          <cell r="E121">
            <v>5</v>
          </cell>
          <cell r="L121">
            <v>68583.997485784668</v>
          </cell>
          <cell r="N121">
            <v>5147035</v>
          </cell>
        </row>
        <row r="122">
          <cell r="E122">
            <v>100</v>
          </cell>
          <cell r="L122">
            <v>914598.30826242268</v>
          </cell>
          <cell r="N122">
            <v>18151598</v>
          </cell>
        </row>
        <row r="123">
          <cell r="L123">
            <v>46224.694251792644</v>
          </cell>
          <cell r="N123">
            <v>6426438</v>
          </cell>
        </row>
        <row r="126">
          <cell r="L126">
            <v>24283.037279249718</v>
          </cell>
          <cell r="N126">
            <v>2575135</v>
          </cell>
        </row>
        <row r="127">
          <cell r="L127">
            <v>463127.78306230035</v>
          </cell>
          <cell r="N127">
            <v>10355085</v>
          </cell>
        </row>
        <row r="128">
          <cell r="L128">
            <v>27616.179658449917</v>
          </cell>
          <cell r="N128">
            <v>4265301</v>
          </cell>
        </row>
        <row r="141">
          <cell r="L141">
            <v>1.9111111111111112</v>
          </cell>
          <cell r="M141">
            <v>1525.4389003386507</v>
          </cell>
          <cell r="N141">
            <v>1720</v>
          </cell>
        </row>
        <row r="142">
          <cell r="L142">
            <v>114.66666666666666</v>
          </cell>
          <cell r="M142">
            <v>24810.113243329124</v>
          </cell>
          <cell r="N142">
            <v>24758</v>
          </cell>
        </row>
        <row r="143">
          <cell r="L143">
            <v>227.42222222222222</v>
          </cell>
          <cell r="M143">
            <v>67528.367856332217</v>
          </cell>
          <cell r="N143">
            <v>67386</v>
          </cell>
        </row>
        <row r="146">
          <cell r="L146">
            <v>0</v>
          </cell>
          <cell r="M146">
            <v>808.3252986938445</v>
          </cell>
          <cell r="N146">
            <v>900</v>
          </cell>
        </row>
        <row r="147">
          <cell r="L147">
            <v>60.319148936170215</v>
          </cell>
          <cell r="M147">
            <v>12986.519851994084</v>
          </cell>
          <cell r="N147">
            <v>12963</v>
          </cell>
        </row>
        <row r="148">
          <cell r="L148">
            <v>119.68085106382979</v>
          </cell>
          <cell r="M148">
            <v>36543.354849312076</v>
          </cell>
          <cell r="N148">
            <v>36476</v>
          </cell>
        </row>
        <row r="161">
          <cell r="E161">
            <v>5</v>
          </cell>
          <cell r="L161">
            <v>210</v>
          </cell>
          <cell r="N161">
            <v>9120</v>
          </cell>
        </row>
        <row r="162">
          <cell r="L162">
            <v>1614</v>
          </cell>
          <cell r="N162">
            <v>258373</v>
          </cell>
        </row>
        <row r="165">
          <cell r="L165">
            <v>161</v>
          </cell>
          <cell r="N165">
            <v>4560</v>
          </cell>
        </row>
        <row r="166">
          <cell r="L166">
            <v>751</v>
          </cell>
          <cell r="N166">
            <v>88600</v>
          </cell>
        </row>
        <row r="171">
          <cell r="T171">
            <v>8215762</v>
          </cell>
        </row>
        <row r="178">
          <cell r="L178">
            <v>0</v>
          </cell>
          <cell r="M178">
            <v>0</v>
          </cell>
        </row>
        <row r="179">
          <cell r="L179">
            <v>0</v>
          </cell>
          <cell r="M179">
            <v>0</v>
          </cell>
        </row>
        <row r="182">
          <cell r="L182">
            <v>0</v>
          </cell>
          <cell r="M182">
            <v>0</v>
          </cell>
        </row>
        <row r="183">
          <cell r="L183">
            <v>0</v>
          </cell>
          <cell r="M183">
            <v>0</v>
          </cell>
        </row>
        <row r="224">
          <cell r="S224">
            <v>385324355</v>
          </cell>
          <cell r="T224">
            <v>389610477</v>
          </cell>
        </row>
      </sheetData>
      <sheetData sheetId="25">
        <row r="7">
          <cell r="Q7">
            <v>24.3</v>
          </cell>
        </row>
        <row r="8">
          <cell r="L8">
            <v>12963</v>
          </cell>
          <cell r="M8">
            <v>16789117</v>
          </cell>
        </row>
        <row r="9">
          <cell r="L9">
            <v>0</v>
          </cell>
          <cell r="M9">
            <v>25876337</v>
          </cell>
        </row>
        <row r="10">
          <cell r="L10">
            <v>12963</v>
          </cell>
        </row>
        <row r="13">
          <cell r="L13">
            <v>6480</v>
          </cell>
          <cell r="M13">
            <v>9718870</v>
          </cell>
        </row>
        <row r="14">
          <cell r="L14">
            <v>0</v>
          </cell>
          <cell r="M14">
            <v>14833456</v>
          </cell>
        </row>
        <row r="15">
          <cell r="L15">
            <v>6480</v>
          </cell>
        </row>
        <row r="17">
          <cell r="V17">
            <v>477703</v>
          </cell>
        </row>
        <row r="18">
          <cell r="T18">
            <v>5812325</v>
          </cell>
        </row>
        <row r="19">
          <cell r="T19">
            <v>574008</v>
          </cell>
        </row>
        <row r="20">
          <cell r="L20">
            <v>19443</v>
          </cell>
        </row>
        <row r="29">
          <cell r="Q29">
            <v>30.12</v>
          </cell>
        </row>
        <row r="30">
          <cell r="L30">
            <v>23236</v>
          </cell>
          <cell r="M30">
            <v>29992321</v>
          </cell>
        </row>
        <row r="31">
          <cell r="L31">
            <v>0</v>
          </cell>
          <cell r="M31">
            <v>39787547</v>
          </cell>
        </row>
        <row r="32">
          <cell r="L32">
            <v>23236</v>
          </cell>
        </row>
        <row r="35">
          <cell r="L35">
            <v>11618</v>
          </cell>
          <cell r="M35">
            <v>15478338</v>
          </cell>
        </row>
        <row r="36">
          <cell r="L36">
            <v>0</v>
          </cell>
          <cell r="M36">
            <v>20407730</v>
          </cell>
        </row>
        <row r="37">
          <cell r="L37">
            <v>11618</v>
          </cell>
        </row>
        <row r="39">
          <cell r="V39">
            <v>1061441</v>
          </cell>
        </row>
        <row r="40">
          <cell r="T40">
            <v>9422324</v>
          </cell>
        </row>
        <row r="41">
          <cell r="T41">
            <v>686226</v>
          </cell>
        </row>
        <row r="42">
          <cell r="L42">
            <v>34854</v>
          </cell>
        </row>
        <row r="49">
          <cell r="Q49">
            <v>19.87</v>
          </cell>
        </row>
        <row r="50">
          <cell r="L50">
            <v>714</v>
          </cell>
          <cell r="M50">
            <v>307880.31670308241</v>
          </cell>
        </row>
        <row r="51">
          <cell r="L51">
            <v>0</v>
          </cell>
          <cell r="M51">
            <v>204935.68329691765</v>
          </cell>
        </row>
        <row r="52">
          <cell r="L52">
            <v>714</v>
          </cell>
        </row>
        <row r="55">
          <cell r="L55">
            <v>359</v>
          </cell>
          <cell r="M55">
            <v>205956.93636626186</v>
          </cell>
        </row>
        <row r="56">
          <cell r="L56">
            <v>0</v>
          </cell>
          <cell r="M56">
            <v>123877.06363373811</v>
          </cell>
        </row>
        <row r="57">
          <cell r="L57">
            <v>359</v>
          </cell>
        </row>
        <row r="59">
          <cell r="V59">
            <v>21556</v>
          </cell>
        </row>
        <row r="60">
          <cell r="T60">
            <v>73807</v>
          </cell>
        </row>
        <row r="61">
          <cell r="T61">
            <v>5359</v>
          </cell>
        </row>
        <row r="62">
          <cell r="L62">
            <v>1073</v>
          </cell>
        </row>
      </sheetData>
      <sheetData sheetId="26">
        <row r="21">
          <cell r="W21">
            <v>133419</v>
          </cell>
        </row>
        <row r="22">
          <cell r="W22">
            <v>402959</v>
          </cell>
        </row>
        <row r="41">
          <cell r="W41">
            <v>0</v>
          </cell>
        </row>
        <row r="42">
          <cell r="W42">
            <v>1984403</v>
          </cell>
        </row>
        <row r="44">
          <cell r="W44">
            <v>2387362</v>
          </cell>
          <cell r="Y44">
            <v>2414182</v>
          </cell>
        </row>
        <row r="80">
          <cell r="W80">
            <v>861985</v>
          </cell>
          <cell r="Y80">
            <v>861985</v>
          </cell>
        </row>
      </sheetData>
      <sheetData sheetId="27">
        <row r="21">
          <cell r="W21">
            <v>2859070</v>
          </cell>
        </row>
        <row r="22">
          <cell r="W22">
            <v>9337589</v>
          </cell>
        </row>
        <row r="41">
          <cell r="W41">
            <v>0</v>
          </cell>
        </row>
        <row r="42">
          <cell r="W42">
            <v>0</v>
          </cell>
        </row>
        <row r="44">
          <cell r="W44">
            <v>9337589</v>
          </cell>
          <cell r="Y44">
            <v>9444767</v>
          </cell>
        </row>
        <row r="80">
          <cell r="W80">
            <v>1077367</v>
          </cell>
          <cell r="Y80">
            <v>1077367</v>
          </cell>
        </row>
      </sheetData>
      <sheetData sheetId="28">
        <row r="21">
          <cell r="W21">
            <v>149142023</v>
          </cell>
        </row>
        <row r="22">
          <cell r="W22">
            <v>401307990</v>
          </cell>
        </row>
        <row r="41">
          <cell r="W41">
            <v>0</v>
          </cell>
        </row>
        <row r="42">
          <cell r="W42">
            <v>60106008</v>
          </cell>
        </row>
        <row r="44">
          <cell r="W44">
            <v>461413998</v>
          </cell>
          <cell r="Y44">
            <v>466672244</v>
          </cell>
        </row>
        <row r="80">
          <cell r="W80">
            <v>70292295</v>
          </cell>
          <cell r="Y80">
            <v>70292295</v>
          </cell>
        </row>
      </sheetData>
      <sheetData sheetId="29">
        <row r="21">
          <cell r="W21">
            <v>4035518</v>
          </cell>
        </row>
        <row r="22">
          <cell r="W22">
            <v>11276778</v>
          </cell>
        </row>
        <row r="41">
          <cell r="W41">
            <v>0</v>
          </cell>
        </row>
        <row r="42">
          <cell r="W42">
            <v>0</v>
          </cell>
        </row>
        <row r="44">
          <cell r="W44">
            <v>11276778</v>
          </cell>
          <cell r="Y44">
            <v>11402260</v>
          </cell>
        </row>
        <row r="80">
          <cell r="W80">
            <v>1444702</v>
          </cell>
          <cell r="Y80">
            <v>1444702</v>
          </cell>
        </row>
      </sheetData>
      <sheetData sheetId="30">
        <row r="44">
          <cell r="W44">
            <v>1816932</v>
          </cell>
          <cell r="Y44">
            <v>1837240</v>
          </cell>
        </row>
        <row r="80">
          <cell r="W80">
            <v>184466</v>
          </cell>
          <cell r="Y80">
            <v>184466</v>
          </cell>
        </row>
      </sheetData>
      <sheetData sheetId="31">
        <row r="8">
          <cell r="H8">
            <v>2391948.4691000003</v>
          </cell>
        </row>
        <row r="9">
          <cell r="H9">
            <v>2406738.2999999998</v>
          </cell>
        </row>
        <row r="13">
          <cell r="H13">
            <v>1512915.5700000003</v>
          </cell>
        </row>
        <row r="14">
          <cell r="H14">
            <v>1546332.9900000002</v>
          </cell>
        </row>
        <row r="15">
          <cell r="H15">
            <v>1548344.4000000001</v>
          </cell>
        </row>
        <row r="21">
          <cell r="W21">
            <v>51903208</v>
          </cell>
        </row>
        <row r="22">
          <cell r="W22">
            <v>123177023</v>
          </cell>
        </row>
        <row r="28">
          <cell r="H28">
            <v>1743738.7200000002</v>
          </cell>
        </row>
        <row r="33">
          <cell r="H33">
            <v>921734.1100000001</v>
          </cell>
        </row>
        <row r="34">
          <cell r="H34">
            <v>930030.91</v>
          </cell>
        </row>
        <row r="41">
          <cell r="W41">
            <v>0</v>
          </cell>
        </row>
        <row r="42">
          <cell r="W42">
            <v>46582317</v>
          </cell>
        </row>
        <row r="44">
          <cell r="Y44">
            <v>171700015</v>
          </cell>
        </row>
        <row r="84">
          <cell r="W84">
            <v>169759340</v>
          </cell>
          <cell r="Y84">
            <v>171700015</v>
          </cell>
        </row>
      </sheetData>
      <sheetData sheetId="32">
        <row r="8">
          <cell r="H8">
            <v>0</v>
          </cell>
        </row>
        <row r="9">
          <cell r="H9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21">
          <cell r="W21">
            <v>0</v>
          </cell>
        </row>
        <row r="22">
          <cell r="W22">
            <v>0</v>
          </cell>
        </row>
        <row r="28">
          <cell r="H28">
            <v>379383.84</v>
          </cell>
        </row>
        <row r="33">
          <cell r="H33">
            <v>186921.12</v>
          </cell>
        </row>
        <row r="34">
          <cell r="H34">
            <v>187036.32</v>
          </cell>
        </row>
        <row r="41">
          <cell r="W41">
            <v>0</v>
          </cell>
        </row>
        <row r="42">
          <cell r="W42">
            <v>9720853</v>
          </cell>
        </row>
        <row r="44">
          <cell r="Y44">
            <v>9831087</v>
          </cell>
        </row>
        <row r="84">
          <cell r="W84">
            <v>9720853</v>
          </cell>
          <cell r="Y84">
            <v>9831087</v>
          </cell>
        </row>
      </sheetData>
      <sheetData sheetId="33">
        <row r="80">
          <cell r="W80">
            <v>1316606</v>
          </cell>
          <cell r="Y80">
            <v>1316606</v>
          </cell>
        </row>
      </sheetData>
      <sheetData sheetId="34">
        <row r="80">
          <cell r="W80">
            <v>15502731</v>
          </cell>
          <cell r="Y80">
            <v>15502731</v>
          </cell>
        </row>
      </sheetData>
      <sheetData sheetId="35">
        <row r="44">
          <cell r="Y44">
            <v>80856</v>
          </cell>
        </row>
        <row r="80">
          <cell r="Y80">
            <v>12317</v>
          </cell>
        </row>
      </sheetData>
      <sheetData sheetId="36"/>
      <sheetData sheetId="37"/>
      <sheetData sheetId="38">
        <row r="7">
          <cell r="T7">
            <v>113251000</v>
          </cell>
        </row>
      </sheetData>
      <sheetData sheetId="39">
        <row r="18">
          <cell r="U18">
            <v>0.99146339999999999</v>
          </cell>
          <cell r="BJ18">
            <v>2129367945.6876757</v>
          </cell>
          <cell r="BL18">
            <v>2129367945.6876757</v>
          </cell>
        </row>
        <row r="22">
          <cell r="BJ22">
            <v>404281225</v>
          </cell>
          <cell r="BL22">
            <v>404281225</v>
          </cell>
        </row>
        <row r="30">
          <cell r="I30">
            <v>68283</v>
          </cell>
          <cell r="BE30">
            <v>5925</v>
          </cell>
          <cell r="BN30">
            <v>74208</v>
          </cell>
          <cell r="BY30">
            <v>0</v>
          </cell>
        </row>
        <row r="31">
          <cell r="BN31">
            <v>3367982</v>
          </cell>
        </row>
        <row r="34">
          <cell r="BJ34">
            <v>2020500</v>
          </cell>
        </row>
        <row r="40">
          <cell r="I40">
            <v>134478712.30661654</v>
          </cell>
          <cell r="BY40">
            <v>699898</v>
          </cell>
        </row>
        <row r="42">
          <cell r="BF42">
            <v>2.522425E-2</v>
          </cell>
          <cell r="BN42">
            <v>152299351.30661654</v>
          </cell>
        </row>
        <row r="43">
          <cell r="BN43">
            <v>10801478</v>
          </cell>
        </row>
        <row r="46">
          <cell r="I46">
            <v>1478431787.2468894</v>
          </cell>
        </row>
        <row r="48">
          <cell r="BN48">
            <v>1530072796.3249154</v>
          </cell>
          <cell r="BY48">
            <v>12177146</v>
          </cell>
        </row>
        <row r="49">
          <cell r="BN49">
            <v>129954297.92197406</v>
          </cell>
        </row>
        <row r="50">
          <cell r="BF50">
            <v>3.4929590000000003E-2</v>
          </cell>
          <cell r="BN50">
            <v>1660027094.2468894</v>
          </cell>
        </row>
        <row r="51">
          <cell r="BF51">
            <v>2.3127350000000001E-2</v>
          </cell>
          <cell r="BN51">
            <v>539582375.40150297</v>
          </cell>
        </row>
        <row r="55">
          <cell r="I55">
            <v>11014263</v>
          </cell>
        </row>
        <row r="56">
          <cell r="BY56">
            <v>147225</v>
          </cell>
        </row>
        <row r="58">
          <cell r="BF58">
            <v>4.245401E-2</v>
          </cell>
          <cell r="BN58">
            <v>11745150</v>
          </cell>
        </row>
        <row r="59">
          <cell r="BN59">
            <v>13189403</v>
          </cell>
        </row>
        <row r="62">
          <cell r="BF62">
            <v>2.408331E-2</v>
          </cell>
          <cell r="BN62">
            <v>2421360.2195303999</v>
          </cell>
        </row>
        <row r="76">
          <cell r="BE76">
            <v>298915.32072579506</v>
          </cell>
          <cell r="BL76">
            <v>12474593.320725795</v>
          </cell>
        </row>
        <row r="77">
          <cell r="BE77">
            <v>9563289.0348460395</v>
          </cell>
          <cell r="BL77">
            <v>399103469.26545393</v>
          </cell>
        </row>
        <row r="78">
          <cell r="BE78">
            <v>4473896.5612694658</v>
          </cell>
          <cell r="BN78">
            <v>186708530.11253503</v>
          </cell>
        </row>
        <row r="79">
          <cell r="BL79">
            <v>30323814.083158698</v>
          </cell>
        </row>
        <row r="80">
          <cell r="I80">
            <v>613547688.78187346</v>
          </cell>
          <cell r="BE80">
            <v>15062718</v>
          </cell>
          <cell r="BF80">
            <v>2.4550200000000001E-2</v>
          </cell>
        </row>
      </sheetData>
      <sheetData sheetId="40">
        <row r="14">
          <cell r="E14">
            <v>42941802.327228524</v>
          </cell>
          <cell r="H14">
            <v>1507794406.6876757</v>
          </cell>
          <cell r="J14">
            <v>2070398869.2895765</v>
          </cell>
          <cell r="M14">
            <v>42941802</v>
          </cell>
          <cell r="O14">
            <v>51509382</v>
          </cell>
        </row>
        <row r="15">
          <cell r="E15">
            <v>2254.6381044783593</v>
          </cell>
          <cell r="H15">
            <v>79166</v>
          </cell>
          <cell r="J15">
            <v>100722</v>
          </cell>
          <cell r="M15">
            <v>2255</v>
          </cell>
          <cell r="O15">
            <v>2896</v>
          </cell>
        </row>
        <row r="16">
          <cell r="E16">
            <v>181881.99138124438</v>
          </cell>
          <cell r="H16">
            <v>6386333</v>
          </cell>
          <cell r="J16">
            <v>6864036</v>
          </cell>
          <cell r="M16">
            <v>181882</v>
          </cell>
          <cell r="O16">
            <v>106393</v>
          </cell>
        </row>
        <row r="17">
          <cell r="J17">
            <v>374968</v>
          </cell>
          <cell r="O17">
            <v>10679</v>
          </cell>
        </row>
        <row r="20">
          <cell r="E20">
            <v>3647390.8701623976</v>
          </cell>
          <cell r="H20">
            <v>256276976</v>
          </cell>
          <cell r="M20">
            <v>3647391</v>
          </cell>
        </row>
        <row r="21">
          <cell r="E21">
            <v>143867.12983760235</v>
          </cell>
          <cell r="H21">
            <v>10108550</v>
          </cell>
          <cell r="M21">
            <v>143867</v>
          </cell>
        </row>
        <row r="30">
          <cell r="M30">
            <v>0</v>
          </cell>
          <cell r="N30">
            <v>5925</v>
          </cell>
        </row>
        <row r="31">
          <cell r="M31">
            <v>0</v>
          </cell>
          <cell r="N31">
            <v>91815</v>
          </cell>
        </row>
        <row r="34">
          <cell r="E34">
            <v>92862</v>
          </cell>
          <cell r="H34">
            <v>427075</v>
          </cell>
          <cell r="M34">
            <v>92862</v>
          </cell>
        </row>
        <row r="40">
          <cell r="E40">
            <v>3392124.9795800783</v>
          </cell>
          <cell r="M40">
            <v>0</v>
          </cell>
          <cell r="N40">
            <v>3392124.9795800783</v>
          </cell>
        </row>
        <row r="42">
          <cell r="J42">
            <v>148521178</v>
          </cell>
          <cell r="M42">
            <v>0</v>
          </cell>
          <cell r="N42">
            <v>3747119</v>
          </cell>
        </row>
        <row r="43">
          <cell r="M43">
            <v>0</v>
          </cell>
          <cell r="N43">
            <v>279344</v>
          </cell>
        </row>
        <row r="46">
          <cell r="E46">
            <v>51641009.078025937</v>
          </cell>
          <cell r="M46">
            <v>0</v>
          </cell>
          <cell r="N46">
            <v>51641009.078025937</v>
          </cell>
        </row>
        <row r="50">
          <cell r="J50">
            <v>1598460968</v>
          </cell>
          <cell r="M50">
            <v>0</v>
          </cell>
          <cell r="N50">
            <v>56027056.000000007</v>
          </cell>
        </row>
        <row r="51">
          <cell r="M51">
            <v>0</v>
          </cell>
          <cell r="N51">
            <v>12197023</v>
          </cell>
        </row>
        <row r="54">
          <cell r="J54">
            <v>159392</v>
          </cell>
          <cell r="M54">
            <v>6767</v>
          </cell>
        </row>
        <row r="55">
          <cell r="C55">
            <v>11014263</v>
          </cell>
          <cell r="E55">
            <v>467599.60360502527</v>
          </cell>
          <cell r="M55">
            <v>0</v>
          </cell>
          <cell r="N55">
            <v>467599.60360502527</v>
          </cell>
        </row>
        <row r="57">
          <cell r="C57">
            <v>93173</v>
          </cell>
          <cell r="E57">
            <v>3955.5672373803877</v>
          </cell>
          <cell r="N57">
            <v>3955.5672373803877</v>
          </cell>
        </row>
        <row r="58">
          <cell r="E58">
            <v>478321.99999999994</v>
          </cell>
          <cell r="J58">
            <v>11266828</v>
          </cell>
        </row>
        <row r="59">
          <cell r="M59">
            <v>0</v>
          </cell>
          <cell r="N59">
            <v>342441</v>
          </cell>
        </row>
        <row r="62">
          <cell r="M62">
            <v>0</v>
          </cell>
          <cell r="N62">
            <v>56943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Rate of Return"/>
      <sheetName val="2017 Customer Costs"/>
      <sheetName val="2017 Table 1A"/>
    </sheetNames>
    <sheetDataSet>
      <sheetData sheetId="0" refreshError="1"/>
      <sheetData sheetId="1">
        <row r="22">
          <cell r="H22">
            <v>26.97944173029186</v>
          </cell>
          <cell r="I22">
            <v>49.455758203966795</v>
          </cell>
          <cell r="K22">
            <v>322.99024246299274</v>
          </cell>
          <cell r="L22">
            <v>48.356725352782121</v>
          </cell>
          <cell r="M22">
            <v>695.55224700673341</v>
          </cell>
          <cell r="N22">
            <v>2615.3928814509281</v>
          </cell>
          <cell r="O22">
            <v>246.10581596580073</v>
          </cell>
          <cell r="P22">
            <v>2893.2371351583297</v>
          </cell>
          <cell r="Q22">
            <v>310.61229278239256</v>
          </cell>
          <cell r="R22">
            <v>1117.1684239249223</v>
          </cell>
          <cell r="S22">
            <v>1949.2919926586592</v>
          </cell>
        </row>
      </sheetData>
      <sheetData sheetId="2">
        <row r="22">
          <cell r="A22" t="str">
            <v>SC 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Printing &amp; Mailing a Bill"/>
      <sheetName val="2017 Receipts Processing"/>
    </sheetNames>
    <sheetDataSet>
      <sheetData sheetId="0">
        <row r="49">
          <cell r="H49">
            <v>0.61097931607453693</v>
          </cell>
        </row>
      </sheetData>
      <sheetData sheetId="1">
        <row r="38">
          <cell r="G38">
            <v>0.57319631281193739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ing and Mailing a Bill Exh"/>
      <sheetName val="Exhibit for Payment Processing"/>
    </sheetNames>
    <sheetDataSet>
      <sheetData sheetId="0">
        <row r="55">
          <cell r="D55">
            <v>0.59940987444500471</v>
          </cell>
        </row>
      </sheetData>
      <sheetData sheetId="1">
        <row r="45">
          <cell r="D45">
            <v>0.81095118036331693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Rates Summary"/>
      <sheetName val="RateDesignVarianceSummary"/>
      <sheetName val="Content"/>
      <sheetName val="CustChg_RateDesign=&gt;"/>
      <sheetName val="7A.)CustCharge_Summary"/>
      <sheetName val="7B.)CustCharge_RateDesign"/>
      <sheetName val="7C.)CustCharge_DemandClasses"/>
      <sheetName val="7D.)BPP_Rates"/>
      <sheetName val="ED_RevShifting=&gt;"/>
      <sheetName val="8A.)HY_ED RevShifting(NoUse)"/>
      <sheetName val="8B.)ED Shift_RedesignRateSum"/>
      <sheetName val="8C.)ED Shift_RedgnRate_SC5_I"/>
      <sheetName val="8D.)ED Shift_RedgnRate_SC8_I"/>
      <sheetName val="8E.)ED Shift_RedgnRate_SC9_I"/>
      <sheetName val="8F.)ED Shift_RedgnRate_SC12_I"/>
      <sheetName val="HL_Tension_Shifting=&gt;"/>
      <sheetName val="9A.)HL_RedesignRateSummary"/>
      <sheetName val="9B.)HL_RedesignRateComp(NoUse)"/>
      <sheetName val="9C.)HL_RedgnRate_SC5_I"/>
      <sheetName val="9D.)HL_RedgnRate_SC12_I"/>
      <sheetName val="9E.)HL_RedgnRate_NYPA_I"/>
      <sheetName val="9F.)HL_RedgnRate_SC5_II"/>
      <sheetName val="9G.)HL_RedgnRate_SC8_II"/>
      <sheetName val="9H.)HL_RedgnRate_SC9_II"/>
      <sheetName val="9I.)HL_RedgnRate_SC12_II"/>
      <sheetName val="9J.)HL_RedgnRate_SC8_I "/>
      <sheetName val="9K.)HL_RedgnRate_SC9_I"/>
      <sheetName val="9L.)HL_RedgnRate_NYPA_II"/>
      <sheetName val="Energy_RateDesign=&gt;"/>
      <sheetName val="10A.)EnergyRateDesignSummary"/>
      <sheetName val="10B.)Energy_RateDesign_SC1_I"/>
      <sheetName val="10C.)Energy_RateDesign_SC1_II"/>
      <sheetName val="10D.)Energy_RateDesign_SC1_III"/>
      <sheetName val="10E.)Energy_RateDesign_SC2_I"/>
      <sheetName val="10F.)Energy_RateDesign_SC2_II"/>
      <sheetName val="10G.)Energy_RateDesign_SC6"/>
      <sheetName val="10H.)Energy_RateDesign_SC12_EN"/>
      <sheetName val="Demand_RateDesign=&gt;"/>
      <sheetName val="11A.)DemandRateDesignSummary"/>
      <sheetName val="11B.)Demand_RateDesign_SC5_I"/>
      <sheetName val="11C.)Demand_RateDesign_SC8_I"/>
      <sheetName val="11D.)Demand_RateDesign_SC9_I"/>
      <sheetName val="11E.)Demand_RateDesign_SC12_I"/>
      <sheetName val="11F.)Demand_RateDesign_NYPA_I"/>
      <sheetName val="TODL_RateDesign=&gt;"/>
      <sheetName val="12A.)TODL_RateDesignSummary"/>
      <sheetName val="12B.)TODL_RateDesign_SC5_II"/>
      <sheetName val="12C.)TODL_RateDesign_SC8_II"/>
      <sheetName val="12D.)TODL_RateDesign_SC9_II"/>
      <sheetName val="12E.)TODL_RateDesign_SC12_II"/>
      <sheetName val="12F.)TODL_RateDesign_SC13_II"/>
      <sheetName val="12G.)TODL_RateDesign_NYPA_II"/>
      <sheetName val="TODM_RateDesign=&gt;"/>
      <sheetName val="13A.)TODM_RateDesignSummary"/>
      <sheetName val="13B.)TODM_RateDesign_SC8_III"/>
      <sheetName val="13C.)TODM_RateDesign_SC9_III"/>
      <sheetName val="13D.)TODM_RateDesign_SC12_III"/>
      <sheetName val="Riders_RateDesign=&gt;"/>
      <sheetName val="14A.)Riders__RateDesignSummary"/>
      <sheetName val="14B.)RateDesign_RiderD"/>
      <sheetName val="14C.)RateDesign_SC1(ProvD)"/>
      <sheetName val="14D.)RateDesign_kVar"/>
      <sheetName val="14E.)RateDesign_NY Facilities"/>
      <sheetName val="MD Rev_Shifting=&gt;"/>
      <sheetName val="15A.)MD Shift_RedesignRateSum"/>
      <sheetName val="15B.)MD Shift_RedgnRate_SC5 I "/>
      <sheetName val="15C.)MD Shift_RedgnRate_SC8 I "/>
      <sheetName val="15D.)MD Shift_RedgnRate_SC9 I "/>
      <sheetName val="15E.)MD Shift_RedgnRate_SC12 I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5">
          <cell r="L15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7">
    <tabColor rgb="FF00B0F0"/>
  </sheetPr>
  <dimension ref="A1:I175"/>
  <sheetViews>
    <sheetView topLeftCell="C64" workbookViewId="0">
      <selection activeCell="E69" sqref="E69"/>
    </sheetView>
  </sheetViews>
  <sheetFormatPr defaultRowHeight="14.5" outlineLevelCol="1" x14ac:dyDescent="0.35"/>
  <cols>
    <col min="1" max="1" width="9" customWidth="1" outlineLevel="1"/>
    <col min="2" max="2" width="5.26953125" style="1" customWidth="1"/>
    <col min="3" max="3" width="43.26953125" style="1" customWidth="1"/>
    <col min="4" max="5" width="19.453125" customWidth="1"/>
    <col min="6" max="6" width="4.1796875" customWidth="1"/>
    <col min="7" max="7" width="20" customWidth="1"/>
    <col min="8" max="8" width="20" style="425" customWidth="1"/>
    <col min="9" max="9" width="4.1796875" customWidth="1"/>
    <col min="10" max="10" width="14.26953125" customWidth="1"/>
    <col min="11" max="11" width="7.7265625" customWidth="1"/>
    <col min="12" max="13" width="14.26953125" customWidth="1"/>
  </cols>
  <sheetData>
    <row r="1" spans="1:9" ht="15.5" x14ac:dyDescent="0.35">
      <c r="C1" s="1118" t="s">
        <v>2192</v>
      </c>
      <c r="G1" s="143"/>
    </row>
    <row r="2" spans="1:9" x14ac:dyDescent="0.35">
      <c r="C2" s="1117" t="str">
        <f>CONCATENATE("- Redesigned and Proposed Rates based on High Tension &amp; Low Tension Differentials of ",'[1]A1.)RatesInput'!I99*100,"% Criteria with ",'[1]A1.)RatesInput'!I98,"-Year Phasing")</f>
        <v>- Redesigned and Proposed Rates based on High Tension &amp; Low Tension Differentials of 5% Criteria with 3-Year Phasing</v>
      </c>
    </row>
    <row r="3" spans="1:9" ht="15" thickBot="1" x14ac:dyDescent="0.4">
      <c r="C3" s="1116"/>
      <c r="F3" s="1"/>
      <c r="I3" s="1"/>
    </row>
    <row r="4" spans="1:9" s="143" customFormat="1" ht="15" thickBot="1" x14ac:dyDescent="0.4">
      <c r="A4" s="486"/>
      <c r="B4" s="858" t="s">
        <v>533</v>
      </c>
      <c r="C4" s="1097" t="s">
        <v>529</v>
      </c>
      <c r="D4" s="400" t="s">
        <v>2191</v>
      </c>
      <c r="E4" s="1111"/>
    </row>
    <row r="5" spans="1:9" x14ac:dyDescent="0.35">
      <c r="A5" s="486"/>
      <c r="B5" s="464"/>
      <c r="C5" s="464"/>
      <c r="G5" s="1298" t="str">
        <f>CONCATENATE('[1]A1.)RatesInput'!$I$99*100,"% Differentials &amp; ",'[1]A1.)RatesInput'!I98,"-Yr Phasing")</f>
        <v>5% Differentials &amp; 3-Yr Phasing</v>
      </c>
      <c r="H5" s="1298"/>
    </row>
    <row r="6" spans="1:9" x14ac:dyDescent="0.35">
      <c r="A6" s="486"/>
      <c r="C6" s="1104" t="s">
        <v>527</v>
      </c>
      <c r="D6" s="1109" t="s">
        <v>170</v>
      </c>
      <c r="E6" s="1109" t="s">
        <v>170</v>
      </c>
      <c r="G6" s="1112" t="s">
        <v>142</v>
      </c>
      <c r="H6" s="1112" t="s">
        <v>521</v>
      </c>
    </row>
    <row r="7" spans="1:9" x14ac:dyDescent="0.35">
      <c r="A7" s="486"/>
      <c r="D7" s="1109">
        <v>2019</v>
      </c>
      <c r="E7" s="1109" t="s">
        <v>1308</v>
      </c>
      <c r="F7" s="1"/>
      <c r="G7" s="1110" t="str">
        <f>'9A.)HL_RedesignRateSummary'!$A54</f>
        <v>N</v>
      </c>
      <c r="H7" s="1109"/>
      <c r="I7" s="1"/>
    </row>
    <row r="8" spans="1:9" x14ac:dyDescent="0.35">
      <c r="A8" s="486"/>
      <c r="C8" s="406" t="s">
        <v>318</v>
      </c>
      <c r="D8" s="643">
        <f>'8B.)ED Shift_RedesignRateSum'!E24</f>
        <v>3.9899999999999998E-2</v>
      </c>
      <c r="E8" s="643">
        <f>'8B.)ED Shift_RedesignRateSum'!F24</f>
        <v>3.7900000000000003E-2</v>
      </c>
      <c r="F8" s="1"/>
      <c r="G8" s="643">
        <f>$E8</f>
        <v>3.7900000000000003E-2</v>
      </c>
      <c r="H8" s="643">
        <f>'11A.)DemandRateDesignSummary'!$E11</f>
        <v>3.7900000000000003E-2</v>
      </c>
      <c r="I8" s="1"/>
    </row>
    <row r="9" spans="1:9" x14ac:dyDescent="0.35">
      <c r="A9" s="486"/>
      <c r="C9" s="406" t="s">
        <v>319</v>
      </c>
      <c r="D9" s="645">
        <f>'8B.)ED Shift_RedesignRateSum'!E25</f>
        <v>3.9899999999999998E-2</v>
      </c>
      <c r="E9" s="645">
        <f>'8B.)ED Shift_RedesignRateSum'!F25</f>
        <v>3.7900000000000003E-2</v>
      </c>
      <c r="F9" s="1"/>
      <c r="G9" s="645">
        <f>$E9</f>
        <v>3.7900000000000003E-2</v>
      </c>
      <c r="H9" s="645">
        <f>'11A.)DemandRateDesignSummary'!$E12</f>
        <v>3.7900000000000003E-2</v>
      </c>
      <c r="I9" s="1"/>
    </row>
    <row r="10" spans="1:9" x14ac:dyDescent="0.35">
      <c r="A10" s="486"/>
      <c r="C10" s="1" t="s">
        <v>320</v>
      </c>
      <c r="D10" s="645">
        <f>'8B.)ED Shift_RedesignRateSum'!E26</f>
        <v>173</v>
      </c>
      <c r="E10" s="645">
        <f>'8B.)ED Shift_RedesignRateSum'!F26</f>
        <v>178.73</v>
      </c>
      <c r="F10" s="1"/>
      <c r="G10" s="645">
        <f>'9A.)HL_RedesignRateSummary'!E59</f>
        <v>178.73</v>
      </c>
      <c r="H10" s="645">
        <f>'11A.)DemandRateDesignSummary'!$E13</f>
        <v>212.21</v>
      </c>
      <c r="I10" s="1"/>
    </row>
    <row r="11" spans="1:9" x14ac:dyDescent="0.35">
      <c r="A11" s="486"/>
      <c r="C11" s="1" t="s">
        <v>321</v>
      </c>
      <c r="D11" s="645">
        <f>'8B.)ED Shift_RedesignRateSum'!E27</f>
        <v>30.36</v>
      </c>
      <c r="E11" s="645">
        <f>'8B.)ED Shift_RedesignRateSum'!F27</f>
        <v>31.369999999999997</v>
      </c>
      <c r="F11" s="1"/>
      <c r="G11" s="645">
        <f>'9A.)HL_RedesignRateSummary'!E60</f>
        <v>31.369999999999997</v>
      </c>
      <c r="H11" s="645">
        <f>'11A.)DemandRateDesignSummary'!$E14</f>
        <v>34.659999999999997</v>
      </c>
      <c r="I11" s="1"/>
    </row>
    <row r="12" spans="1:9" x14ac:dyDescent="0.35">
      <c r="A12" s="486"/>
      <c r="C12" s="1" t="s">
        <v>322</v>
      </c>
      <c r="D12" s="645">
        <f>'8B.)ED Shift_RedesignRateSum'!E28</f>
        <v>110.99</v>
      </c>
      <c r="E12" s="645">
        <f>'8B.)ED Shift_RedesignRateSum'!F28</f>
        <v>114.67</v>
      </c>
      <c r="F12" s="1"/>
      <c r="G12" s="645">
        <f>'9A.)HL_RedesignRateSummary'!E61</f>
        <v>114.67</v>
      </c>
      <c r="H12" s="645">
        <f>'11A.)DemandRateDesignSummary'!$E15</f>
        <v>139.19999999999999</v>
      </c>
      <c r="I12" s="1"/>
    </row>
    <row r="13" spans="1:9" x14ac:dyDescent="0.35">
      <c r="A13" s="486"/>
      <c r="C13" s="1" t="s">
        <v>323</v>
      </c>
      <c r="D13" s="645">
        <f>'8B.)ED Shift_RedesignRateSum'!E29</f>
        <v>19.329999999999998</v>
      </c>
      <c r="E13" s="645">
        <f>'8B.)ED Shift_RedesignRateSum'!F29</f>
        <v>19.97</v>
      </c>
      <c r="F13" s="1"/>
      <c r="G13" s="645">
        <f>'9A.)HL_RedesignRateSummary'!E62</f>
        <v>19.97</v>
      </c>
      <c r="H13" s="645">
        <f>'11A.)DemandRateDesignSummary'!$E16</f>
        <v>22.06</v>
      </c>
      <c r="I13" s="1"/>
    </row>
    <row r="14" spans="1:9" x14ac:dyDescent="0.35">
      <c r="A14" s="486"/>
      <c r="C14" s="406" t="s">
        <v>324</v>
      </c>
      <c r="D14" s="645">
        <f>'8B.)ED Shift_RedesignRateSum'!E30</f>
        <v>3.9899999999999998E-2</v>
      </c>
      <c r="E14" s="645">
        <f>'8B.)ED Shift_RedesignRateSum'!F30</f>
        <v>3.7900000000000003E-2</v>
      </c>
      <c r="F14" s="1"/>
      <c r="G14" s="645">
        <f>$E14</f>
        <v>3.7900000000000003E-2</v>
      </c>
      <c r="H14" s="645">
        <f>'11A.)DemandRateDesignSummary'!$E17</f>
        <v>3.7900000000000003E-2</v>
      </c>
      <c r="I14" s="1"/>
    </row>
    <row r="15" spans="1:9" x14ac:dyDescent="0.35">
      <c r="A15" s="486"/>
      <c r="C15" s="406" t="s">
        <v>325</v>
      </c>
      <c r="D15" s="645">
        <f>'8B.)ED Shift_RedesignRateSum'!E31</f>
        <v>3.9899999999999998E-2</v>
      </c>
      <c r="E15" s="645">
        <f>'8B.)ED Shift_RedesignRateSum'!F31</f>
        <v>3.7900000000000003E-2</v>
      </c>
      <c r="F15" s="1"/>
      <c r="G15" s="645">
        <f>$E15</f>
        <v>3.7900000000000003E-2</v>
      </c>
      <c r="H15" s="645">
        <f>'11A.)DemandRateDesignSummary'!$E18</f>
        <v>3.7900000000000003E-2</v>
      </c>
      <c r="I15" s="1"/>
    </row>
    <row r="16" spans="1:9" x14ac:dyDescent="0.35">
      <c r="A16" s="486"/>
      <c r="C16" s="1" t="s">
        <v>326</v>
      </c>
      <c r="D16" s="645">
        <f>'8B.)ED Shift_RedesignRateSum'!E32</f>
        <v>131.93</v>
      </c>
      <c r="E16" s="645">
        <f>'8B.)ED Shift_RedesignRateSum'!F32</f>
        <v>136.30000000000001</v>
      </c>
      <c r="F16" s="1"/>
      <c r="G16" s="645">
        <f>'9A.)HL_RedesignRateSummary'!E63</f>
        <v>136.30000000000001</v>
      </c>
      <c r="H16" s="645">
        <f>'11A.)DemandRateDesignSummary'!$E19</f>
        <v>163.85</v>
      </c>
      <c r="I16" s="1"/>
    </row>
    <row r="17" spans="1:9" x14ac:dyDescent="0.35">
      <c r="A17" s="486"/>
      <c r="C17" s="1" t="s">
        <v>327</v>
      </c>
      <c r="D17" s="645">
        <f>'8B.)ED Shift_RedesignRateSum'!E33</f>
        <v>23.049999999999997</v>
      </c>
      <c r="E17" s="645">
        <f>'8B.)ED Shift_RedesignRateSum'!F33</f>
        <v>23.81</v>
      </c>
      <c r="F17" s="1"/>
      <c r="G17" s="645">
        <f>'9A.)HL_RedesignRateSummary'!E64</f>
        <v>23.81</v>
      </c>
      <c r="H17" s="645">
        <f>'11A.)DemandRateDesignSummary'!$E20</f>
        <v>26.299999999999997</v>
      </c>
      <c r="I17" s="1"/>
    </row>
    <row r="18" spans="1:9" x14ac:dyDescent="0.35">
      <c r="A18" s="486"/>
      <c r="C18" s="1" t="s">
        <v>328</v>
      </c>
      <c r="D18" s="645">
        <f>'8B.)ED Shift_RedesignRateSum'!E34</f>
        <v>69.91</v>
      </c>
      <c r="E18" s="645">
        <f>'8B.)ED Shift_RedesignRateSum'!F34</f>
        <v>72.23</v>
      </c>
      <c r="F18" s="1"/>
      <c r="G18" s="645">
        <f>'9A.)HL_RedesignRateSummary'!E65</f>
        <v>72.23</v>
      </c>
      <c r="H18" s="645">
        <f>'11A.)DemandRateDesignSummary'!$E21</f>
        <v>90.84</v>
      </c>
      <c r="I18" s="1"/>
    </row>
    <row r="19" spans="1:9" x14ac:dyDescent="0.35">
      <c r="A19" s="486"/>
      <c r="C19" s="1" t="s">
        <v>329</v>
      </c>
      <c r="D19" s="644">
        <f>'8B.)ED Shift_RedesignRateSum'!E35</f>
        <v>12.009999999999998</v>
      </c>
      <c r="E19" s="644">
        <f>'8B.)ED Shift_RedesignRateSum'!F35</f>
        <v>12.41</v>
      </c>
      <c r="F19" s="1"/>
      <c r="G19" s="644">
        <f>'9A.)HL_RedesignRateSummary'!E66</f>
        <v>12.41</v>
      </c>
      <c r="H19" s="644">
        <f>'11A.)DemandRateDesignSummary'!$E22</f>
        <v>13.709999999999999</v>
      </c>
      <c r="I19" s="1"/>
    </row>
    <row r="20" spans="1:9" x14ac:dyDescent="0.35">
      <c r="A20" s="486"/>
      <c r="F20" s="1"/>
      <c r="G20" s="1"/>
      <c r="H20" s="1090"/>
      <c r="I20" s="1"/>
    </row>
    <row r="21" spans="1:9" ht="15" thickBot="1" x14ac:dyDescent="0.4">
      <c r="A21" s="486"/>
      <c r="C21" s="1108"/>
      <c r="D21" s="1108"/>
      <c r="E21" s="1108"/>
      <c r="F21" s="1"/>
      <c r="G21" s="1094"/>
      <c r="H21" s="1090"/>
      <c r="I21" s="1"/>
    </row>
    <row r="22" spans="1:9" ht="15" thickBot="1" x14ac:dyDescent="0.4">
      <c r="A22" s="486"/>
      <c r="B22" s="858" t="s">
        <v>532</v>
      </c>
      <c r="C22" s="1097" t="s">
        <v>529</v>
      </c>
      <c r="D22" s="400" t="s">
        <v>2190</v>
      </c>
      <c r="E22" s="436"/>
      <c r="F22" s="1"/>
      <c r="G22" s="1"/>
      <c r="H22" s="1090"/>
      <c r="I22" s="1"/>
    </row>
    <row r="23" spans="1:9" x14ac:dyDescent="0.35">
      <c r="A23" s="486"/>
      <c r="B23" s="464"/>
      <c r="C23" s="464"/>
      <c r="F23" s="1"/>
      <c r="G23" s="1298" t="str">
        <f>G$5</f>
        <v>5% Differentials &amp; 3-Yr Phasing</v>
      </c>
      <c r="H23" s="1298"/>
      <c r="I23" s="1"/>
    </row>
    <row r="24" spans="1:9" x14ac:dyDescent="0.35">
      <c r="A24" s="486"/>
      <c r="B24" s="464"/>
      <c r="C24" s="1097" t="s">
        <v>527</v>
      </c>
      <c r="D24" s="1112" t="s">
        <v>170</v>
      </c>
      <c r="E24" s="367"/>
      <c r="F24" s="1"/>
      <c r="G24" s="1109" t="str">
        <f>G$6</f>
        <v>Redesigned</v>
      </c>
      <c r="H24" s="1109" t="str">
        <f>H$6</f>
        <v>Proposed</v>
      </c>
      <c r="I24" s="1"/>
    </row>
    <row r="25" spans="1:9" x14ac:dyDescent="0.35">
      <c r="A25" s="486"/>
      <c r="B25" s="464"/>
      <c r="C25" s="464"/>
      <c r="D25" s="1109">
        <v>2019</v>
      </c>
      <c r="E25" s="367"/>
      <c r="F25" s="1"/>
      <c r="G25" s="1110" t="str">
        <f>'9A.)HL_RedesignRateSummary'!$A119</f>
        <v>Y</v>
      </c>
      <c r="H25" s="1109"/>
      <c r="I25" s="1"/>
    </row>
    <row r="26" spans="1:9" x14ac:dyDescent="0.35">
      <c r="A26" s="486"/>
      <c r="B26" s="464"/>
      <c r="C26" s="464" t="s">
        <v>938</v>
      </c>
      <c r="D26" s="1115">
        <f>'9A.)HL_RedesignRateSummary'!D124</f>
        <v>0</v>
      </c>
      <c r="E26" s="367"/>
      <c r="F26" s="1"/>
      <c r="G26" s="1115">
        <f>'9A.)HL_RedesignRateSummary'!E124</f>
        <v>0</v>
      </c>
      <c r="H26" s="1115">
        <f>'12A.)TODL_RateDesignSummary'!$E11</f>
        <v>0</v>
      </c>
      <c r="I26" s="1"/>
    </row>
    <row r="27" spans="1:9" x14ac:dyDescent="0.35">
      <c r="A27" s="486"/>
      <c r="B27" s="464"/>
      <c r="C27" s="464" t="s">
        <v>939</v>
      </c>
      <c r="D27" s="1114">
        <f>'9A.)HL_RedesignRateSummary'!D125</f>
        <v>8.0399999999999991</v>
      </c>
      <c r="E27" s="367"/>
      <c r="F27" s="1"/>
      <c r="G27" s="1114">
        <f>'9A.)HL_RedesignRateSummary'!E125</f>
        <v>7.93</v>
      </c>
      <c r="H27" s="1114">
        <f>'12A.)TODL_RateDesignSummary'!$E12</f>
        <v>8.1999999999999993</v>
      </c>
      <c r="I27" s="1"/>
    </row>
    <row r="28" spans="1:9" x14ac:dyDescent="0.35">
      <c r="A28" s="486"/>
      <c r="B28" s="464"/>
      <c r="C28" s="464" t="s">
        <v>940</v>
      </c>
      <c r="D28" s="1114">
        <f>'9A.)HL_RedesignRateSummary'!D126</f>
        <v>2.8599999999999994</v>
      </c>
      <c r="E28" s="367"/>
      <c r="F28" s="1"/>
      <c r="G28" s="1114">
        <f>'9A.)HL_RedesignRateSummary'!E126</f>
        <v>3.78</v>
      </c>
      <c r="H28" s="1114">
        <f>'12A.)TODL_RateDesignSummary'!$E13</f>
        <v>3.9099999999999993</v>
      </c>
      <c r="I28" s="1"/>
    </row>
    <row r="29" spans="1:9" x14ac:dyDescent="0.35">
      <c r="A29" s="486"/>
      <c r="B29" s="464"/>
      <c r="C29" s="464" t="s">
        <v>941</v>
      </c>
      <c r="D29" s="1114">
        <f>'9A.)HL_RedesignRateSummary'!D127</f>
        <v>4.5999999999999996</v>
      </c>
      <c r="E29" s="367"/>
      <c r="F29" s="1"/>
      <c r="G29" s="1114">
        <f>'9A.)HL_RedesignRateSummary'!E127</f>
        <v>4.5999999999999996</v>
      </c>
      <c r="H29" s="1114">
        <f>'12A.)TODL_RateDesignSummary'!$E14</f>
        <v>4.76</v>
      </c>
      <c r="I29" s="1"/>
    </row>
    <row r="30" spans="1:9" x14ac:dyDescent="0.35">
      <c r="A30" s="486"/>
      <c r="B30" s="464"/>
      <c r="C30" s="464" t="s">
        <v>942</v>
      </c>
      <c r="D30" s="1114">
        <f>'9A.)HL_RedesignRateSummary'!D128</f>
        <v>9.4599999999999991</v>
      </c>
      <c r="E30" s="367"/>
      <c r="F30" s="1"/>
      <c r="G30" s="1114">
        <f>'9A.)HL_RedesignRateSummary'!E128</f>
        <v>9.35</v>
      </c>
      <c r="H30" s="1114">
        <f>'12A.)TODL_RateDesignSummary'!$E15</f>
        <v>9.67</v>
      </c>
      <c r="I30" s="1"/>
    </row>
    <row r="31" spans="1:9" x14ac:dyDescent="0.35">
      <c r="A31" s="486"/>
      <c r="B31" s="464"/>
      <c r="C31" s="464" t="s">
        <v>943</v>
      </c>
      <c r="D31" s="1114">
        <f>'9A.)HL_RedesignRateSummary'!D129</f>
        <v>9.0599999999999987</v>
      </c>
      <c r="E31" s="367"/>
      <c r="F31" s="1"/>
      <c r="G31" s="1114">
        <f>'9A.)HL_RedesignRateSummary'!E129</f>
        <v>9.98</v>
      </c>
      <c r="H31" s="1114">
        <f>'12A.)TODL_RateDesignSummary'!$E16</f>
        <v>10.32</v>
      </c>
      <c r="I31" s="1"/>
    </row>
    <row r="32" spans="1:9" x14ac:dyDescent="0.35">
      <c r="A32" s="486"/>
      <c r="B32" s="464"/>
      <c r="C32" s="464" t="s">
        <v>2178</v>
      </c>
      <c r="D32" s="1113">
        <f>'12A.)TODL_RateDesignSummary'!$D$17</f>
        <v>7.9000000000000008E-3</v>
      </c>
      <c r="E32" s="367"/>
      <c r="F32" s="1"/>
      <c r="G32" s="1113">
        <f>$D32</f>
        <v>7.9000000000000008E-3</v>
      </c>
      <c r="H32" s="1113">
        <f>'12A.)TODL_RateDesignSummary'!$E$17</f>
        <v>7.9000000000000008E-3</v>
      </c>
      <c r="I32" s="1"/>
    </row>
    <row r="33" spans="1:9" x14ac:dyDescent="0.35">
      <c r="A33" s="486"/>
      <c r="B33" s="464"/>
      <c r="C33" s="464"/>
      <c r="F33" s="1"/>
      <c r="G33" s="1"/>
      <c r="H33" s="1090"/>
      <c r="I33" s="1"/>
    </row>
    <row r="34" spans="1:9" ht="15" thickBot="1" x14ac:dyDescent="0.4">
      <c r="A34" s="486"/>
      <c r="C34" s="1108"/>
      <c r="D34" s="1108"/>
      <c r="E34" s="1108"/>
      <c r="F34" s="1"/>
      <c r="G34" s="1094"/>
      <c r="H34" s="1090"/>
      <c r="I34" s="1"/>
    </row>
    <row r="35" spans="1:9" s="143" customFormat="1" ht="15" thickBot="1" x14ac:dyDescent="0.4">
      <c r="A35" s="486"/>
      <c r="B35" s="858" t="s">
        <v>531</v>
      </c>
      <c r="C35" s="1097" t="s">
        <v>529</v>
      </c>
      <c r="D35" s="1098" t="s">
        <v>2189</v>
      </c>
      <c r="E35" s="1099"/>
      <c r="F35" s="142"/>
      <c r="G35" s="142"/>
      <c r="H35" s="142"/>
      <c r="I35" s="142"/>
    </row>
    <row r="36" spans="1:9" x14ac:dyDescent="0.35">
      <c r="A36" s="486"/>
      <c r="C36" s="464"/>
      <c r="F36" s="1"/>
      <c r="G36" s="1298" t="str">
        <f>G$5</f>
        <v>5% Differentials &amp; 3-Yr Phasing</v>
      </c>
      <c r="H36" s="1298"/>
      <c r="I36" s="1"/>
    </row>
    <row r="37" spans="1:9" x14ac:dyDescent="0.35">
      <c r="A37" s="486"/>
      <c r="C37" s="1097" t="s">
        <v>527</v>
      </c>
      <c r="D37" s="1109" t="s">
        <v>170</v>
      </c>
      <c r="E37" s="1109" t="s">
        <v>170</v>
      </c>
      <c r="F37" s="1071"/>
      <c r="G37" s="1109" t="str">
        <f>G$6</f>
        <v>Redesigned</v>
      </c>
      <c r="H37" s="1109" t="str">
        <f>H$6</f>
        <v>Proposed</v>
      </c>
      <c r="I37" s="1071"/>
    </row>
    <row r="38" spans="1:9" x14ac:dyDescent="0.35">
      <c r="A38" s="486"/>
      <c r="C38" s="464"/>
      <c r="D38" s="1109">
        <v>2019</v>
      </c>
      <c r="E38" s="1109" t="s">
        <v>1308</v>
      </c>
      <c r="F38" s="1071"/>
      <c r="G38" s="1110" t="str">
        <f>'9A.)HL_RedesignRateSummary'!$A167</f>
        <v>Y</v>
      </c>
      <c r="H38" s="1109"/>
      <c r="I38" s="1071"/>
    </row>
    <row r="39" spans="1:9" x14ac:dyDescent="0.35">
      <c r="A39" s="486"/>
      <c r="C39" s="3" t="s">
        <v>331</v>
      </c>
      <c r="D39" s="643">
        <f>'8B.)ED Shift_RedesignRateSum'!E45</f>
        <v>1.7600000000000001E-2</v>
      </c>
      <c r="E39" s="643">
        <f>'8B.)ED Shift_RedesignRateSum'!F45</f>
        <v>1.67E-2</v>
      </c>
      <c r="F39" s="1071"/>
      <c r="G39" s="643">
        <f>$E39</f>
        <v>1.67E-2</v>
      </c>
      <c r="H39" s="643">
        <f>'11A.)DemandRateDesignSummary'!$E37</f>
        <v>1.67E-2</v>
      </c>
      <c r="I39" s="1071"/>
    </row>
    <row r="40" spans="1:9" x14ac:dyDescent="0.35">
      <c r="A40" s="486"/>
      <c r="C40" s="3" t="s">
        <v>332</v>
      </c>
      <c r="D40" s="645">
        <f>'8B.)ED Shift_RedesignRateSum'!E46</f>
        <v>1.7600000000000001E-2</v>
      </c>
      <c r="E40" s="645">
        <f>'8B.)ED Shift_RedesignRateSum'!F46</f>
        <v>1.67E-2</v>
      </c>
      <c r="F40" s="1071"/>
      <c r="G40" s="645">
        <f>$E40</f>
        <v>1.67E-2</v>
      </c>
      <c r="H40" s="645">
        <f>'11A.)DemandRateDesignSummary'!$E38</f>
        <v>1.67E-2</v>
      </c>
      <c r="I40" s="1071"/>
    </row>
    <row r="41" spans="1:9" x14ac:dyDescent="0.35">
      <c r="A41" s="486"/>
      <c r="C41" s="464" t="s">
        <v>333</v>
      </c>
      <c r="D41" s="645">
        <f>'8B.)ED Shift_RedesignRateSum'!E47</f>
        <v>375.88</v>
      </c>
      <c r="E41" s="645">
        <f>'8B.)ED Shift_RedesignRateSum'!F47</f>
        <v>380.53</v>
      </c>
      <c r="F41" s="1"/>
      <c r="G41" s="645">
        <f>'9A.)HL_RedesignRateSummary'!E172</f>
        <v>380.53</v>
      </c>
      <c r="H41" s="645">
        <f>'11A.)DemandRateDesignSummary'!$E39</f>
        <v>400.92</v>
      </c>
      <c r="I41" s="1"/>
    </row>
    <row r="42" spans="1:9" x14ac:dyDescent="0.35">
      <c r="A42" s="486"/>
      <c r="C42" s="464" t="s">
        <v>334</v>
      </c>
      <c r="D42" s="645">
        <f>'8B.)ED Shift_RedesignRateSum'!E48</f>
        <v>33.9</v>
      </c>
      <c r="E42" s="645">
        <f>'8B.)ED Shift_RedesignRateSum'!F48</f>
        <v>34.33</v>
      </c>
      <c r="F42" s="1"/>
      <c r="G42" s="645">
        <f>'9A.)HL_RedesignRateSummary'!E173</f>
        <v>34.32</v>
      </c>
      <c r="H42" s="645">
        <f>'11A.)DemandRateDesignSummary'!$E40</f>
        <v>35.33</v>
      </c>
      <c r="I42" s="1"/>
    </row>
    <row r="43" spans="1:9" x14ac:dyDescent="0.35">
      <c r="A43" s="486"/>
      <c r="C43" s="464" t="s">
        <v>335</v>
      </c>
      <c r="D43" s="645">
        <f>'8B.)ED Shift_RedesignRateSum'!E49</f>
        <v>290.57</v>
      </c>
      <c r="E43" s="645">
        <f>'8B.)ED Shift_RedesignRateSum'!F49</f>
        <v>294.16000000000003</v>
      </c>
      <c r="F43" s="1"/>
      <c r="G43" s="645">
        <f>'9A.)HL_RedesignRateSummary'!E174</f>
        <v>294.16000000000003</v>
      </c>
      <c r="H43" s="645">
        <f>'11A.)DemandRateDesignSummary'!$E41</f>
        <v>312.42</v>
      </c>
      <c r="I43" s="1"/>
    </row>
    <row r="44" spans="1:9" x14ac:dyDescent="0.35">
      <c r="A44" s="486"/>
      <c r="C44" s="464" t="s">
        <v>336</v>
      </c>
      <c r="D44" s="645">
        <f>'8B.)ED Shift_RedesignRateSum'!E50</f>
        <v>26.19</v>
      </c>
      <c r="E44" s="645">
        <f>'8B.)ED Shift_RedesignRateSum'!F50</f>
        <v>26.52</v>
      </c>
      <c r="F44" s="1"/>
      <c r="G44" s="645">
        <f>'9A.)HL_RedesignRateSummary'!E175</f>
        <v>26.51</v>
      </c>
      <c r="H44" s="645">
        <f>'11A.)DemandRateDesignSummary'!$E42</f>
        <v>27.29</v>
      </c>
      <c r="I44" s="1"/>
    </row>
    <row r="45" spans="1:9" x14ac:dyDescent="0.35">
      <c r="A45" s="486"/>
      <c r="C45" s="3" t="s">
        <v>337</v>
      </c>
      <c r="D45" s="645">
        <f>'8B.)ED Shift_RedesignRateSum'!E51</f>
        <v>1.7600000000000001E-2</v>
      </c>
      <c r="E45" s="645">
        <f>'8B.)ED Shift_RedesignRateSum'!F51</f>
        <v>1.67E-2</v>
      </c>
      <c r="F45" s="1"/>
      <c r="G45" s="645">
        <f>$E45</f>
        <v>1.67E-2</v>
      </c>
      <c r="H45" s="645">
        <f>'11A.)DemandRateDesignSummary'!$E43</f>
        <v>1.67E-2</v>
      </c>
      <c r="I45" s="1"/>
    </row>
    <row r="46" spans="1:9" x14ac:dyDescent="0.35">
      <c r="A46" s="486"/>
      <c r="C46" s="3" t="s">
        <v>338</v>
      </c>
      <c r="D46" s="645">
        <f>'8B.)ED Shift_RedesignRateSum'!E52</f>
        <v>1.7600000000000001E-2</v>
      </c>
      <c r="E46" s="645">
        <f>'8B.)ED Shift_RedesignRateSum'!F52</f>
        <v>1.67E-2</v>
      </c>
      <c r="F46" s="1"/>
      <c r="G46" s="645">
        <f>$E46</f>
        <v>1.67E-2</v>
      </c>
      <c r="H46" s="645">
        <f>'11A.)DemandRateDesignSummary'!$E44</f>
        <v>1.67E-2</v>
      </c>
      <c r="I46" s="1"/>
    </row>
    <row r="47" spans="1:9" x14ac:dyDescent="0.35">
      <c r="A47" s="486"/>
      <c r="C47" s="464" t="s">
        <v>339</v>
      </c>
      <c r="D47" s="645">
        <f>'8B.)ED Shift_RedesignRateSum'!E53</f>
        <v>296.11</v>
      </c>
      <c r="E47" s="645">
        <f>'8B.)ED Shift_RedesignRateSum'!F53</f>
        <v>299.77</v>
      </c>
      <c r="F47" s="1"/>
      <c r="G47" s="645">
        <f>'9A.)HL_RedesignRateSummary'!E176</f>
        <v>273.87</v>
      </c>
      <c r="H47" s="645">
        <f>'11A.)DemandRateDesignSummary'!$E45</f>
        <v>291.63</v>
      </c>
      <c r="I47" s="1"/>
    </row>
    <row r="48" spans="1:9" x14ac:dyDescent="0.35">
      <c r="A48" s="486"/>
      <c r="C48" s="464" t="s">
        <v>340</v>
      </c>
      <c r="D48" s="645">
        <f>'8B.)ED Shift_RedesignRateSum'!E54</f>
        <v>26.700000000000003</v>
      </c>
      <c r="E48" s="645">
        <f>'8B.)ED Shift_RedesignRateSum'!F54</f>
        <v>27.04</v>
      </c>
      <c r="F48" s="1"/>
      <c r="G48" s="645">
        <f>'9A.)HL_RedesignRateSummary'!E177</f>
        <v>24.69</v>
      </c>
      <c r="H48" s="645">
        <f>'11A.)DemandRateDesignSummary'!$E46</f>
        <v>25.419999999999998</v>
      </c>
      <c r="I48" s="1"/>
    </row>
    <row r="49" spans="1:9" x14ac:dyDescent="0.35">
      <c r="A49" s="486"/>
      <c r="C49" s="464" t="s">
        <v>341</v>
      </c>
      <c r="D49" s="645">
        <f>'8B.)ED Shift_RedesignRateSum'!E55</f>
        <v>210.79</v>
      </c>
      <c r="E49" s="645">
        <f>'8B.)ED Shift_RedesignRateSum'!F55</f>
        <v>213.4</v>
      </c>
      <c r="F49" s="1"/>
      <c r="G49" s="645">
        <f>'9A.)HL_RedesignRateSummary'!E178</f>
        <v>187.5</v>
      </c>
      <c r="H49" s="645">
        <f>'11A.)DemandRateDesignSummary'!$E47</f>
        <v>203.13</v>
      </c>
      <c r="I49" s="1"/>
    </row>
    <row r="50" spans="1:9" x14ac:dyDescent="0.35">
      <c r="A50" s="486"/>
      <c r="C50" s="464" t="s">
        <v>342</v>
      </c>
      <c r="D50" s="644">
        <f>'8B.)ED Shift_RedesignRateSum'!E56</f>
        <v>18.970000000000002</v>
      </c>
      <c r="E50" s="644">
        <f>'8B.)ED Shift_RedesignRateSum'!F56</f>
        <v>19.21</v>
      </c>
      <c r="F50" s="1"/>
      <c r="G50" s="644">
        <f>'9A.)HL_RedesignRateSummary'!E179</f>
        <v>16.860000000000003</v>
      </c>
      <c r="H50" s="644">
        <f>'11A.)DemandRateDesignSummary'!$E48</f>
        <v>17.36</v>
      </c>
      <c r="I50" s="1"/>
    </row>
    <row r="51" spans="1:9" x14ac:dyDescent="0.35">
      <c r="A51" s="486"/>
      <c r="C51" s="464"/>
      <c r="F51" s="1"/>
      <c r="G51" s="1"/>
      <c r="H51" s="1090"/>
      <c r="I51" s="1"/>
    </row>
    <row r="52" spans="1:9" ht="15" thickBot="1" x14ac:dyDescent="0.4">
      <c r="A52" s="486"/>
      <c r="C52" s="1108"/>
      <c r="D52" s="1108"/>
      <c r="E52" s="1108"/>
      <c r="F52" s="1094"/>
      <c r="G52" s="1094"/>
      <c r="H52" s="1090"/>
      <c r="I52" s="1094"/>
    </row>
    <row r="53" spans="1:9" ht="15" thickBot="1" x14ac:dyDescent="0.4">
      <c r="A53" s="486"/>
      <c r="B53" s="858" t="s">
        <v>530</v>
      </c>
      <c r="C53" s="1097" t="s">
        <v>529</v>
      </c>
      <c r="D53" s="400" t="s">
        <v>2188</v>
      </c>
      <c r="E53" s="436"/>
      <c r="F53" s="1"/>
      <c r="G53" s="1"/>
      <c r="H53" s="1090"/>
      <c r="I53" s="1"/>
    </row>
    <row r="54" spans="1:9" x14ac:dyDescent="0.35">
      <c r="A54" s="486"/>
      <c r="B54" s="464"/>
      <c r="C54" s="464"/>
      <c r="F54" s="1"/>
      <c r="G54" s="1298" t="str">
        <f>G$5</f>
        <v>5% Differentials &amp; 3-Yr Phasing</v>
      </c>
      <c r="H54" s="1298"/>
      <c r="I54" s="1"/>
    </row>
    <row r="55" spans="1:9" x14ac:dyDescent="0.35">
      <c r="A55" s="486"/>
      <c r="B55" s="464"/>
      <c r="C55" s="1097" t="s">
        <v>527</v>
      </c>
      <c r="D55" s="1112" t="s">
        <v>170</v>
      </c>
      <c r="E55" s="367"/>
      <c r="F55" s="1071"/>
      <c r="G55" s="1109" t="str">
        <f>G$6</f>
        <v>Redesigned</v>
      </c>
      <c r="H55" s="1109" t="str">
        <f>H$6</f>
        <v>Proposed</v>
      </c>
      <c r="I55" s="1071"/>
    </row>
    <row r="56" spans="1:9" x14ac:dyDescent="0.35">
      <c r="A56" s="486"/>
      <c r="B56" s="464"/>
      <c r="C56" s="464"/>
      <c r="D56" s="1109">
        <v>2019</v>
      </c>
      <c r="E56" s="367"/>
      <c r="F56" s="1071"/>
      <c r="G56" s="1110" t="str">
        <f>'9A.)HL_RedesignRateSummary'!$A6</f>
        <v>N</v>
      </c>
      <c r="H56" s="1109"/>
      <c r="I56" s="1071"/>
    </row>
    <row r="57" spans="1:9" x14ac:dyDescent="0.35">
      <c r="A57" s="486"/>
      <c r="B57" s="464"/>
      <c r="C57" s="464" t="s">
        <v>876</v>
      </c>
      <c r="D57" s="643">
        <f>'9A.)HL_RedesignRateSummary'!D11</f>
        <v>0</v>
      </c>
      <c r="F57" s="1"/>
      <c r="G57" s="643">
        <f>'9A.)HL_RedesignRateSummary'!E11</f>
        <v>0</v>
      </c>
      <c r="H57" s="643">
        <f>'12A.)TODL_RateDesignSummary'!$E41</f>
        <v>0</v>
      </c>
      <c r="I57" s="1"/>
    </row>
    <row r="58" spans="1:9" x14ac:dyDescent="0.35">
      <c r="A58" s="486"/>
      <c r="B58" s="464"/>
      <c r="C58" s="464" t="s">
        <v>877</v>
      </c>
      <c r="D58" s="645">
        <f>'9A.)HL_RedesignRateSummary'!D12</f>
        <v>15.98</v>
      </c>
      <c r="F58" s="1"/>
      <c r="G58" s="645">
        <f>'9A.)HL_RedesignRateSummary'!E12</f>
        <v>15.98</v>
      </c>
      <c r="H58" s="645">
        <f>'12A.)TODL_RateDesignSummary'!$E42</f>
        <v>16.39</v>
      </c>
      <c r="I58" s="1"/>
    </row>
    <row r="59" spans="1:9" x14ac:dyDescent="0.35">
      <c r="A59" s="486"/>
      <c r="B59" s="464"/>
      <c r="C59" s="464" t="s">
        <v>878</v>
      </c>
      <c r="D59" s="645">
        <f>'9A.)HL_RedesignRateSummary'!D13</f>
        <v>3.74</v>
      </c>
      <c r="F59" s="1"/>
      <c r="G59" s="645">
        <f>'9A.)HL_RedesignRateSummary'!E13</f>
        <v>3.74</v>
      </c>
      <c r="H59" s="645">
        <f>'12A.)TODL_RateDesignSummary'!$E43</f>
        <v>3.83</v>
      </c>
      <c r="I59" s="1"/>
    </row>
    <row r="60" spans="1:9" x14ac:dyDescent="0.35">
      <c r="A60" s="486"/>
      <c r="B60" s="464"/>
      <c r="C60" s="464" t="s">
        <v>879</v>
      </c>
      <c r="D60" s="645">
        <f>'9A.)HL_RedesignRateSummary'!D14</f>
        <v>9.06</v>
      </c>
      <c r="F60" s="1"/>
      <c r="G60" s="645">
        <f>'9A.)HL_RedesignRateSummary'!E14</f>
        <v>9.06</v>
      </c>
      <c r="H60" s="645">
        <f>'12A.)TODL_RateDesignSummary'!$E44</f>
        <v>9.2900000000000009</v>
      </c>
      <c r="I60" s="1"/>
    </row>
    <row r="61" spans="1:9" x14ac:dyDescent="0.35">
      <c r="A61" s="486"/>
      <c r="B61" s="464"/>
      <c r="C61" s="464" t="s">
        <v>880</v>
      </c>
      <c r="D61" s="645">
        <f>'9A.)HL_RedesignRateSummary'!D15</f>
        <v>21.84</v>
      </c>
      <c r="F61" s="1"/>
      <c r="G61" s="645">
        <f>'9A.)HL_RedesignRateSummary'!E15</f>
        <v>21.84</v>
      </c>
      <c r="H61" s="645">
        <f>'12A.)TODL_RateDesignSummary'!$E45</f>
        <v>22.4</v>
      </c>
      <c r="I61" s="1"/>
    </row>
    <row r="62" spans="1:9" x14ac:dyDescent="0.35">
      <c r="A62" s="486"/>
      <c r="B62" s="464"/>
      <c r="C62" s="464" t="s">
        <v>881</v>
      </c>
      <c r="D62" s="645">
        <f>'9A.)HL_RedesignRateSummary'!D16</f>
        <v>17.740000000000002</v>
      </c>
      <c r="F62" s="1"/>
      <c r="G62" s="645">
        <f>'9A.)HL_RedesignRateSummary'!E16</f>
        <v>17.740000000000002</v>
      </c>
      <c r="H62" s="645">
        <f>'12A.)TODL_RateDesignSummary'!$E46</f>
        <v>18.2</v>
      </c>
      <c r="I62" s="1"/>
    </row>
    <row r="63" spans="1:9" x14ac:dyDescent="0.35">
      <c r="A63" s="486"/>
      <c r="B63" s="464"/>
      <c r="C63" s="464" t="s">
        <v>2178</v>
      </c>
      <c r="D63" s="644">
        <f>'12A.)TODL_RateDesignSummary'!$D47</f>
        <v>7.9000000000000008E-3</v>
      </c>
      <c r="F63" s="1"/>
      <c r="G63" s="644">
        <f>$D63</f>
        <v>7.9000000000000008E-3</v>
      </c>
      <c r="H63" s="644">
        <f>'12A.)TODL_RateDesignSummary'!$E47</f>
        <v>7.9000000000000008E-3</v>
      </c>
      <c r="I63" s="1"/>
    </row>
    <row r="64" spans="1:9" x14ac:dyDescent="0.35">
      <c r="A64" s="486"/>
      <c r="F64" s="1"/>
      <c r="G64" s="1"/>
      <c r="H64" s="1090"/>
      <c r="I64" s="1"/>
    </row>
    <row r="65" spans="1:9" ht="15" thickBot="1" x14ac:dyDescent="0.4">
      <c r="A65" s="486"/>
      <c r="C65" s="425"/>
      <c r="D65" s="425"/>
      <c r="E65" s="425"/>
      <c r="F65" s="1090"/>
      <c r="G65" s="1090"/>
      <c r="H65" s="1090"/>
      <c r="I65" s="1090"/>
    </row>
    <row r="66" spans="1:9" s="143" customFormat="1" ht="15" thickBot="1" x14ac:dyDescent="0.4">
      <c r="A66" s="486"/>
      <c r="B66" s="858" t="s">
        <v>549</v>
      </c>
      <c r="C66" s="1097" t="s">
        <v>529</v>
      </c>
      <c r="D66" s="1098" t="s">
        <v>2187</v>
      </c>
      <c r="E66" s="1099"/>
      <c r="F66" s="142"/>
      <c r="G66" s="142"/>
      <c r="H66" s="142"/>
      <c r="I66" s="142"/>
    </row>
    <row r="67" spans="1:9" x14ac:dyDescent="0.35">
      <c r="A67" s="486"/>
      <c r="C67" s="464"/>
      <c r="F67" s="1"/>
      <c r="G67" s="1298" t="str">
        <f>G$5</f>
        <v>5% Differentials &amp; 3-Yr Phasing</v>
      </c>
      <c r="H67" s="1298"/>
      <c r="I67" s="1"/>
    </row>
    <row r="68" spans="1:9" x14ac:dyDescent="0.35">
      <c r="A68" s="486"/>
      <c r="C68" s="1097" t="s">
        <v>527</v>
      </c>
      <c r="D68" s="1109" t="s">
        <v>170</v>
      </c>
      <c r="E68" s="1109" t="s">
        <v>170</v>
      </c>
      <c r="F68" s="1071"/>
      <c r="G68" s="1109" t="str">
        <f>G$6</f>
        <v>Redesigned</v>
      </c>
      <c r="H68" s="1109" t="str">
        <f>H$6</f>
        <v>Proposed</v>
      </c>
      <c r="I68" s="1071"/>
    </row>
    <row r="69" spans="1:9" x14ac:dyDescent="0.35">
      <c r="A69" s="486"/>
      <c r="C69" s="464"/>
      <c r="D69" s="1109">
        <v>2019</v>
      </c>
      <c r="E69" s="1109" t="s">
        <v>1308</v>
      </c>
      <c r="F69" s="1071"/>
      <c r="G69" s="1110" t="str">
        <f>'9A.)HL_RedesignRateSummary'!$A191</f>
        <v>Y</v>
      </c>
      <c r="H69" s="1109"/>
      <c r="I69" s="1071"/>
    </row>
    <row r="70" spans="1:9" x14ac:dyDescent="0.35">
      <c r="A70" s="486"/>
      <c r="C70" s="3" t="s">
        <v>343</v>
      </c>
      <c r="D70" s="643">
        <f>'8B.)ED Shift_RedesignRateSum'!E65</f>
        <v>2.2100000000000002E-2</v>
      </c>
      <c r="E70" s="643">
        <f>'8B.)ED Shift_RedesignRateSum'!F65</f>
        <v>2.1000000000000001E-2</v>
      </c>
      <c r="F70" s="1071"/>
      <c r="G70" s="643">
        <f>$E70</f>
        <v>2.1000000000000001E-2</v>
      </c>
      <c r="H70" s="643">
        <f>'11A.)DemandRateDesignSummary'!$E65</f>
        <v>2.1000000000000001E-2</v>
      </c>
      <c r="I70" s="1071"/>
    </row>
    <row r="71" spans="1:9" x14ac:dyDescent="0.35">
      <c r="A71" s="486"/>
      <c r="C71" s="3" t="s">
        <v>344</v>
      </c>
      <c r="D71" s="645">
        <f>'8B.)ED Shift_RedesignRateSum'!E66</f>
        <v>2.2100000000000002E-2</v>
      </c>
      <c r="E71" s="645">
        <f>'8B.)ED Shift_RedesignRateSum'!F66</f>
        <v>2.1000000000000001E-2</v>
      </c>
      <c r="F71" s="1071"/>
      <c r="G71" s="645">
        <f>$E71</f>
        <v>2.1000000000000001E-2</v>
      </c>
      <c r="H71" s="645">
        <f>'11A.)DemandRateDesignSummary'!$E66</f>
        <v>2.1000000000000001E-2</v>
      </c>
      <c r="I71" s="1071"/>
    </row>
    <row r="72" spans="1:9" x14ac:dyDescent="0.35">
      <c r="A72" s="486"/>
      <c r="C72" s="464" t="s">
        <v>345</v>
      </c>
      <c r="D72" s="645">
        <f>'8B.)ED Shift_RedesignRateSum'!E67</f>
        <v>173.95</v>
      </c>
      <c r="E72" s="645">
        <f>'8B.)ED Shift_RedesignRateSum'!F67</f>
        <v>176.77</v>
      </c>
      <c r="F72" s="1"/>
      <c r="G72" s="645">
        <f>'9A.)HL_RedesignRateSummary'!E196</f>
        <v>176.77</v>
      </c>
      <c r="H72" s="645">
        <f>'11A.)DemandRateDesignSummary'!$E67</f>
        <v>189.57</v>
      </c>
      <c r="I72" s="1"/>
    </row>
    <row r="73" spans="1:9" x14ac:dyDescent="0.35">
      <c r="A73" s="486"/>
      <c r="C73" s="464" t="s">
        <v>346</v>
      </c>
      <c r="D73" s="645">
        <f>'8B.)ED Shift_RedesignRateSum'!E68</f>
        <v>25.410000000000004</v>
      </c>
      <c r="E73" s="645">
        <f>'8B.)ED Shift_RedesignRateSum'!F68</f>
        <v>25.83</v>
      </c>
      <c r="F73" s="1"/>
      <c r="G73" s="645">
        <f>'9A.)HL_RedesignRateSummary'!E197</f>
        <v>25.83</v>
      </c>
      <c r="H73" s="645">
        <f>'11A.)DemandRateDesignSummary'!$E68</f>
        <v>26.769999999999996</v>
      </c>
      <c r="I73" s="1"/>
    </row>
    <row r="74" spans="1:9" x14ac:dyDescent="0.35">
      <c r="A74" s="486"/>
      <c r="C74" s="464" t="s">
        <v>347</v>
      </c>
      <c r="D74" s="645">
        <f>'8B.)ED Shift_RedesignRateSum'!E69</f>
        <v>138.94999999999999</v>
      </c>
      <c r="E74" s="645">
        <f>'8B.)ED Shift_RedesignRateSum'!F69</f>
        <v>141.21</v>
      </c>
      <c r="F74" s="1"/>
      <c r="G74" s="645">
        <f>'9A.)HL_RedesignRateSummary'!E198</f>
        <v>141.21</v>
      </c>
      <c r="H74" s="645">
        <f>'11A.)DemandRateDesignSummary'!$E69</f>
        <v>152.77000000000001</v>
      </c>
      <c r="I74" s="1"/>
    </row>
    <row r="75" spans="1:9" x14ac:dyDescent="0.35">
      <c r="A75" s="486"/>
      <c r="C75" s="464" t="s">
        <v>348</v>
      </c>
      <c r="D75" s="645">
        <f>'8B.)ED Shift_RedesignRateSum'!E70</f>
        <v>20.070000000000004</v>
      </c>
      <c r="E75" s="645">
        <f>'8B.)ED Shift_RedesignRateSum'!F70</f>
        <v>20.399999999999999</v>
      </c>
      <c r="F75" s="1"/>
      <c r="G75" s="645">
        <f>'9A.)HL_RedesignRateSummary'!E199</f>
        <v>20.399999999999999</v>
      </c>
      <c r="H75" s="645">
        <f>'11A.)DemandRateDesignSummary'!$E70</f>
        <v>21.139999999999997</v>
      </c>
      <c r="I75" s="1"/>
    </row>
    <row r="76" spans="1:9" x14ac:dyDescent="0.35">
      <c r="A76" s="486"/>
      <c r="C76" s="3" t="s">
        <v>349</v>
      </c>
      <c r="D76" s="645">
        <f>'8B.)ED Shift_RedesignRateSum'!E71</f>
        <v>2.06E-2</v>
      </c>
      <c r="E76" s="645">
        <f>'8B.)ED Shift_RedesignRateSum'!F71</f>
        <v>1.95E-2</v>
      </c>
      <c r="F76" s="1"/>
      <c r="G76" s="645">
        <f>$E76</f>
        <v>1.95E-2</v>
      </c>
      <c r="H76" s="645">
        <f>'11A.)DemandRateDesignSummary'!$E71</f>
        <v>1.95E-2</v>
      </c>
      <c r="I76" s="1"/>
    </row>
    <row r="77" spans="1:9" x14ac:dyDescent="0.35">
      <c r="A77" s="486"/>
      <c r="C77" s="3" t="s">
        <v>350</v>
      </c>
      <c r="D77" s="645">
        <f>'8B.)ED Shift_RedesignRateSum'!E72</f>
        <v>2.06E-2</v>
      </c>
      <c r="E77" s="645">
        <f>'8B.)ED Shift_RedesignRateSum'!F72</f>
        <v>1.95E-2</v>
      </c>
      <c r="F77" s="1"/>
      <c r="G77" s="645">
        <f>$E77</f>
        <v>1.95E-2</v>
      </c>
      <c r="H77" s="645">
        <f>'11A.)DemandRateDesignSummary'!$E72</f>
        <v>1.95E-2</v>
      </c>
      <c r="I77" s="1"/>
    </row>
    <row r="78" spans="1:9" x14ac:dyDescent="0.35">
      <c r="A78" s="486"/>
      <c r="C78" s="464" t="s">
        <v>351</v>
      </c>
      <c r="D78" s="645">
        <f>'8B.)ED Shift_RedesignRateSum'!E73</f>
        <v>134.47999999999999</v>
      </c>
      <c r="E78" s="645">
        <f>'8B.)ED Shift_RedesignRateSum'!F73</f>
        <v>136.66</v>
      </c>
      <c r="F78" s="1"/>
      <c r="G78" s="645">
        <f>'9A.)HL_RedesignRateSummary'!E200</f>
        <v>122.81</v>
      </c>
      <c r="H78" s="645">
        <f>'11A.)DemandRateDesignSummary'!$E73</f>
        <v>133.72999999999999</v>
      </c>
      <c r="I78" s="1"/>
    </row>
    <row r="79" spans="1:9" x14ac:dyDescent="0.35">
      <c r="A79" s="486"/>
      <c r="C79" s="464" t="s">
        <v>352</v>
      </c>
      <c r="D79" s="645">
        <f>'8B.)ED Shift_RedesignRateSum'!E74</f>
        <v>19.270000000000003</v>
      </c>
      <c r="E79" s="645">
        <f>'8B.)ED Shift_RedesignRateSum'!F74</f>
        <v>19.59</v>
      </c>
      <c r="F79" s="1"/>
      <c r="G79" s="645">
        <f>'9A.)HL_RedesignRateSummary'!E201</f>
        <v>18.03</v>
      </c>
      <c r="H79" s="645">
        <f>'11A.)DemandRateDesignSummary'!$E74</f>
        <v>18.679999999999996</v>
      </c>
      <c r="I79" s="1"/>
    </row>
    <row r="80" spans="1:9" x14ac:dyDescent="0.35">
      <c r="A80" s="486"/>
      <c r="C80" s="464" t="s">
        <v>353</v>
      </c>
      <c r="D80" s="645">
        <f>'8B.)ED Shift_RedesignRateSum'!E75</f>
        <v>99.53</v>
      </c>
      <c r="E80" s="645">
        <f>'8B.)ED Shift_RedesignRateSum'!F75</f>
        <v>101.15</v>
      </c>
      <c r="F80" s="1"/>
      <c r="G80" s="645">
        <f>'9A.)HL_RedesignRateSummary'!E202</f>
        <v>87.300000000000011</v>
      </c>
      <c r="H80" s="645">
        <f>'11A.)DemandRateDesignSummary'!$E75</f>
        <v>96.98</v>
      </c>
      <c r="I80" s="1"/>
    </row>
    <row r="81" spans="1:9" x14ac:dyDescent="0.35">
      <c r="A81" s="486"/>
      <c r="C81" s="464" t="s">
        <v>354</v>
      </c>
      <c r="D81" s="644">
        <f>'8B.)ED Shift_RedesignRateSum'!E76</f>
        <v>13.910000000000004</v>
      </c>
      <c r="E81" s="644">
        <f>'8B.)ED Shift_RedesignRateSum'!F76</f>
        <v>14.139999999999999</v>
      </c>
      <c r="F81" s="1"/>
      <c r="G81" s="644">
        <f>'9A.)HL_RedesignRateSummary'!E203</f>
        <v>12.579999999999998</v>
      </c>
      <c r="H81" s="644">
        <f>'11A.)DemandRateDesignSummary'!$E76</f>
        <v>13.029999999999998</v>
      </c>
      <c r="I81" s="1"/>
    </row>
    <row r="82" spans="1:9" x14ac:dyDescent="0.35">
      <c r="A82" s="486"/>
      <c r="C82" s="464"/>
      <c r="F82" s="1"/>
      <c r="G82" s="1"/>
      <c r="H82" s="1090"/>
      <c r="I82" s="1"/>
    </row>
    <row r="83" spans="1:9" ht="15" thickBot="1" x14ac:dyDescent="0.4">
      <c r="A83" s="486"/>
      <c r="C83" s="1108"/>
      <c r="D83" s="1108"/>
      <c r="E83" s="1108"/>
      <c r="F83" s="1094"/>
      <c r="G83" s="1094"/>
      <c r="H83" s="1090"/>
      <c r="I83" s="1094"/>
    </row>
    <row r="84" spans="1:9" ht="15" thickBot="1" x14ac:dyDescent="0.4">
      <c r="A84" s="486"/>
      <c r="B84" s="858" t="s">
        <v>544</v>
      </c>
      <c r="C84" s="1097" t="s">
        <v>529</v>
      </c>
      <c r="D84" s="400" t="s">
        <v>2186</v>
      </c>
      <c r="E84" s="436"/>
      <c r="F84" s="1"/>
      <c r="G84" s="1"/>
      <c r="H84" s="1090"/>
      <c r="I84" s="1"/>
    </row>
    <row r="85" spans="1:9" x14ac:dyDescent="0.35">
      <c r="F85" s="1"/>
      <c r="G85" s="1298" t="str">
        <f>G$5</f>
        <v>5% Differentials &amp; 3-Yr Phasing</v>
      </c>
      <c r="H85" s="1298"/>
      <c r="I85" s="1"/>
    </row>
    <row r="86" spans="1:9" x14ac:dyDescent="0.35">
      <c r="C86" s="1104" t="s">
        <v>527</v>
      </c>
      <c r="D86" s="1112" t="s">
        <v>170</v>
      </c>
      <c r="E86" s="367"/>
      <c r="F86" s="1071"/>
      <c r="G86" s="1109" t="str">
        <f>G$6</f>
        <v>Redesigned</v>
      </c>
      <c r="H86" s="1109" t="str">
        <f>H$6</f>
        <v>Proposed</v>
      </c>
      <c r="I86" s="1071"/>
    </row>
    <row r="87" spans="1:9" x14ac:dyDescent="0.35">
      <c r="D87" s="1109">
        <v>2019</v>
      </c>
      <c r="E87" s="367"/>
      <c r="F87" s="1071"/>
      <c r="G87" s="1110" t="str">
        <f>'9A.)HL_RedesignRateSummary'!$A143</f>
        <v>Y</v>
      </c>
      <c r="H87" s="1109"/>
      <c r="I87" s="1071"/>
    </row>
    <row r="88" spans="1:9" x14ac:dyDescent="0.35">
      <c r="C88" s="1" t="s">
        <v>932</v>
      </c>
      <c r="D88" s="643">
        <f>'9A.)HL_RedesignRateSummary'!D148</f>
        <v>0</v>
      </c>
      <c r="F88" s="1"/>
      <c r="G88" s="643">
        <f>'9A.)HL_RedesignRateSummary'!E148</f>
        <v>0</v>
      </c>
      <c r="H88" s="643">
        <f>'12A.)TODL_RateDesignSummary'!$E71</f>
        <v>0</v>
      </c>
      <c r="I88" s="1"/>
    </row>
    <row r="89" spans="1:9" x14ac:dyDescent="0.35">
      <c r="C89" s="1" t="s">
        <v>933</v>
      </c>
      <c r="D89" s="645">
        <f>'9A.)HL_RedesignRateSummary'!D149</f>
        <v>11.48</v>
      </c>
      <c r="F89" s="1"/>
      <c r="G89" s="645">
        <f>'9A.)HL_RedesignRateSummary'!E149</f>
        <v>12.71</v>
      </c>
      <c r="H89" s="645">
        <f>'12A.)TODL_RateDesignSummary'!$E72</f>
        <v>13.01</v>
      </c>
      <c r="I89" s="1"/>
    </row>
    <row r="90" spans="1:9" x14ac:dyDescent="0.35">
      <c r="C90" s="1" t="s">
        <v>934</v>
      </c>
      <c r="D90" s="645">
        <f>'9A.)HL_RedesignRateSummary'!D150</f>
        <v>5.36</v>
      </c>
      <c r="F90" s="1"/>
      <c r="G90" s="645">
        <f>'9A.)HL_RedesignRateSummary'!E150</f>
        <v>3.83</v>
      </c>
      <c r="H90" s="645">
        <f>'12A.)TODL_RateDesignSummary'!$E73</f>
        <v>3.92</v>
      </c>
      <c r="I90" s="1"/>
    </row>
    <row r="91" spans="1:9" x14ac:dyDescent="0.35">
      <c r="C91" s="1" t="s">
        <v>935</v>
      </c>
      <c r="D91" s="645">
        <f>'9A.)HL_RedesignRateSummary'!D151</f>
        <v>8.33</v>
      </c>
      <c r="F91" s="1"/>
      <c r="G91" s="645">
        <f>'9A.)HL_RedesignRateSummary'!E151</f>
        <v>8.33</v>
      </c>
      <c r="H91" s="645">
        <f>'12A.)TODL_RateDesignSummary'!$E74</f>
        <v>8.5299999999999994</v>
      </c>
      <c r="I91" s="1"/>
    </row>
    <row r="92" spans="1:9" x14ac:dyDescent="0.35">
      <c r="C92" s="1" t="s">
        <v>936</v>
      </c>
      <c r="D92" s="645">
        <f>'9A.)HL_RedesignRateSummary'!D152</f>
        <v>15.56</v>
      </c>
      <c r="F92" s="1"/>
      <c r="G92" s="645">
        <f>'9A.)HL_RedesignRateSummary'!E152</f>
        <v>16.79</v>
      </c>
      <c r="H92" s="645">
        <f>'12A.)TODL_RateDesignSummary'!$E75</f>
        <v>17.189999999999998</v>
      </c>
      <c r="I92" s="1"/>
    </row>
    <row r="93" spans="1:9" x14ac:dyDescent="0.35">
      <c r="C93" s="1" t="s">
        <v>937</v>
      </c>
      <c r="D93" s="645">
        <f>'9A.)HL_RedesignRateSummary'!D153</f>
        <v>16.7</v>
      </c>
      <c r="F93" s="1"/>
      <c r="G93" s="645">
        <f>'9A.)HL_RedesignRateSummary'!E153</f>
        <v>15.17</v>
      </c>
      <c r="H93" s="645">
        <f>'12A.)TODL_RateDesignSummary'!$E76</f>
        <v>15.53</v>
      </c>
      <c r="I93" s="1"/>
    </row>
    <row r="94" spans="1:9" x14ac:dyDescent="0.35">
      <c r="C94" s="464" t="s">
        <v>2178</v>
      </c>
      <c r="D94" s="644">
        <f>'12A.)TODL_RateDesignSummary'!$D77</f>
        <v>7.9000000000000008E-3</v>
      </c>
      <c r="F94" s="1"/>
      <c r="G94" s="644">
        <f>$D94</f>
        <v>7.9000000000000008E-3</v>
      </c>
      <c r="H94" s="644">
        <f>'12A.)TODL_RateDesignSummary'!$E77</f>
        <v>7.9000000000000008E-3</v>
      </c>
      <c r="I94" s="1"/>
    </row>
    <row r="95" spans="1:9" x14ac:dyDescent="0.35">
      <c r="F95" s="1"/>
      <c r="G95" s="1"/>
      <c r="H95" s="1090"/>
      <c r="I95" s="1"/>
    </row>
    <row r="96" spans="1:9" ht="15" thickBot="1" x14ac:dyDescent="0.4">
      <c r="C96" s="1108"/>
      <c r="D96" s="1108"/>
      <c r="E96" s="1108"/>
      <c r="F96" s="1094"/>
      <c r="G96" s="1094"/>
      <c r="H96" s="1090"/>
      <c r="I96" s="1094"/>
    </row>
    <row r="97" spans="1:9" s="143" customFormat="1" ht="15" thickBot="1" x14ac:dyDescent="0.4">
      <c r="A97" s="486"/>
      <c r="B97" s="858" t="s">
        <v>542</v>
      </c>
      <c r="C97" s="1097" t="s">
        <v>529</v>
      </c>
      <c r="D97" s="400" t="s">
        <v>2185</v>
      </c>
      <c r="E97" s="1111"/>
      <c r="F97" s="142"/>
      <c r="G97" s="142"/>
      <c r="H97" s="142"/>
      <c r="I97" s="142"/>
    </row>
    <row r="98" spans="1:9" x14ac:dyDescent="0.35">
      <c r="A98" s="486"/>
      <c r="C98" s="464"/>
      <c r="F98" s="1"/>
      <c r="G98" s="1298" t="str">
        <f>G$5</f>
        <v>5% Differentials &amp; 3-Yr Phasing</v>
      </c>
      <c r="H98" s="1298"/>
      <c r="I98" s="1"/>
    </row>
    <row r="99" spans="1:9" x14ac:dyDescent="0.35">
      <c r="A99" s="486"/>
      <c r="C99" s="1097" t="s">
        <v>527</v>
      </c>
      <c r="D99" s="1109" t="s">
        <v>170</v>
      </c>
      <c r="E99" s="1109" t="s">
        <v>170</v>
      </c>
      <c r="F99" s="1071"/>
      <c r="G99" s="1109" t="str">
        <f>G$6</f>
        <v>Redesigned</v>
      </c>
      <c r="H99" s="1109" t="str">
        <f>H$6</f>
        <v>Proposed</v>
      </c>
      <c r="I99" s="1071"/>
    </row>
    <row r="100" spans="1:9" x14ac:dyDescent="0.35">
      <c r="A100" s="486"/>
      <c r="C100" s="464"/>
      <c r="D100" s="1109">
        <v>2019</v>
      </c>
      <c r="E100" s="1109" t="s">
        <v>1308</v>
      </c>
      <c r="F100" s="1071"/>
      <c r="G100" s="1110" t="str">
        <f>'9A.)HL_RedesignRateSummary'!$A77</f>
        <v>N</v>
      </c>
      <c r="H100" s="1109"/>
      <c r="I100" s="1071"/>
    </row>
    <row r="101" spans="1:9" x14ac:dyDescent="0.35">
      <c r="A101" s="486"/>
      <c r="C101" s="3" t="s">
        <v>355</v>
      </c>
      <c r="D101" s="643">
        <f>'8B.)ED Shift_RedesignRateSum'!E85</f>
        <v>1.8100000000000002E-2</v>
      </c>
      <c r="E101" s="643">
        <f>'8B.)ED Shift_RedesignRateSum'!F85</f>
        <v>1.72E-2</v>
      </c>
      <c r="F101" s="1071"/>
      <c r="G101" s="643">
        <f>$E101</f>
        <v>1.72E-2</v>
      </c>
      <c r="H101" s="643">
        <f>'11A.)DemandRateDesignSummary'!$E93</f>
        <v>1.72E-2</v>
      </c>
      <c r="I101" s="1071"/>
    </row>
    <row r="102" spans="1:9" x14ac:dyDescent="0.35">
      <c r="A102" s="486"/>
      <c r="C102" s="3" t="s">
        <v>356</v>
      </c>
      <c r="D102" s="645">
        <f>'8B.)ED Shift_RedesignRateSum'!E86</f>
        <v>1.8100000000000002E-2</v>
      </c>
      <c r="E102" s="645">
        <f>'8B.)ED Shift_RedesignRateSum'!F86</f>
        <v>1.72E-2</v>
      </c>
      <c r="F102" s="1071"/>
      <c r="G102" s="645">
        <f>$E102</f>
        <v>1.72E-2</v>
      </c>
      <c r="H102" s="645">
        <f>'11A.)DemandRateDesignSummary'!$E94</f>
        <v>1.72E-2</v>
      </c>
      <c r="I102" s="1071"/>
    </row>
    <row r="103" spans="1:9" x14ac:dyDescent="0.35">
      <c r="A103" s="486"/>
      <c r="C103" s="464" t="s">
        <v>357</v>
      </c>
      <c r="D103" s="645">
        <f>'8B.)ED Shift_RedesignRateSum'!E87</f>
        <v>183.98</v>
      </c>
      <c r="E103" s="645">
        <f>'8B.)ED Shift_RedesignRateSum'!F87</f>
        <v>187.11</v>
      </c>
      <c r="F103" s="1"/>
      <c r="G103" s="645">
        <f>'9A.)HL_RedesignRateSummary'!E82</f>
        <v>187.11</v>
      </c>
      <c r="H103" s="645">
        <f>'11A.)DemandRateDesignSummary'!$E95</f>
        <v>208.8</v>
      </c>
      <c r="I103" s="1"/>
    </row>
    <row r="104" spans="1:9" x14ac:dyDescent="0.35">
      <c r="A104" s="486"/>
      <c r="C104" s="464" t="s">
        <v>358</v>
      </c>
      <c r="D104" s="645">
        <f>'8B.)ED Shift_RedesignRateSum'!E88</f>
        <v>33.269999999999996</v>
      </c>
      <c r="E104" s="645">
        <f>'8B.)ED Shift_RedesignRateSum'!F88</f>
        <v>33.840000000000003</v>
      </c>
      <c r="F104" s="1"/>
      <c r="G104" s="645">
        <f>'9A.)HL_RedesignRateSummary'!E83</f>
        <v>33.840000000000003</v>
      </c>
      <c r="H104" s="645">
        <f>'11A.)DemandRateDesignSummary'!$E96</f>
        <v>35.590000000000003</v>
      </c>
      <c r="I104" s="1"/>
    </row>
    <row r="105" spans="1:9" x14ac:dyDescent="0.35">
      <c r="A105" s="486"/>
      <c r="C105" s="464" t="s">
        <v>359</v>
      </c>
      <c r="D105" s="645">
        <f>'8B.)ED Shift_RedesignRateSum'!E89</f>
        <v>103.3</v>
      </c>
      <c r="E105" s="645">
        <f>'8B.)ED Shift_RedesignRateSum'!F89</f>
        <v>105.06</v>
      </c>
      <c r="F105" s="1"/>
      <c r="G105" s="645">
        <f>'9A.)HL_RedesignRateSummary'!E84</f>
        <v>105.06</v>
      </c>
      <c r="H105" s="645">
        <f>'11A.)DemandRateDesignSummary'!$E97</f>
        <v>123.61</v>
      </c>
      <c r="I105" s="1"/>
    </row>
    <row r="106" spans="1:9" x14ac:dyDescent="0.35">
      <c r="A106" s="486"/>
      <c r="C106" s="464" t="s">
        <v>360</v>
      </c>
      <c r="D106" s="645">
        <f>'8B.)ED Shift_RedesignRateSum'!E90</f>
        <v>18.66</v>
      </c>
      <c r="E106" s="645">
        <f>'8B.)ED Shift_RedesignRateSum'!F90</f>
        <v>18.98</v>
      </c>
      <c r="F106" s="1"/>
      <c r="G106" s="645">
        <f>'9A.)HL_RedesignRateSummary'!E85</f>
        <v>18.98</v>
      </c>
      <c r="H106" s="645">
        <f>'11A.)DemandRateDesignSummary'!$E98</f>
        <v>19.96</v>
      </c>
      <c r="I106" s="1"/>
    </row>
    <row r="107" spans="1:9" x14ac:dyDescent="0.35">
      <c r="A107" s="486"/>
      <c r="C107" s="3" t="s">
        <v>361</v>
      </c>
      <c r="D107" s="645">
        <f>'8B.)ED Shift_RedesignRateSum'!E91</f>
        <v>1.8100000000000002E-2</v>
      </c>
      <c r="E107" s="645">
        <f>'8B.)ED Shift_RedesignRateSum'!F91</f>
        <v>1.72E-2</v>
      </c>
      <c r="F107" s="1"/>
      <c r="G107" s="645">
        <f>$E107</f>
        <v>1.72E-2</v>
      </c>
      <c r="H107" s="645">
        <f>'11A.)DemandRateDesignSummary'!$E99</f>
        <v>1.72E-2</v>
      </c>
      <c r="I107" s="1"/>
    </row>
    <row r="108" spans="1:9" x14ac:dyDescent="0.35">
      <c r="A108" s="486"/>
      <c r="C108" s="3" t="s">
        <v>362</v>
      </c>
      <c r="D108" s="645">
        <f>'8B.)ED Shift_RedesignRateSum'!E92</f>
        <v>1.8100000000000002E-2</v>
      </c>
      <c r="E108" s="645">
        <f>'8B.)ED Shift_RedesignRateSum'!F92</f>
        <v>1.72E-2</v>
      </c>
      <c r="F108" s="1"/>
      <c r="G108" s="645">
        <f>$E108</f>
        <v>1.72E-2</v>
      </c>
      <c r="H108" s="645">
        <f>'11A.)DemandRateDesignSummary'!$E100</f>
        <v>1.72E-2</v>
      </c>
      <c r="I108" s="1"/>
    </row>
    <row r="109" spans="1:9" x14ac:dyDescent="0.35">
      <c r="A109" s="486"/>
      <c r="C109" s="464" t="s">
        <v>363</v>
      </c>
      <c r="D109" s="645">
        <f>'8B.)ED Shift_RedesignRateSum'!E93</f>
        <v>137.57</v>
      </c>
      <c r="E109" s="645">
        <f>'8B.)ED Shift_RedesignRateSum'!F93</f>
        <v>139.91</v>
      </c>
      <c r="F109" s="1"/>
      <c r="G109" s="645">
        <f>'9A.)HL_RedesignRateSummary'!E86</f>
        <v>139.91</v>
      </c>
      <c r="H109" s="645">
        <f>'11A.)DemandRateDesignSummary'!$E101</f>
        <v>159.79</v>
      </c>
      <c r="I109" s="1"/>
    </row>
    <row r="110" spans="1:9" x14ac:dyDescent="0.35">
      <c r="A110" s="486"/>
      <c r="C110" s="464" t="s">
        <v>364</v>
      </c>
      <c r="D110" s="645">
        <f>'8B.)ED Shift_RedesignRateSum'!E94</f>
        <v>24.86</v>
      </c>
      <c r="E110" s="645">
        <f>'8B.)ED Shift_RedesignRateSum'!F94</f>
        <v>25.29</v>
      </c>
      <c r="F110" s="1"/>
      <c r="G110" s="645">
        <f>'9A.)HL_RedesignRateSummary'!E87</f>
        <v>25.29</v>
      </c>
      <c r="H110" s="645">
        <f>'11A.)DemandRateDesignSummary'!$E102</f>
        <v>26.6</v>
      </c>
      <c r="I110" s="1"/>
    </row>
    <row r="111" spans="1:9" x14ac:dyDescent="0.35">
      <c r="A111" s="486"/>
      <c r="C111" s="464" t="s">
        <v>365</v>
      </c>
      <c r="D111" s="645">
        <f>'8B.)ED Shift_RedesignRateSum'!E95</f>
        <v>57.05</v>
      </c>
      <c r="E111" s="645">
        <f>'8B.)ED Shift_RedesignRateSum'!F95</f>
        <v>58.02</v>
      </c>
      <c r="F111" s="1"/>
      <c r="G111" s="645">
        <f>'9A.)HL_RedesignRateSummary'!E88</f>
        <v>58.02</v>
      </c>
      <c r="H111" s="645">
        <f>'11A.)DemandRateDesignSummary'!$E103</f>
        <v>74.760000000000005</v>
      </c>
      <c r="I111" s="1"/>
    </row>
    <row r="112" spans="1:9" x14ac:dyDescent="0.35">
      <c r="A112" s="486"/>
      <c r="C112" s="464" t="s">
        <v>366</v>
      </c>
      <c r="D112" s="644">
        <f>'8B.)ED Shift_RedesignRateSum'!E96</f>
        <v>10.27</v>
      </c>
      <c r="E112" s="644">
        <f>'8B.)ED Shift_RedesignRateSum'!F96</f>
        <v>10.450000000000001</v>
      </c>
      <c r="F112" s="1"/>
      <c r="G112" s="644">
        <f>'9A.)HL_RedesignRateSummary'!E89</f>
        <v>10.450000000000001</v>
      </c>
      <c r="H112" s="644">
        <f>'11A.)DemandRateDesignSummary'!$E104</f>
        <v>10.99</v>
      </c>
      <c r="I112" s="1"/>
    </row>
    <row r="113" spans="1:9" x14ac:dyDescent="0.35">
      <c r="A113" s="486"/>
      <c r="C113" s="464"/>
      <c r="F113" s="1"/>
      <c r="G113" s="1"/>
      <c r="H113" s="1090"/>
      <c r="I113" s="1"/>
    </row>
    <row r="114" spans="1:9" ht="15" thickBot="1" x14ac:dyDescent="0.4">
      <c r="A114" s="486"/>
      <c r="C114" s="1108"/>
      <c r="D114" s="1108"/>
      <c r="E114" s="1108"/>
      <c r="F114" s="1094"/>
      <c r="G114" s="1094"/>
      <c r="H114" s="1090"/>
      <c r="I114" s="1094"/>
    </row>
    <row r="115" spans="1:9" s="143" customFormat="1" ht="15" thickBot="1" x14ac:dyDescent="0.4">
      <c r="A115" s="486"/>
      <c r="B115" s="858" t="s">
        <v>2050</v>
      </c>
      <c r="C115" s="1097" t="s">
        <v>529</v>
      </c>
      <c r="D115" s="400" t="s">
        <v>2184</v>
      </c>
      <c r="E115" s="1111"/>
      <c r="F115" s="142"/>
      <c r="G115" s="142"/>
      <c r="H115" s="142"/>
      <c r="I115" s="142"/>
    </row>
    <row r="116" spans="1:9" x14ac:dyDescent="0.35">
      <c r="A116" s="486"/>
      <c r="F116" s="1"/>
      <c r="G116" s="1298" t="str">
        <f>G$5</f>
        <v>5% Differentials &amp; 3-Yr Phasing</v>
      </c>
      <c r="H116" s="1298"/>
      <c r="I116" s="1"/>
    </row>
    <row r="117" spans="1:9" x14ac:dyDescent="0.35">
      <c r="A117" s="486"/>
      <c r="C117" s="1104" t="s">
        <v>527</v>
      </c>
      <c r="D117" s="1109" t="s">
        <v>170</v>
      </c>
      <c r="E117" s="367"/>
      <c r="F117" s="1071"/>
      <c r="G117" s="1109" t="str">
        <f>G$6</f>
        <v>Redesigned</v>
      </c>
      <c r="H117" s="1109" t="str">
        <f>H$6</f>
        <v>Proposed</v>
      </c>
      <c r="I117" s="1071"/>
    </row>
    <row r="118" spans="1:9" x14ac:dyDescent="0.35">
      <c r="A118" s="486"/>
      <c r="D118" s="1109">
        <v>2019</v>
      </c>
      <c r="E118" s="367"/>
      <c r="F118" s="1071"/>
      <c r="G118" s="1110" t="str">
        <f>'9A.)HL_RedesignRateSummary'!$A77</f>
        <v>N</v>
      </c>
      <c r="H118" s="1109"/>
      <c r="I118" s="1071"/>
    </row>
    <row r="119" spans="1:9" x14ac:dyDescent="0.35">
      <c r="A119" s="486"/>
      <c r="C119" s="1" t="s">
        <v>882</v>
      </c>
      <c r="D119" s="643">
        <f>'9A.)HL_RedesignRateSummary'!D35</f>
        <v>0</v>
      </c>
      <c r="F119" s="1"/>
      <c r="G119" s="643">
        <f>'9A.)HL_RedesignRateSummary'!E35</f>
        <v>0</v>
      </c>
      <c r="H119" s="643">
        <f>'12A.)TODL_RateDesignSummary'!$E104</f>
        <v>0</v>
      </c>
      <c r="I119" s="1"/>
    </row>
    <row r="120" spans="1:9" x14ac:dyDescent="0.35">
      <c r="A120" s="486"/>
      <c r="C120" s="1" t="s">
        <v>883</v>
      </c>
      <c r="D120" s="645">
        <f>'9A.)HL_RedesignRateSummary'!D36</f>
        <v>13.37</v>
      </c>
      <c r="F120" s="1"/>
      <c r="G120" s="645">
        <f>'9A.)HL_RedesignRateSummary'!E36</f>
        <v>13.37</v>
      </c>
      <c r="H120" s="645">
        <f>'12A.)TODL_RateDesignSummary'!$E105</f>
        <v>13.72</v>
      </c>
      <c r="I120" s="1"/>
    </row>
    <row r="121" spans="1:9" x14ac:dyDescent="0.35">
      <c r="A121" s="486"/>
      <c r="C121" s="1" t="s">
        <v>884</v>
      </c>
      <c r="D121" s="645">
        <f>'9A.)HL_RedesignRateSummary'!D37</f>
        <v>8.43</v>
      </c>
      <c r="F121" s="1"/>
      <c r="G121" s="645">
        <f>'9A.)HL_RedesignRateSummary'!E37</f>
        <v>8.43</v>
      </c>
      <c r="H121" s="645">
        <f>'12A.)TODL_RateDesignSummary'!$E106</f>
        <v>8.65</v>
      </c>
      <c r="I121" s="1"/>
    </row>
    <row r="122" spans="1:9" x14ac:dyDescent="0.35">
      <c r="A122" s="486"/>
      <c r="C122" s="1" t="s">
        <v>885</v>
      </c>
      <c r="D122" s="645">
        <f>'9A.)HL_RedesignRateSummary'!D38</f>
        <v>8.1399999999999988</v>
      </c>
      <c r="F122" s="1"/>
      <c r="G122" s="645">
        <f>'9A.)HL_RedesignRateSummary'!E38</f>
        <v>8.1399999999999988</v>
      </c>
      <c r="H122" s="645">
        <f>'12A.)TODL_RateDesignSummary'!$E107</f>
        <v>8.3500000000000014</v>
      </c>
      <c r="I122" s="1"/>
    </row>
    <row r="123" spans="1:9" x14ac:dyDescent="0.35">
      <c r="A123" s="486"/>
      <c r="C123" s="1" t="s">
        <v>886</v>
      </c>
      <c r="D123" s="645">
        <f>'9A.)HL_RedesignRateSummary'!D39</f>
        <v>20.93</v>
      </c>
      <c r="F123" s="1"/>
      <c r="G123" s="645">
        <f>'9A.)HL_RedesignRateSummary'!E39</f>
        <v>20.93</v>
      </c>
      <c r="H123" s="645">
        <f>'12A.)TODL_RateDesignSummary'!$E108</f>
        <v>21.48</v>
      </c>
      <c r="I123" s="1"/>
    </row>
    <row r="124" spans="1:9" x14ac:dyDescent="0.35">
      <c r="A124" s="486"/>
      <c r="C124" s="1" t="s">
        <v>887</v>
      </c>
      <c r="D124" s="645">
        <f>'9A.)HL_RedesignRateSummary'!D40</f>
        <v>12.399999999999999</v>
      </c>
      <c r="F124" s="1"/>
      <c r="G124" s="645">
        <f>'9A.)HL_RedesignRateSummary'!E40</f>
        <v>12.399999999999999</v>
      </c>
      <c r="H124" s="645">
        <f>'12A.)TODL_RateDesignSummary'!$E109</f>
        <v>12.72</v>
      </c>
      <c r="I124" s="1"/>
    </row>
    <row r="125" spans="1:9" x14ac:dyDescent="0.35">
      <c r="A125" s="486"/>
      <c r="C125" s="464" t="s">
        <v>2178</v>
      </c>
      <c r="D125" s="644">
        <f>'12A.)TODL_RateDesignSummary'!$D110</f>
        <v>7.9000000000000008E-3</v>
      </c>
      <c r="F125" s="1"/>
      <c r="G125" s="644">
        <f>$D125</f>
        <v>7.9000000000000008E-3</v>
      </c>
      <c r="H125" s="644">
        <f>'12A.)TODL_RateDesignSummary'!$E110</f>
        <v>7.9000000000000008E-3</v>
      </c>
      <c r="I125" s="1"/>
    </row>
    <row r="126" spans="1:9" x14ac:dyDescent="0.35">
      <c r="A126" s="486"/>
      <c r="F126" s="1"/>
      <c r="G126" s="1"/>
      <c r="H126" s="1090"/>
      <c r="I126" s="1"/>
    </row>
    <row r="127" spans="1:9" ht="15" thickBot="1" x14ac:dyDescent="0.4">
      <c r="A127" s="486"/>
      <c r="C127" s="1108"/>
      <c r="D127" s="1108"/>
      <c r="E127" s="1108"/>
      <c r="F127" s="1"/>
      <c r="G127" s="1094"/>
      <c r="H127" s="1090"/>
      <c r="I127" s="1"/>
    </row>
    <row r="128" spans="1:9" s="143" customFormat="1" ht="15" thickBot="1" x14ac:dyDescent="0.4">
      <c r="A128" s="486"/>
      <c r="B128" s="858" t="s">
        <v>2051</v>
      </c>
      <c r="C128" s="1097" t="s">
        <v>529</v>
      </c>
      <c r="D128" s="400" t="s">
        <v>2183</v>
      </c>
      <c r="E128" s="1111"/>
      <c r="F128" s="142"/>
      <c r="G128" s="142"/>
      <c r="H128" s="142"/>
      <c r="I128" s="142"/>
    </row>
    <row r="129" spans="1:9" x14ac:dyDescent="0.35">
      <c r="A129" s="486"/>
      <c r="B129" s="464"/>
      <c r="C129" s="464"/>
      <c r="F129" s="1"/>
      <c r="G129" s="1298" t="str">
        <f>G$5</f>
        <v>5% Differentials &amp; 3-Yr Phasing</v>
      </c>
      <c r="H129" s="1298"/>
      <c r="I129" s="1"/>
    </row>
    <row r="130" spans="1:9" x14ac:dyDescent="0.35">
      <c r="A130" s="486"/>
      <c r="B130" s="464"/>
      <c r="C130" s="1097" t="s">
        <v>527</v>
      </c>
      <c r="D130" s="1109" t="s">
        <v>170</v>
      </c>
      <c r="E130" s="1109"/>
      <c r="F130" s="1071"/>
      <c r="G130" s="1109" t="str">
        <f>G$6</f>
        <v>Redesigned</v>
      </c>
      <c r="H130" s="1109" t="str">
        <f>H$6</f>
        <v>Proposed</v>
      </c>
      <c r="I130" s="1071"/>
    </row>
    <row r="131" spans="1:9" x14ac:dyDescent="0.35">
      <c r="A131" s="486"/>
      <c r="B131" s="464"/>
      <c r="C131" s="464"/>
      <c r="D131" s="1109">
        <v>2019</v>
      </c>
      <c r="E131" s="1109"/>
      <c r="F131" s="1071"/>
      <c r="G131" s="1110" t="str">
        <f>'9A.)HL_RedesignRateSummary'!$A100</f>
        <v>N</v>
      </c>
      <c r="H131" s="1109"/>
      <c r="I131" s="1071"/>
    </row>
    <row r="132" spans="1:9" x14ac:dyDescent="0.35">
      <c r="A132" s="486"/>
      <c r="B132" s="464"/>
      <c r="C132" s="406" t="s">
        <v>912</v>
      </c>
      <c r="D132" s="643">
        <f>'11A.)DemandRateDesignSummary'!$D$121</f>
        <v>0.20440000000000003</v>
      </c>
      <c r="E132" s="1109"/>
      <c r="F132" s="1071"/>
      <c r="G132" s="643">
        <f>$D132</f>
        <v>0.20440000000000003</v>
      </c>
      <c r="H132" s="643">
        <f>'11A.)DemandRateDesignSummary'!$E121</f>
        <v>0.2094</v>
      </c>
      <c r="I132" s="1071"/>
    </row>
    <row r="133" spans="1:9" x14ac:dyDescent="0.35">
      <c r="A133" s="486"/>
      <c r="B133" s="464"/>
      <c r="C133" s="406" t="s">
        <v>913</v>
      </c>
      <c r="D133" s="645">
        <f>'11A.)DemandRateDesignSummary'!$D$122</f>
        <v>0.20440000000000003</v>
      </c>
      <c r="E133" s="1109"/>
      <c r="F133" s="1071"/>
      <c r="G133" s="645">
        <f>$D133</f>
        <v>0.20440000000000003</v>
      </c>
      <c r="H133" s="645">
        <f>'11A.)DemandRateDesignSummary'!$E122</f>
        <v>0.2094</v>
      </c>
      <c r="I133" s="1071"/>
    </row>
    <row r="134" spans="1:9" x14ac:dyDescent="0.35">
      <c r="A134" s="486"/>
      <c r="B134" s="464"/>
      <c r="C134" s="464" t="str">
        <f>'9E.)HL_RedgnRate_NYPA_I'!$A13</f>
        <v>NYPA LT Demand (Summer)</v>
      </c>
      <c r="D134" s="645">
        <f>'9A.)HL_RedesignRateSummary'!D105</f>
        <v>27.55</v>
      </c>
      <c r="F134" s="1"/>
      <c r="G134" s="645">
        <f>'9A.)HL_RedesignRateSummary'!E105</f>
        <v>27.55</v>
      </c>
      <c r="H134" s="645">
        <f>'11A.)DemandRateDesignSummary'!$E123</f>
        <v>28.23</v>
      </c>
      <c r="I134" s="1"/>
    </row>
    <row r="135" spans="1:9" x14ac:dyDescent="0.35">
      <c r="A135" s="486"/>
      <c r="B135" s="464"/>
      <c r="C135" s="464" t="str">
        <f>'9E.)HL_RedgnRate_NYPA_I'!$A15</f>
        <v>NYPA LT Demand (Winter)</v>
      </c>
      <c r="D135" s="645">
        <f>'9A.)HL_RedesignRateSummary'!D106</f>
        <v>27.55</v>
      </c>
      <c r="F135" s="1"/>
      <c r="G135" s="645">
        <f>'9A.)HL_RedesignRateSummary'!E106</f>
        <v>27.55</v>
      </c>
      <c r="H135" s="645">
        <f>'11A.)DemandRateDesignSummary'!$E124</f>
        <v>28.23</v>
      </c>
      <c r="I135" s="1"/>
    </row>
    <row r="136" spans="1:9" x14ac:dyDescent="0.35">
      <c r="A136" s="486"/>
      <c r="B136" s="464"/>
      <c r="C136" s="406" t="s">
        <v>916</v>
      </c>
      <c r="D136" s="645">
        <f>'11A.)DemandRateDesignSummary'!$D$125</f>
        <v>0.20440000000000003</v>
      </c>
      <c r="F136" s="1"/>
      <c r="G136" s="645">
        <f>$D136</f>
        <v>0.20440000000000003</v>
      </c>
      <c r="H136" s="645">
        <f>'11A.)DemandRateDesignSummary'!$E125</f>
        <v>0.2094</v>
      </c>
      <c r="I136" s="1"/>
    </row>
    <row r="137" spans="1:9" x14ac:dyDescent="0.35">
      <c r="A137" s="486"/>
      <c r="B137" s="464"/>
      <c r="C137" s="406" t="s">
        <v>917</v>
      </c>
      <c r="D137" s="645">
        <f>'11A.)DemandRateDesignSummary'!$D$126</f>
        <v>0.20440000000000003</v>
      </c>
      <c r="F137" s="1"/>
      <c r="G137" s="645">
        <f>$D137</f>
        <v>0.20440000000000003</v>
      </c>
      <c r="H137" s="645">
        <f>'11A.)DemandRateDesignSummary'!$E126</f>
        <v>0.2094</v>
      </c>
      <c r="I137" s="1"/>
    </row>
    <row r="138" spans="1:9" x14ac:dyDescent="0.35">
      <c r="A138" s="486"/>
      <c r="B138" s="464"/>
      <c r="C138" s="464" t="str">
        <f>'9E.)HL_RedgnRate_NYPA_I'!$A17</f>
        <v>NYPA HT Demand (Summer)</v>
      </c>
      <c r="D138" s="645">
        <f>'9A.)HL_RedesignRateSummary'!D107</f>
        <v>19.14</v>
      </c>
      <c r="F138" s="1"/>
      <c r="G138" s="645">
        <f>'9A.)HL_RedesignRateSummary'!E107</f>
        <v>19.14</v>
      </c>
      <c r="H138" s="645">
        <f>'11A.)DemandRateDesignSummary'!$E127</f>
        <v>19.61</v>
      </c>
      <c r="I138" s="1"/>
    </row>
    <row r="139" spans="1:9" x14ac:dyDescent="0.35">
      <c r="A139" s="486"/>
      <c r="C139" s="464" t="str">
        <f>'9E.)HL_RedgnRate_NYPA_I'!$A19</f>
        <v>NYPA HT Demand (Winter)</v>
      </c>
      <c r="D139" s="644">
        <f>'9A.)HL_RedesignRateSummary'!D108</f>
        <v>19.14</v>
      </c>
      <c r="F139" s="1"/>
      <c r="G139" s="644">
        <f>'9A.)HL_RedesignRateSummary'!E108</f>
        <v>19.14</v>
      </c>
      <c r="H139" s="644">
        <f>'11A.)DemandRateDesignSummary'!$E128</f>
        <v>19.61</v>
      </c>
      <c r="I139" s="1"/>
    </row>
    <row r="140" spans="1:9" x14ac:dyDescent="0.35">
      <c r="A140" s="486"/>
      <c r="C140" s="464"/>
      <c r="F140" s="1"/>
      <c r="G140" s="1"/>
      <c r="H140" s="1"/>
      <c r="I140" s="1"/>
    </row>
    <row r="141" spans="1:9" ht="15" thickBot="1" x14ac:dyDescent="0.4">
      <c r="A141" s="486"/>
      <c r="C141" s="1108"/>
      <c r="D141" s="1108"/>
      <c r="E141" s="1108"/>
      <c r="F141" s="1094"/>
      <c r="G141" s="1094"/>
      <c r="H141" s="1090"/>
      <c r="I141" s="1094"/>
    </row>
    <row r="142" spans="1:9" ht="15" thickBot="1" x14ac:dyDescent="0.4">
      <c r="A142" s="486"/>
      <c r="B142" s="858" t="s">
        <v>2177</v>
      </c>
      <c r="C142" s="1097" t="s">
        <v>529</v>
      </c>
      <c r="D142" s="1098" t="s">
        <v>2182</v>
      </c>
      <c r="E142" s="1102"/>
      <c r="F142" s="1"/>
      <c r="G142" s="1"/>
      <c r="H142" s="1090"/>
      <c r="I142" s="1"/>
    </row>
    <row r="143" spans="1:9" x14ac:dyDescent="0.35">
      <c r="F143" s="1"/>
      <c r="G143" s="1298" t="str">
        <f>G$5</f>
        <v>5% Differentials &amp; 3-Yr Phasing</v>
      </c>
      <c r="H143" s="1298"/>
      <c r="I143" s="1"/>
    </row>
    <row r="144" spans="1:9" x14ac:dyDescent="0.35">
      <c r="C144" s="1104" t="s">
        <v>527</v>
      </c>
      <c r="D144" s="1109" t="s">
        <v>170</v>
      </c>
      <c r="E144" s="367"/>
      <c r="F144" s="1071"/>
      <c r="G144" s="1109" t="str">
        <f>G$6</f>
        <v>Redesigned</v>
      </c>
      <c r="H144" s="1109" t="str">
        <f>H$6</f>
        <v>Proposed</v>
      </c>
      <c r="I144" s="1071"/>
    </row>
    <row r="145" spans="1:9" x14ac:dyDescent="0.35">
      <c r="D145" s="1109">
        <v>2019</v>
      </c>
      <c r="E145" s="367"/>
      <c r="F145" s="1071"/>
      <c r="G145" s="1110" t="str">
        <f>'9A.)HL_RedesignRateSummary'!$A215</f>
        <v>Y</v>
      </c>
      <c r="H145" s="1109"/>
      <c r="I145" s="1071"/>
    </row>
    <row r="146" spans="1:9" x14ac:dyDescent="0.35">
      <c r="C146" s="1" t="s">
        <v>920</v>
      </c>
      <c r="D146" s="643">
        <f>'9A.)HL_RedesignRateSummary'!D220</f>
        <v>0</v>
      </c>
      <c r="F146" s="1"/>
      <c r="G146" s="643">
        <f>'9A.)HL_RedesignRateSummary'!E220</f>
        <v>0</v>
      </c>
      <c r="H146" s="643">
        <f>'12A.)TODL_RateDesignSummary'!$E165</f>
        <v>0</v>
      </c>
      <c r="I146" s="1"/>
    </row>
    <row r="147" spans="1:9" x14ac:dyDescent="0.35">
      <c r="C147" s="1" t="s">
        <v>921</v>
      </c>
      <c r="D147" s="645">
        <f>'9A.)HL_RedesignRateSummary'!D221</f>
        <v>11.89</v>
      </c>
      <c r="F147" s="1"/>
      <c r="G147" s="645">
        <f>'9A.)HL_RedesignRateSummary'!E221</f>
        <v>13.2</v>
      </c>
      <c r="H147" s="645">
        <f>'12A.)TODL_RateDesignSummary'!$E166</f>
        <v>13.52</v>
      </c>
      <c r="I147" s="1"/>
    </row>
    <row r="148" spans="1:9" x14ac:dyDescent="0.35">
      <c r="C148" s="1" t="s">
        <v>922</v>
      </c>
      <c r="D148" s="645">
        <f>'9A.)HL_RedesignRateSummary'!D222</f>
        <v>7.11</v>
      </c>
      <c r="F148" s="1"/>
      <c r="G148" s="645">
        <f>'9A.)HL_RedesignRateSummary'!E222</f>
        <v>4.7300000000000004</v>
      </c>
      <c r="H148" s="645">
        <f>'12A.)TODL_RateDesignSummary'!$E167</f>
        <v>4.84</v>
      </c>
      <c r="I148" s="1"/>
    </row>
    <row r="149" spans="1:9" x14ac:dyDescent="0.35">
      <c r="C149" s="1" t="s">
        <v>923</v>
      </c>
      <c r="D149" s="645">
        <f>'9A.)HL_RedesignRateSummary'!D223</f>
        <v>7.4</v>
      </c>
      <c r="F149" s="1"/>
      <c r="G149" s="645">
        <f>'9A.)HL_RedesignRateSummary'!E223</f>
        <v>7.4</v>
      </c>
      <c r="H149" s="645">
        <f>'12A.)TODL_RateDesignSummary'!$E168</f>
        <v>7.5799999999999992</v>
      </c>
      <c r="I149" s="1"/>
    </row>
    <row r="150" spans="1:9" x14ac:dyDescent="0.35">
      <c r="C150" s="1" t="s">
        <v>924</v>
      </c>
      <c r="D150" s="645">
        <f>'9A.)HL_RedesignRateSummary'!D224</f>
        <v>20.46</v>
      </c>
      <c r="F150" s="1"/>
      <c r="G150" s="645">
        <f>'9A.)HL_RedesignRateSummary'!E224</f>
        <v>21.77</v>
      </c>
      <c r="H150" s="645">
        <f>'12A.)TODL_RateDesignSummary'!$E169</f>
        <v>22.299999999999997</v>
      </c>
      <c r="I150" s="1"/>
    </row>
    <row r="151" spans="1:9" x14ac:dyDescent="0.35">
      <c r="C151" s="1" t="s">
        <v>925</v>
      </c>
      <c r="D151" s="644">
        <f>'9A.)HL_RedesignRateSummary'!D225</f>
        <v>22.47</v>
      </c>
      <c r="F151" s="1"/>
      <c r="G151" s="644">
        <f>'9A.)HL_RedesignRateSummary'!E225</f>
        <v>20.09</v>
      </c>
      <c r="H151" s="644">
        <f>'12A.)TODL_RateDesignSummary'!$E170</f>
        <v>20.58</v>
      </c>
      <c r="I151" s="1"/>
    </row>
    <row r="152" spans="1:9" x14ac:dyDescent="0.35">
      <c r="F152" s="1"/>
      <c r="G152" s="1"/>
      <c r="H152" s="1"/>
      <c r="I152" s="1"/>
    </row>
    <row r="153" spans="1:9" ht="15" thickBot="1" x14ac:dyDescent="0.4">
      <c r="C153" s="1108"/>
      <c r="D153" s="1108"/>
      <c r="E153" s="1108"/>
      <c r="F153" s="1094"/>
      <c r="G153" s="1094"/>
      <c r="H153" s="1090"/>
      <c r="I153" s="1094"/>
    </row>
    <row r="154" spans="1:9" s="143" customFormat="1" ht="15" thickBot="1" x14ac:dyDescent="0.4">
      <c r="A154" s="486"/>
      <c r="B154" s="858" t="s">
        <v>2181</v>
      </c>
      <c r="C154" s="1097" t="s">
        <v>529</v>
      </c>
      <c r="D154" s="400" t="s">
        <v>2180</v>
      </c>
      <c r="E154" s="1111"/>
      <c r="F154" s="142"/>
      <c r="G154" s="142"/>
      <c r="H154" s="142"/>
      <c r="I154" s="142"/>
    </row>
    <row r="155" spans="1:9" x14ac:dyDescent="0.35">
      <c r="A155" s="486"/>
      <c r="F155" s="1"/>
      <c r="G155" s="1298" t="str">
        <f>G$5</f>
        <v>5% Differentials &amp; 3-Yr Phasing</v>
      </c>
      <c r="H155" s="1298"/>
      <c r="I155" s="1"/>
    </row>
    <row r="156" spans="1:9" x14ac:dyDescent="0.35">
      <c r="A156" s="486"/>
      <c r="C156" s="1104" t="s">
        <v>527</v>
      </c>
      <c r="D156" s="1109" t="s">
        <v>170</v>
      </c>
      <c r="E156" s="367"/>
      <c r="F156" s="1071"/>
      <c r="G156" s="1109" t="str">
        <f>G$6</f>
        <v>Redesigned</v>
      </c>
      <c r="H156" s="1109" t="str">
        <f>H$6</f>
        <v>Proposed</v>
      </c>
      <c r="I156" s="1071"/>
    </row>
    <row r="157" spans="1:9" x14ac:dyDescent="0.35">
      <c r="A157" s="486"/>
      <c r="D157" s="1109">
        <v>2019</v>
      </c>
      <c r="E157" s="367"/>
      <c r="F157" s="1071"/>
      <c r="G157" s="1110" t="s">
        <v>2179</v>
      </c>
      <c r="H157" s="1109"/>
      <c r="I157" s="1071"/>
    </row>
    <row r="158" spans="1:9" x14ac:dyDescent="0.35">
      <c r="A158" s="486"/>
      <c r="C158" s="1" t="s">
        <v>927</v>
      </c>
      <c r="D158" s="643">
        <f>'12A.)TODL_RateDesignSummary'!$D134</f>
        <v>0</v>
      </c>
      <c r="F158" s="1"/>
      <c r="G158" s="643">
        <f t="shared" ref="G158:G164" si="0">$D158</f>
        <v>0</v>
      </c>
      <c r="H158" s="643">
        <f>'12A.)TODL_RateDesignSummary'!$E134</f>
        <v>0</v>
      </c>
      <c r="I158" s="1"/>
    </row>
    <row r="159" spans="1:9" x14ac:dyDescent="0.35">
      <c r="A159" s="486"/>
      <c r="C159" s="1" t="s">
        <v>928</v>
      </c>
      <c r="D159" s="645">
        <f>'12A.)TODL_RateDesignSummary'!$D135</f>
        <v>8.08</v>
      </c>
      <c r="F159" s="1"/>
      <c r="G159" s="645">
        <f t="shared" si="0"/>
        <v>8.08</v>
      </c>
      <c r="H159" s="645">
        <f>'12A.)TODL_RateDesignSummary'!$E135</f>
        <v>8.2899999999999991</v>
      </c>
      <c r="I159" s="1"/>
    </row>
    <row r="160" spans="1:9" x14ac:dyDescent="0.35">
      <c r="A160" s="486"/>
      <c r="C160" s="1" t="s">
        <v>929</v>
      </c>
      <c r="D160" s="645">
        <f>'12A.)TODL_RateDesignSummary'!$D136</f>
        <v>0</v>
      </c>
      <c r="F160" s="1"/>
      <c r="G160" s="645">
        <f t="shared" si="0"/>
        <v>0</v>
      </c>
      <c r="H160" s="645">
        <f>'12A.)TODL_RateDesignSummary'!$E136</f>
        <v>0</v>
      </c>
      <c r="I160" s="1"/>
    </row>
    <row r="161" spans="1:9" x14ac:dyDescent="0.35">
      <c r="A161" s="486"/>
      <c r="C161" s="1" t="s">
        <v>930</v>
      </c>
      <c r="D161" s="645">
        <f>'12A.)TODL_RateDesignSummary'!$D137</f>
        <v>5.87</v>
      </c>
      <c r="F161" s="1"/>
      <c r="G161" s="645">
        <f t="shared" si="0"/>
        <v>5.87</v>
      </c>
      <c r="H161" s="645">
        <f>'12A.)TODL_RateDesignSummary'!$E137</f>
        <v>6.02</v>
      </c>
      <c r="I161" s="1"/>
    </row>
    <row r="162" spans="1:9" x14ac:dyDescent="0.35">
      <c r="A162" s="486"/>
      <c r="C162" s="1" t="s">
        <v>931</v>
      </c>
      <c r="D162" s="645">
        <f>'12A.)TODL_RateDesignSummary'!$D138</f>
        <v>13.129999999999999</v>
      </c>
      <c r="F162" s="1"/>
      <c r="G162" s="645">
        <f t="shared" si="0"/>
        <v>13.129999999999999</v>
      </c>
      <c r="H162" s="645">
        <f>'12A.)TODL_RateDesignSummary'!$E138</f>
        <v>13.469999999999999</v>
      </c>
      <c r="I162" s="1"/>
    </row>
    <row r="163" spans="1:9" x14ac:dyDescent="0.35">
      <c r="A163" s="486"/>
      <c r="C163" s="1" t="s">
        <v>926</v>
      </c>
      <c r="D163" s="645">
        <f>'12A.)TODL_RateDesignSummary'!$D139</f>
        <v>0</v>
      </c>
      <c r="F163" s="1"/>
      <c r="G163" s="645">
        <f t="shared" si="0"/>
        <v>0</v>
      </c>
      <c r="H163" s="645">
        <f>'12A.)TODL_RateDesignSummary'!$E139</f>
        <v>0</v>
      </c>
      <c r="I163" s="1"/>
    </row>
    <row r="164" spans="1:9" x14ac:dyDescent="0.35">
      <c r="A164" s="486"/>
      <c r="C164" s="464" t="s">
        <v>2178</v>
      </c>
      <c r="D164" s="644">
        <f>'12A.)TODL_RateDesignSummary'!$D140</f>
        <v>7.9000000000000008E-3</v>
      </c>
      <c r="F164" s="1"/>
      <c r="G164" s="644">
        <f t="shared" si="0"/>
        <v>7.9000000000000008E-3</v>
      </c>
      <c r="H164" s="644">
        <f>'12A.)TODL_RateDesignSummary'!$E140</f>
        <v>7.9000000000000008E-3</v>
      </c>
      <c r="I164" s="1"/>
    </row>
    <row r="165" spans="1:9" x14ac:dyDescent="0.35">
      <c r="A165" s="486"/>
      <c r="D165" s="1"/>
      <c r="E165" s="1"/>
      <c r="F165" s="1"/>
      <c r="G165" s="1"/>
      <c r="H165" s="1"/>
      <c r="I165" s="1"/>
    </row>
    <row r="166" spans="1:9" x14ac:dyDescent="0.35">
      <c r="A166" s="486"/>
      <c r="C166" s="1108"/>
      <c r="D166" s="1108"/>
      <c r="E166" s="1108"/>
      <c r="F166" s="1"/>
      <c r="G166" s="1094"/>
      <c r="H166" s="1090"/>
      <c r="I166" s="1"/>
    </row>
    <row r="167" spans="1:9" x14ac:dyDescent="0.35">
      <c r="C167" s="1108"/>
      <c r="D167" s="1108"/>
      <c r="E167" s="1108"/>
      <c r="F167" s="1108"/>
      <c r="G167" s="1108"/>
      <c r="I167" s="1108"/>
    </row>
    <row r="168" spans="1:9" x14ac:dyDescent="0.35">
      <c r="C168" s="1108"/>
      <c r="D168" s="1108"/>
      <c r="E168" s="1108"/>
      <c r="F168" s="1108"/>
      <c r="G168" s="1108"/>
      <c r="I168" s="1108"/>
    </row>
    <row r="169" spans="1:9" x14ac:dyDescent="0.35">
      <c r="C169" s="1108"/>
      <c r="D169" s="1108"/>
      <c r="E169" s="1108"/>
      <c r="F169" s="1108"/>
      <c r="G169" s="1108"/>
      <c r="I169" s="1108"/>
    </row>
    <row r="170" spans="1:9" x14ac:dyDescent="0.35">
      <c r="C170" s="1108"/>
      <c r="D170" s="1108"/>
      <c r="E170" s="1108"/>
      <c r="F170" s="1108"/>
      <c r="G170" s="1108"/>
      <c r="H170" s="1108"/>
      <c r="I170" s="1108"/>
    </row>
    <row r="171" spans="1:9" x14ac:dyDescent="0.35">
      <c r="C171" s="1108"/>
      <c r="D171" s="1108"/>
      <c r="E171" s="1108"/>
      <c r="F171" s="1108"/>
      <c r="G171" s="1108"/>
      <c r="H171" s="1108"/>
      <c r="I171" s="1108"/>
    </row>
    <row r="172" spans="1:9" x14ac:dyDescent="0.35">
      <c r="C172" s="1108"/>
      <c r="D172" s="1108"/>
      <c r="E172" s="1108"/>
      <c r="F172" s="1108"/>
      <c r="G172" s="1108"/>
      <c r="H172" s="1108"/>
      <c r="I172" s="1108"/>
    </row>
    <row r="173" spans="1:9" x14ac:dyDescent="0.35">
      <c r="C173" s="1108"/>
      <c r="D173" s="1108"/>
      <c r="E173" s="1108"/>
      <c r="F173" s="1108"/>
      <c r="G173" s="1108"/>
      <c r="H173" s="1108"/>
      <c r="I173" s="1108"/>
    </row>
    <row r="174" spans="1:9" x14ac:dyDescent="0.35">
      <c r="C174" s="1108"/>
      <c r="D174" s="1108"/>
      <c r="E174" s="1108"/>
      <c r="F174" s="1108"/>
      <c r="G174" s="1108"/>
      <c r="H174" s="1108"/>
      <c r="I174" s="1108"/>
    </row>
    <row r="175" spans="1:9" x14ac:dyDescent="0.35">
      <c r="C175" s="1108"/>
      <c r="D175" s="1108"/>
      <c r="E175" s="1108"/>
      <c r="F175" s="1108"/>
      <c r="G175" s="1108"/>
      <c r="H175" s="1108"/>
      <c r="I175" s="1108"/>
    </row>
  </sheetData>
  <mergeCells count="11">
    <mergeCell ref="G36:H36"/>
    <mergeCell ref="G54:H54"/>
    <mergeCell ref="G5:H5"/>
    <mergeCell ref="G23:H23"/>
    <mergeCell ref="G155:H155"/>
    <mergeCell ref="G129:H129"/>
    <mergeCell ref="G143:H143"/>
    <mergeCell ref="G98:H98"/>
    <mergeCell ref="G116:H116"/>
    <mergeCell ref="G67:H67"/>
    <mergeCell ref="G85:H85"/>
  </mergeCells>
  <printOptions horizontalCentered="1"/>
  <pageMargins left="0.2" right="0.2" top="0.5" bottom="0.25" header="0.3" footer="0.05"/>
  <pageSetup scale="60" fitToHeight="2" orientation="landscape" r:id="rId1"/>
  <headerFooter>
    <oddFooter>&amp;C&amp;F (Tab: &amp;A)&amp;RPage &amp;P / &amp;N</oddFooter>
  </headerFooter>
  <rowBreaks count="2" manualBreakCount="2">
    <brk id="51" max="16383" man="1"/>
    <brk id="11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O70"/>
  <sheetViews>
    <sheetView workbookViewId="0">
      <selection activeCell="H17" sqref="H17"/>
    </sheetView>
  </sheetViews>
  <sheetFormatPr defaultColWidth="8.81640625" defaultRowHeight="14.5" outlineLevelCol="1" x14ac:dyDescent="0.35"/>
  <cols>
    <col min="1" max="1" width="18.54296875" style="3" customWidth="1"/>
    <col min="2" max="2" width="3.1796875" style="3" customWidth="1" outlineLevel="1"/>
    <col min="3" max="3" width="28" style="3" customWidth="1"/>
    <col min="4" max="5" width="18.7265625" style="3" customWidth="1"/>
    <col min="6" max="6" width="3.7265625" style="3" customWidth="1"/>
    <col min="7" max="11" width="25.453125" style="3" customWidth="1"/>
    <col min="12" max="12" width="4.81640625" style="3" customWidth="1"/>
    <col min="13" max="13" width="8.81640625" style="3"/>
    <col min="14" max="15" width="20.26953125" style="3" customWidth="1"/>
    <col min="16" max="16" width="17.453125" style="3" customWidth="1"/>
    <col min="17" max="16384" width="8.81640625" style="3"/>
  </cols>
  <sheetData>
    <row r="1" spans="1:15" ht="18.5" x14ac:dyDescent="0.35">
      <c r="A1" s="238" t="s">
        <v>1058</v>
      </c>
      <c r="B1" s="298"/>
      <c r="H1" s="1041"/>
      <c r="I1" s="1041"/>
      <c r="J1" s="1041"/>
      <c r="K1" s="1041"/>
      <c r="L1" s="101"/>
      <c r="M1" s="101"/>
      <c r="N1" s="101"/>
      <c r="O1" s="101"/>
    </row>
    <row r="2" spans="1:15" ht="15.5" x14ac:dyDescent="0.35">
      <c r="A2" s="190" t="s">
        <v>762</v>
      </c>
      <c r="B2" s="298"/>
      <c r="G2" s="101"/>
      <c r="H2" s="101"/>
      <c r="I2" s="101"/>
      <c r="J2" s="101"/>
      <c r="K2" s="101"/>
      <c r="L2" s="101"/>
      <c r="M2" s="101"/>
      <c r="N2" s="101"/>
      <c r="O2" s="101"/>
    </row>
    <row r="3" spans="1:15" ht="15.5" x14ac:dyDescent="0.35">
      <c r="A3" s="190" t="s">
        <v>1059</v>
      </c>
      <c r="B3" s="298"/>
      <c r="G3" s="101"/>
      <c r="H3" s="101"/>
      <c r="I3" s="101"/>
      <c r="J3" s="101"/>
      <c r="K3" s="101"/>
      <c r="L3" s="101"/>
      <c r="M3" s="101"/>
      <c r="N3" s="101"/>
      <c r="O3" s="101"/>
    </row>
    <row r="4" spans="1:15" ht="18.5" x14ac:dyDescent="0.35">
      <c r="A4" s="238"/>
      <c r="B4" s="298"/>
      <c r="E4" s="586"/>
      <c r="G4" s="422" t="str">
        <f>'8B.)ED Shift_RedesignRateSum'!N2</f>
        <v>Y</v>
      </c>
      <c r="H4" s="422" t="str">
        <f>'8B.)ED Shift_RedesignRateSum'!N3</f>
        <v>N</v>
      </c>
      <c r="I4" s="422" t="str">
        <f>'8B.)ED Shift_RedesignRateSum'!N4</f>
        <v>N</v>
      </c>
      <c r="J4" s="422" t="str">
        <f>'8B.)ED Shift_RedesignRateSum'!N5</f>
        <v>N</v>
      </c>
      <c r="K4" s="422" t="str">
        <f>'8B.)ED Shift_RedesignRateSum'!N6</f>
        <v>N</v>
      </c>
      <c r="L4" s="101"/>
      <c r="M4" s="101"/>
      <c r="N4" s="101"/>
      <c r="O4" s="101"/>
    </row>
    <row r="5" spans="1:15" x14ac:dyDescent="0.35">
      <c r="A5" s="561"/>
      <c r="E5" s="75" t="s">
        <v>369</v>
      </c>
      <c r="G5" s="101" t="s">
        <v>1048</v>
      </c>
      <c r="H5" s="101" t="s">
        <v>1049</v>
      </c>
      <c r="I5" s="101" t="s">
        <v>1050</v>
      </c>
      <c r="J5" s="101" t="s">
        <v>1051</v>
      </c>
      <c r="K5" s="101" t="s">
        <v>1052</v>
      </c>
      <c r="L5" s="101"/>
      <c r="M5" s="101"/>
      <c r="N5" s="101"/>
      <c r="O5" s="101"/>
    </row>
    <row r="6" spans="1:15" x14ac:dyDescent="0.35">
      <c r="B6" s="563">
        <v>1</v>
      </c>
      <c r="G6" s="797">
        <f>'8B.)ED Shift_RedesignRateSum'!M2</f>
        <v>0.05</v>
      </c>
      <c r="H6" s="797">
        <f>'8B.)ED Shift_RedesignRateSum'!M3</f>
        <v>7.0000000000000007E-2</v>
      </c>
      <c r="I6" s="797">
        <f>'8B.)ED Shift_RedesignRateSum'!M4</f>
        <v>0.1</v>
      </c>
      <c r="J6" s="797">
        <f>'8B.)ED Shift_RedesignRateSum'!M5</f>
        <v>0.15</v>
      </c>
      <c r="K6" s="797">
        <f>'8B.)ED Shift_RedesignRateSum'!M6</f>
        <v>0.2</v>
      </c>
      <c r="L6" s="101"/>
      <c r="M6" s="101"/>
      <c r="N6" s="101"/>
      <c r="O6" s="101"/>
    </row>
    <row r="7" spans="1:15" ht="28.9" customHeight="1" x14ac:dyDescent="0.35">
      <c r="B7" s="563">
        <v>2</v>
      </c>
      <c r="C7" s="100" t="s">
        <v>374</v>
      </c>
      <c r="D7" s="306" t="str">
        <f>CONCATENATE('[2]4C.)HY_DemandRatePxOut(Rate I)'!$R$3," Excl.EDB")</f>
        <v>2019 Excl.EDB</v>
      </c>
      <c r="E7" s="306" t="str">
        <f>CONCATENATE('[2]4C.)HY_DemandRatePxOut(Rate I)'!$R$3," Incl.EDB")</f>
        <v>2019 Incl.EDB</v>
      </c>
      <c r="G7" s="302" t="str">
        <f>CONCATENATE("Shift of ",G6*100,"%")</f>
        <v>Shift of 5%</v>
      </c>
      <c r="H7" s="302" t="str">
        <f>CONCATENATE("Shift of ",H6*100,"%")</f>
        <v>Shift of 7%</v>
      </c>
      <c r="I7" s="302" t="str">
        <f>CONCATENATE("Shift of ",I6*100,"%")</f>
        <v>Shift of 10%</v>
      </c>
      <c r="J7" s="302" t="str">
        <f>CONCATENATE("Shift of ",J6*100,"%")</f>
        <v>Shift of 15%</v>
      </c>
      <c r="K7" s="302" t="str">
        <f>CONCATENATE("Shift of ",K6*100,"%")</f>
        <v>Shift of 20%</v>
      </c>
      <c r="L7" s="101"/>
      <c r="M7" s="101"/>
      <c r="N7" s="101"/>
      <c r="O7" s="101"/>
    </row>
    <row r="8" spans="1:15" ht="21" customHeight="1" x14ac:dyDescent="0.35">
      <c r="B8" s="563">
        <v>3</v>
      </c>
      <c r="D8" s="118" t="s">
        <v>6</v>
      </c>
      <c r="E8" s="118" t="s">
        <v>6</v>
      </c>
      <c r="G8" s="302" t="s">
        <v>373</v>
      </c>
      <c r="H8" s="302" t="s">
        <v>373</v>
      </c>
      <c r="I8" s="302" t="s">
        <v>373</v>
      </c>
      <c r="J8" s="302" t="s">
        <v>373</v>
      </c>
      <c r="K8" s="302" t="s">
        <v>373</v>
      </c>
      <c r="L8" s="101"/>
      <c r="M8" s="101"/>
      <c r="N8" s="101"/>
      <c r="O8" s="101"/>
    </row>
    <row r="9" spans="1:15" x14ac:dyDescent="0.35">
      <c r="A9" s="75" t="s">
        <v>148</v>
      </c>
      <c r="B9" s="563">
        <v>4</v>
      </c>
      <c r="C9" s="3" t="s">
        <v>310</v>
      </c>
      <c r="D9" s="1027">
        <f>'[2]4A.)HY_PxOut_Summary'!$E$166+'[2]4A.)HY_PxOut_Summary'!$E$172</f>
        <v>40621</v>
      </c>
      <c r="E9" s="1027">
        <f>'[2]4A.)HY_PxOut_Summary'!$F$166+'[2]4A.)HY_PxOut_Summary'!$F$172</f>
        <v>41070</v>
      </c>
      <c r="G9" s="278">
        <f>$E9</f>
        <v>41070</v>
      </c>
      <c r="H9" s="26">
        <f>$E9</f>
        <v>41070</v>
      </c>
      <c r="I9" s="26">
        <f t="shared" ref="I9:K9" si="0">$E9</f>
        <v>41070</v>
      </c>
      <c r="J9" s="26">
        <f t="shared" si="0"/>
        <v>41070</v>
      </c>
      <c r="K9" s="26">
        <f t="shared" si="0"/>
        <v>41070</v>
      </c>
      <c r="L9" s="101"/>
      <c r="M9" s="101"/>
      <c r="N9" s="101"/>
      <c r="O9" s="101"/>
    </row>
    <row r="10" spans="1:15" x14ac:dyDescent="0.35">
      <c r="A10" s="190" t="s">
        <v>734</v>
      </c>
      <c r="B10" s="563">
        <v>5</v>
      </c>
      <c r="C10" s="3" t="s">
        <v>372</v>
      </c>
      <c r="D10" s="565"/>
      <c r="E10" s="565"/>
      <c r="G10" s="279">
        <f>ROUND($E13*G$6,0)</f>
        <v>1361</v>
      </c>
      <c r="H10" s="37">
        <f>ROUND($E13*H$6,0)</f>
        <v>1905</v>
      </c>
      <c r="I10" s="37">
        <f>ROUND($E13*I$6,0)</f>
        <v>2721</v>
      </c>
      <c r="J10" s="37">
        <f>ROUND($E13*J$6,0)</f>
        <v>4082</v>
      </c>
      <c r="K10" s="37">
        <f>ROUND($E13*K$6,0)</f>
        <v>5443</v>
      </c>
      <c r="L10" s="101"/>
      <c r="M10" s="101"/>
      <c r="N10" s="101"/>
      <c r="O10" s="101"/>
    </row>
    <row r="11" spans="1:15" x14ac:dyDescent="0.35">
      <c r="B11" s="563">
        <v>6</v>
      </c>
      <c r="C11" s="3" t="s">
        <v>371</v>
      </c>
      <c r="D11" s="565"/>
      <c r="E11" s="565"/>
      <c r="G11" s="277">
        <f>G9+G10</f>
        <v>42431</v>
      </c>
      <c r="H11" s="34">
        <f>H9+H10</f>
        <v>42975</v>
      </c>
      <c r="I11" s="34">
        <f t="shared" ref="I11:K11" si="1">I9+I10</f>
        <v>43791</v>
      </c>
      <c r="J11" s="34">
        <f t="shared" si="1"/>
        <v>45152</v>
      </c>
      <c r="K11" s="34">
        <f t="shared" si="1"/>
        <v>46513</v>
      </c>
      <c r="L11" s="101"/>
      <c r="M11" s="101"/>
      <c r="N11" s="101"/>
      <c r="O11" s="101"/>
    </row>
    <row r="12" spans="1:15" x14ac:dyDescent="0.35">
      <c r="B12" s="563">
        <v>7</v>
      </c>
      <c r="D12" s="565"/>
      <c r="E12" s="565"/>
      <c r="G12" s="277"/>
      <c r="L12" s="101"/>
      <c r="M12" s="101"/>
      <c r="N12" s="101"/>
      <c r="O12" s="101"/>
    </row>
    <row r="13" spans="1:15" x14ac:dyDescent="0.35">
      <c r="B13" s="563">
        <v>8</v>
      </c>
      <c r="C13" s="3" t="s">
        <v>311</v>
      </c>
      <c r="D13" s="1027">
        <f>'[2]4A.)HY_PxOut_Summary'!$E$153+'[2]4A.)HY_PxOut_Summary'!$E$160</f>
        <v>27213</v>
      </c>
      <c r="E13" s="1027">
        <f>'[2]4A.)HY_PxOut_Summary'!$F$153+'[2]4A.)HY_PxOut_Summary'!$F$160</f>
        <v>27213</v>
      </c>
      <c r="G13" s="277">
        <f>$E13-G10</f>
        <v>25852</v>
      </c>
      <c r="H13" s="34">
        <f>$E13-H10</f>
        <v>25308</v>
      </c>
      <c r="I13" s="34">
        <f t="shared" ref="I13:K13" si="2">$E13-I10</f>
        <v>24492</v>
      </c>
      <c r="J13" s="34">
        <f t="shared" si="2"/>
        <v>23131</v>
      </c>
      <c r="K13" s="34">
        <f t="shared" si="2"/>
        <v>21770</v>
      </c>
      <c r="L13" s="101"/>
      <c r="M13" s="101"/>
      <c r="N13" s="101"/>
      <c r="O13" s="101"/>
    </row>
    <row r="14" spans="1:15" ht="15" thickBot="1" x14ac:dyDescent="0.4">
      <c r="B14" s="563">
        <v>9</v>
      </c>
      <c r="D14" s="565"/>
      <c r="E14" s="565"/>
      <c r="G14" s="2"/>
      <c r="L14" s="101"/>
      <c r="M14" s="101"/>
      <c r="N14" s="101"/>
      <c r="O14" s="101"/>
    </row>
    <row r="15" spans="1:15" ht="15.5" thickTop="1" thickBot="1" x14ac:dyDescent="0.4">
      <c r="B15" s="563">
        <v>10</v>
      </c>
      <c r="C15" s="3" t="s">
        <v>312</v>
      </c>
      <c r="E15" s="32">
        <f>E9+E13</f>
        <v>68283</v>
      </c>
      <c r="G15" s="333">
        <f>G11+G13</f>
        <v>68283</v>
      </c>
      <c r="H15" s="243">
        <f>H11+H13</f>
        <v>68283</v>
      </c>
      <c r="I15" s="243">
        <f t="shared" ref="I15:K15" si="3">I11+I13</f>
        <v>68283</v>
      </c>
      <c r="J15" s="243">
        <f t="shared" si="3"/>
        <v>68283</v>
      </c>
      <c r="K15" s="243">
        <f t="shared" si="3"/>
        <v>68283</v>
      </c>
      <c r="L15" s="101"/>
      <c r="M15" s="101"/>
      <c r="N15" s="101"/>
      <c r="O15" s="101"/>
    </row>
    <row r="16" spans="1:15" ht="15" thickTop="1" x14ac:dyDescent="0.35">
      <c r="B16" s="563">
        <v>11</v>
      </c>
      <c r="E16" s="305"/>
      <c r="G16" s="395">
        <f>G15-$E15</f>
        <v>0</v>
      </c>
      <c r="H16" s="305">
        <f>H15-$E15</f>
        <v>0</v>
      </c>
      <c r="I16" s="305">
        <f t="shared" ref="I16:K16" si="4">I15-$E15</f>
        <v>0</v>
      </c>
      <c r="J16" s="305">
        <f t="shared" si="4"/>
        <v>0</v>
      </c>
      <c r="K16" s="305">
        <f t="shared" si="4"/>
        <v>0</v>
      </c>
      <c r="L16" s="101"/>
      <c r="M16" s="101"/>
      <c r="N16" s="101"/>
      <c r="O16" s="101"/>
    </row>
    <row r="17" spans="1:15" x14ac:dyDescent="0.35">
      <c r="B17" s="563">
        <v>12</v>
      </c>
      <c r="G17" s="2"/>
      <c r="L17" s="101"/>
      <c r="M17" s="101"/>
      <c r="N17" s="101"/>
      <c r="O17" s="101"/>
    </row>
    <row r="18" spans="1:15" x14ac:dyDescent="0.35">
      <c r="A18" s="75" t="s">
        <v>151</v>
      </c>
      <c r="B18" s="563">
        <v>13</v>
      </c>
      <c r="C18" s="3" t="s">
        <v>310</v>
      </c>
      <c r="D18" s="1027">
        <f>'[2]4A.)HY_PxOut_Summary'!$E$199+'[2]4A.)HY_PxOut_Summary'!$E$205</f>
        <v>106597638</v>
      </c>
      <c r="E18" s="1027">
        <f>'[2]4A.)HY_PxOut_Summary'!$F$199+'[2]4A.)HY_PxOut_Summary'!$F$205</f>
        <v>107799571</v>
      </c>
      <c r="G18" s="278">
        <f>$E18</f>
        <v>107799571</v>
      </c>
      <c r="H18" s="26">
        <f>$E18</f>
        <v>107799571</v>
      </c>
      <c r="I18" s="26">
        <f t="shared" ref="I18:K18" si="5">$E18</f>
        <v>107799571</v>
      </c>
      <c r="J18" s="26">
        <f t="shared" si="5"/>
        <v>107799571</v>
      </c>
      <c r="K18" s="26">
        <f t="shared" si="5"/>
        <v>107799571</v>
      </c>
      <c r="L18" s="101"/>
      <c r="M18" s="101"/>
      <c r="N18" s="101"/>
      <c r="O18" s="101"/>
    </row>
    <row r="19" spans="1:15" x14ac:dyDescent="0.35">
      <c r="A19" s="190" t="s">
        <v>734</v>
      </c>
      <c r="B19" s="563">
        <v>14</v>
      </c>
      <c r="C19" s="3" t="s">
        <v>372</v>
      </c>
      <c r="D19" s="565"/>
      <c r="E19" s="565"/>
      <c r="G19" s="279">
        <f>ROUND($E22*G$6,0)</f>
        <v>1332404</v>
      </c>
      <c r="H19" s="37">
        <f>ROUND($E22*H$6,0)</f>
        <v>1865366</v>
      </c>
      <c r="I19" s="37">
        <f>ROUND($E22*I$6,0)</f>
        <v>2664809</v>
      </c>
      <c r="J19" s="37">
        <f>ROUND($E22*J$6,0)</f>
        <v>3997213</v>
      </c>
      <c r="K19" s="37">
        <f>ROUND($E22*K$6,0)</f>
        <v>5329617</v>
      </c>
      <c r="L19" s="101"/>
      <c r="M19" s="101"/>
      <c r="N19" s="101"/>
      <c r="O19" s="101"/>
    </row>
    <row r="20" spans="1:15" x14ac:dyDescent="0.35">
      <c r="B20" s="563">
        <v>15</v>
      </c>
      <c r="C20" s="3" t="s">
        <v>371</v>
      </c>
      <c r="D20" s="565"/>
      <c r="E20" s="565"/>
      <c r="G20" s="277">
        <f>G18+G19</f>
        <v>109131975</v>
      </c>
      <c r="H20" s="34">
        <f>H18+H19</f>
        <v>109664937</v>
      </c>
      <c r="I20" s="34">
        <f t="shared" ref="I20:K20" si="6">I18+I19</f>
        <v>110464380</v>
      </c>
      <c r="J20" s="34">
        <f t="shared" si="6"/>
        <v>111796784</v>
      </c>
      <c r="K20" s="34">
        <f t="shared" si="6"/>
        <v>113129188</v>
      </c>
      <c r="L20" s="101"/>
      <c r="M20" s="101"/>
      <c r="N20" s="101"/>
      <c r="O20" s="101"/>
    </row>
    <row r="21" spans="1:15" x14ac:dyDescent="0.35">
      <c r="B21" s="563">
        <v>16</v>
      </c>
      <c r="D21" s="565"/>
      <c r="E21" s="565"/>
      <c r="G21" s="2"/>
      <c r="L21" s="101"/>
      <c r="M21" s="101"/>
      <c r="N21" s="101"/>
      <c r="O21" s="101"/>
    </row>
    <row r="22" spans="1:15" x14ac:dyDescent="0.35">
      <c r="B22" s="563">
        <v>17</v>
      </c>
      <c r="C22" s="3" t="s">
        <v>311</v>
      </c>
      <c r="D22" s="1027">
        <f>'[2]4A.)HY_PxOut_Summary'!$E$186+'[2]4A.)HY_PxOut_Summary'!$E$193</f>
        <v>26648087</v>
      </c>
      <c r="E22" s="1027">
        <f>'[2]4A.)HY_PxOut_Summary'!$F$186+'[2]4A.)HY_PxOut_Summary'!$F$193</f>
        <v>26648087</v>
      </c>
      <c r="G22" s="277">
        <f>$E22-G19</f>
        <v>25315683</v>
      </c>
      <c r="H22" s="34">
        <f>$E22-H19</f>
        <v>24782721</v>
      </c>
      <c r="I22" s="34">
        <f t="shared" ref="I22:K22" si="7">$E22-I19</f>
        <v>23983278</v>
      </c>
      <c r="J22" s="34">
        <f t="shared" si="7"/>
        <v>22650874</v>
      </c>
      <c r="K22" s="34">
        <f t="shared" si="7"/>
        <v>21318470</v>
      </c>
      <c r="L22" s="101"/>
      <c r="M22" s="101"/>
      <c r="N22" s="101"/>
      <c r="O22" s="101"/>
    </row>
    <row r="23" spans="1:15" ht="15" thickBot="1" x14ac:dyDescent="0.4">
      <c r="B23" s="563">
        <v>18</v>
      </c>
      <c r="G23" s="2"/>
      <c r="L23" s="101"/>
      <c r="M23" s="101"/>
      <c r="N23" s="101"/>
      <c r="O23" s="101"/>
    </row>
    <row r="24" spans="1:15" ht="15.5" thickTop="1" thickBot="1" x14ac:dyDescent="0.4">
      <c r="B24" s="563">
        <v>19</v>
      </c>
      <c r="C24" s="3" t="s">
        <v>312</v>
      </c>
      <c r="E24" s="32">
        <f>E18+E22</f>
        <v>134447658</v>
      </c>
      <c r="G24" s="333">
        <f>G20+G22</f>
        <v>134447658</v>
      </c>
      <c r="H24" s="243">
        <f>H20+H22</f>
        <v>134447658</v>
      </c>
      <c r="I24" s="243">
        <f t="shared" ref="I24:K24" si="8">I20+I22</f>
        <v>134447658</v>
      </c>
      <c r="J24" s="243">
        <f t="shared" si="8"/>
        <v>134447658</v>
      </c>
      <c r="K24" s="243">
        <f t="shared" si="8"/>
        <v>134447658</v>
      </c>
      <c r="L24" s="101"/>
      <c r="M24" s="101"/>
      <c r="N24" s="101"/>
      <c r="O24" s="101"/>
    </row>
    <row r="25" spans="1:15" ht="15" thickTop="1" x14ac:dyDescent="0.35">
      <c r="B25" s="563">
        <v>20</v>
      </c>
      <c r="G25" s="395">
        <f>G24-$E24</f>
        <v>0</v>
      </c>
      <c r="H25" s="305">
        <f>H24-$E24</f>
        <v>0</v>
      </c>
      <c r="I25" s="305">
        <f t="shared" ref="I25:K25" si="9">I24-$E24</f>
        <v>0</v>
      </c>
      <c r="J25" s="305">
        <f t="shared" si="9"/>
        <v>0</v>
      </c>
      <c r="K25" s="305">
        <f t="shared" si="9"/>
        <v>0</v>
      </c>
      <c r="L25" s="101"/>
      <c r="M25" s="101"/>
      <c r="N25" s="101"/>
      <c r="O25" s="101"/>
    </row>
    <row r="26" spans="1:15" x14ac:dyDescent="0.35">
      <c r="B26" s="563">
        <v>21</v>
      </c>
      <c r="G26" s="2"/>
      <c r="L26" s="101"/>
      <c r="M26" s="101"/>
      <c r="N26" s="101"/>
      <c r="O26" s="101"/>
    </row>
    <row r="27" spans="1:15" x14ac:dyDescent="0.35">
      <c r="A27" s="75" t="s">
        <v>149</v>
      </c>
      <c r="B27" s="563">
        <v>22</v>
      </c>
      <c r="C27" s="3" t="s">
        <v>310</v>
      </c>
      <c r="D27" s="1027">
        <f>'[2]4A.)HY_PxOut_Summary'!$E$226+'[2]4A.)HY_PxOut_Summary'!$E$233</f>
        <v>1099703098</v>
      </c>
      <c r="E27" s="1027">
        <f>'[2]4A.)HY_PxOut_Summary'!$F$226+'[2]4A.)HY_PxOut_Summary'!$F$233</f>
        <v>1112014517</v>
      </c>
      <c r="G27" s="278">
        <f>$E27</f>
        <v>1112014517</v>
      </c>
      <c r="H27" s="26">
        <f>$E27</f>
        <v>1112014517</v>
      </c>
      <c r="I27" s="26">
        <f t="shared" ref="I27:K27" si="10">$E27</f>
        <v>1112014517</v>
      </c>
      <c r="J27" s="26">
        <f t="shared" si="10"/>
        <v>1112014517</v>
      </c>
      <c r="K27" s="26">
        <f t="shared" si="10"/>
        <v>1112014517</v>
      </c>
      <c r="L27" s="101"/>
      <c r="M27" s="101"/>
      <c r="N27" s="101"/>
      <c r="O27" s="101"/>
    </row>
    <row r="28" spans="1:15" x14ac:dyDescent="0.35">
      <c r="A28" s="190" t="s">
        <v>734</v>
      </c>
      <c r="B28" s="563">
        <v>23</v>
      </c>
      <c r="C28" s="3" t="s">
        <v>372</v>
      </c>
      <c r="D28" s="565"/>
      <c r="E28" s="565"/>
      <c r="G28" s="279">
        <f>ROUND($E31*G$6,0)</f>
        <v>18050669</v>
      </c>
      <c r="H28" s="37">
        <f>ROUND($E31*H$6,0)</f>
        <v>25270937</v>
      </c>
      <c r="I28" s="37">
        <f>ROUND($E31*I$6,0)</f>
        <v>36101338</v>
      </c>
      <c r="J28" s="37">
        <f>ROUND($E31*J$6,0)</f>
        <v>54152007</v>
      </c>
      <c r="K28" s="37">
        <f>ROUND($E31*K$6,0)</f>
        <v>72202676</v>
      </c>
      <c r="L28" s="101"/>
      <c r="M28" s="101"/>
      <c r="N28" s="101"/>
      <c r="O28" s="101"/>
    </row>
    <row r="29" spans="1:15" x14ac:dyDescent="0.35">
      <c r="B29" s="563">
        <v>24</v>
      </c>
      <c r="C29" s="3" t="s">
        <v>371</v>
      </c>
      <c r="G29" s="277">
        <f>G27+G28</f>
        <v>1130065186</v>
      </c>
      <c r="H29" s="34">
        <f>H27+H28</f>
        <v>1137285454</v>
      </c>
      <c r="I29" s="34">
        <f t="shared" ref="I29:K29" si="11">I27+I28</f>
        <v>1148115855</v>
      </c>
      <c r="J29" s="34">
        <f t="shared" si="11"/>
        <v>1166166524</v>
      </c>
      <c r="K29" s="34">
        <f t="shared" si="11"/>
        <v>1184217193</v>
      </c>
      <c r="L29" s="101"/>
      <c r="M29" s="101"/>
      <c r="N29" s="101"/>
      <c r="O29" s="101"/>
    </row>
    <row r="30" spans="1:15" x14ac:dyDescent="0.35">
      <c r="B30" s="563">
        <v>25</v>
      </c>
      <c r="G30" s="2"/>
      <c r="L30" s="101"/>
      <c r="M30" s="101"/>
      <c r="N30" s="101"/>
      <c r="O30" s="101"/>
    </row>
    <row r="31" spans="1:15" x14ac:dyDescent="0.35">
      <c r="B31" s="563">
        <v>26</v>
      </c>
      <c r="C31" s="3" t="s">
        <v>311</v>
      </c>
      <c r="D31" s="1027">
        <f>'[2]4A.)HY_PxOut_Summary'!$E$212+'[2]4A.)HY_PxOut_Summary'!$E$219</f>
        <v>361013380</v>
      </c>
      <c r="E31" s="1027">
        <f>'[2]4A.)HY_PxOut_Summary'!$F$212+'[2]4A.)HY_PxOut_Summary'!$F$219</f>
        <v>361013380</v>
      </c>
      <c r="G31" s="277">
        <f>$E31-G28</f>
        <v>342962711</v>
      </c>
      <c r="H31" s="34">
        <f>$E31-H28</f>
        <v>335742443</v>
      </c>
      <c r="I31" s="34">
        <f t="shared" ref="I31:K31" si="12">$E31-I28</f>
        <v>324912042</v>
      </c>
      <c r="J31" s="34">
        <f t="shared" si="12"/>
        <v>306861373</v>
      </c>
      <c r="K31" s="34">
        <f t="shared" si="12"/>
        <v>288810704</v>
      </c>
      <c r="L31" s="101"/>
      <c r="M31" s="101"/>
      <c r="N31" s="101"/>
      <c r="O31" s="101"/>
    </row>
    <row r="32" spans="1:15" ht="15" thickBot="1" x14ac:dyDescent="0.4">
      <c r="B32" s="563">
        <v>27</v>
      </c>
      <c r="G32" s="2"/>
      <c r="L32" s="101"/>
      <c r="M32" s="101"/>
      <c r="N32" s="101"/>
      <c r="O32" s="101"/>
    </row>
    <row r="33" spans="1:15" ht="15.5" thickTop="1" thickBot="1" x14ac:dyDescent="0.4">
      <c r="B33" s="563">
        <v>28</v>
      </c>
      <c r="C33" s="3" t="s">
        <v>312</v>
      </c>
      <c r="E33" s="32">
        <f>E27+E31</f>
        <v>1473027897</v>
      </c>
      <c r="G33" s="333">
        <f>G29+G31</f>
        <v>1473027897</v>
      </c>
      <c r="H33" s="243">
        <f>H29+H31</f>
        <v>1473027897</v>
      </c>
      <c r="I33" s="243">
        <f t="shared" ref="I33:K33" si="13">I29+I31</f>
        <v>1473027897</v>
      </c>
      <c r="J33" s="243">
        <f t="shared" si="13"/>
        <v>1473027897</v>
      </c>
      <c r="K33" s="243">
        <f t="shared" si="13"/>
        <v>1473027897</v>
      </c>
      <c r="L33" s="101"/>
      <c r="M33" s="101"/>
      <c r="N33" s="101"/>
      <c r="O33" s="101"/>
    </row>
    <row r="34" spans="1:15" ht="15" thickTop="1" x14ac:dyDescent="0.35">
      <c r="B34" s="563">
        <v>29</v>
      </c>
      <c r="G34" s="395">
        <f>G33-$E33</f>
        <v>0</v>
      </c>
      <c r="H34" s="305">
        <f>H33-$E33</f>
        <v>0</v>
      </c>
      <c r="I34" s="305">
        <f t="shared" ref="I34:K34" si="14">I33-$E33</f>
        <v>0</v>
      </c>
      <c r="J34" s="305">
        <f t="shared" si="14"/>
        <v>0</v>
      </c>
      <c r="K34" s="305">
        <f t="shared" si="14"/>
        <v>0</v>
      </c>
      <c r="L34" s="101"/>
      <c r="M34" s="101"/>
      <c r="N34" s="101"/>
      <c r="O34" s="101"/>
    </row>
    <row r="35" spans="1:15" x14ac:dyDescent="0.35">
      <c r="B35" s="563">
        <v>30</v>
      </c>
      <c r="G35" s="2"/>
      <c r="L35" s="101"/>
      <c r="M35" s="101"/>
      <c r="N35" s="101"/>
      <c r="O35" s="101"/>
    </row>
    <row r="36" spans="1:15" x14ac:dyDescent="0.35">
      <c r="A36" s="75" t="s">
        <v>157</v>
      </c>
      <c r="B36" s="563">
        <v>31</v>
      </c>
      <c r="C36" s="3" t="s">
        <v>310</v>
      </c>
      <c r="D36" s="1027">
        <f>'[2]4A.)HY_PxOut_Summary'!$E$253+'[2]4A.)HY_PxOut_Summary'!$E$259</f>
        <v>8125171</v>
      </c>
      <c r="E36" s="1027">
        <f>'[2]4A.)HY_PxOut_Summary'!$F$253+'[2]4A.)HY_PxOut_Summary'!$F$259</f>
        <v>8215762</v>
      </c>
      <c r="G36" s="278">
        <f>$E36</f>
        <v>8215762</v>
      </c>
      <c r="H36" s="26">
        <f>$E36</f>
        <v>8215762</v>
      </c>
      <c r="I36" s="26">
        <f t="shared" ref="I36:K36" si="15">$E36</f>
        <v>8215762</v>
      </c>
      <c r="J36" s="26">
        <f t="shared" si="15"/>
        <v>8215762</v>
      </c>
      <c r="K36" s="26">
        <f t="shared" si="15"/>
        <v>8215762</v>
      </c>
      <c r="L36" s="101"/>
      <c r="M36" s="101"/>
      <c r="N36" s="101"/>
      <c r="O36" s="101"/>
    </row>
    <row r="37" spans="1:15" x14ac:dyDescent="0.35">
      <c r="A37" s="190" t="s">
        <v>734</v>
      </c>
      <c r="B37" s="563">
        <v>32</v>
      </c>
      <c r="C37" s="3" t="s">
        <v>372</v>
      </c>
      <c r="D37" s="565"/>
      <c r="E37" s="565"/>
      <c r="G37" s="279">
        <f>ROUND($E40*G$6,0)</f>
        <v>139925</v>
      </c>
      <c r="H37" s="37">
        <f>ROUND($E40*H$6,0)</f>
        <v>195895</v>
      </c>
      <c r="I37" s="37">
        <f>ROUND($E40*I$6,0)</f>
        <v>279850</v>
      </c>
      <c r="J37" s="37">
        <f>ROUND($E40*J$6,0)</f>
        <v>419775</v>
      </c>
      <c r="K37" s="37">
        <f>ROUND($E40*K$6,0)</f>
        <v>559700</v>
      </c>
      <c r="L37" s="101"/>
      <c r="M37" s="101"/>
      <c r="N37" s="101"/>
      <c r="O37" s="101"/>
    </row>
    <row r="38" spans="1:15" x14ac:dyDescent="0.35">
      <c r="B38" s="563">
        <v>33</v>
      </c>
      <c r="C38" s="3" t="s">
        <v>371</v>
      </c>
      <c r="G38" s="277">
        <f>G36+G37</f>
        <v>8355687</v>
      </c>
      <c r="H38" s="34">
        <f>H36+H37</f>
        <v>8411657</v>
      </c>
      <c r="I38" s="34">
        <f t="shared" ref="I38:K38" si="16">I36+I37</f>
        <v>8495612</v>
      </c>
      <c r="J38" s="34">
        <f t="shared" si="16"/>
        <v>8635537</v>
      </c>
      <c r="K38" s="34">
        <f t="shared" si="16"/>
        <v>8775462</v>
      </c>
      <c r="L38" s="101"/>
      <c r="M38" s="101"/>
      <c r="N38" s="101"/>
      <c r="O38" s="101"/>
    </row>
    <row r="39" spans="1:15" x14ac:dyDescent="0.35">
      <c r="B39" s="563">
        <v>34</v>
      </c>
      <c r="G39" s="2"/>
      <c r="L39" s="101"/>
      <c r="M39" s="101"/>
      <c r="N39" s="101"/>
      <c r="O39" s="101"/>
    </row>
    <row r="40" spans="1:15" x14ac:dyDescent="0.35">
      <c r="B40" s="563">
        <v>35</v>
      </c>
      <c r="C40" s="3" t="s">
        <v>311</v>
      </c>
      <c r="D40" s="1027">
        <f>'[2]4A.)HY_PxOut_Summary'!$E$240</f>
        <v>2798501</v>
      </c>
      <c r="E40" s="1027">
        <f>'[2]4A.)HY_PxOut_Summary'!$F$240</f>
        <v>2798501</v>
      </c>
      <c r="G40" s="277">
        <f>$E40-G37</f>
        <v>2658576</v>
      </c>
      <c r="H40" s="34">
        <f>$E40-H37</f>
        <v>2602606</v>
      </c>
      <c r="I40" s="34">
        <f t="shared" ref="I40:K40" si="17">$E40-I37</f>
        <v>2518651</v>
      </c>
      <c r="J40" s="34">
        <f t="shared" si="17"/>
        <v>2378726</v>
      </c>
      <c r="K40" s="34">
        <f t="shared" si="17"/>
        <v>2238801</v>
      </c>
      <c r="L40" s="101"/>
      <c r="M40" s="101"/>
      <c r="N40" s="101"/>
      <c r="O40" s="101"/>
    </row>
    <row r="41" spans="1:15" ht="15" thickBot="1" x14ac:dyDescent="0.4">
      <c r="B41" s="563">
        <v>36</v>
      </c>
      <c r="G41" s="2"/>
      <c r="L41" s="101"/>
      <c r="M41" s="101"/>
      <c r="N41" s="101"/>
      <c r="O41" s="101"/>
    </row>
    <row r="42" spans="1:15" ht="15.5" thickTop="1" thickBot="1" x14ac:dyDescent="0.4">
      <c r="B42" s="563">
        <v>37</v>
      </c>
      <c r="C42" s="3" t="s">
        <v>312</v>
      </c>
      <c r="E42" s="32">
        <f>E36+E40</f>
        <v>11014263</v>
      </c>
      <c r="G42" s="333">
        <f>G38+G40</f>
        <v>11014263</v>
      </c>
      <c r="H42" s="243">
        <f>H38+H40</f>
        <v>11014263</v>
      </c>
      <c r="I42" s="243">
        <f t="shared" ref="I42:K42" si="18">I38+I40</f>
        <v>11014263</v>
      </c>
      <c r="J42" s="243">
        <f t="shared" si="18"/>
        <v>11014263</v>
      </c>
      <c r="K42" s="243">
        <f t="shared" si="18"/>
        <v>11014263</v>
      </c>
      <c r="L42" s="101"/>
      <c r="M42" s="101"/>
      <c r="N42" s="101"/>
      <c r="O42" s="101"/>
    </row>
    <row r="43" spans="1:15" ht="15" thickTop="1" x14ac:dyDescent="0.35">
      <c r="E43" s="305"/>
      <c r="G43" s="305">
        <f>G42-$E42</f>
        <v>0</v>
      </c>
      <c r="H43" s="305">
        <f>H42-$E42</f>
        <v>0</v>
      </c>
      <c r="I43" s="305">
        <f t="shared" ref="I43:K43" si="19">I42-$E42</f>
        <v>0</v>
      </c>
      <c r="J43" s="305">
        <f t="shared" si="19"/>
        <v>0</v>
      </c>
      <c r="K43" s="305">
        <f t="shared" si="19"/>
        <v>0</v>
      </c>
      <c r="L43" s="101"/>
      <c r="M43" s="101"/>
      <c r="N43" s="101"/>
      <c r="O43" s="101"/>
    </row>
    <row r="44" spans="1:15" hidden="1" x14ac:dyDescent="0.35"/>
    <row r="45" spans="1:15" hidden="1" x14ac:dyDescent="0.35"/>
    <row r="46" spans="1:15" hidden="1" x14ac:dyDescent="0.35"/>
    <row r="47" spans="1:15" hidden="1" x14ac:dyDescent="0.35"/>
    <row r="48" spans="1:15" hidden="1" x14ac:dyDescent="0.35"/>
    <row r="49" spans="1:13" hidden="1" x14ac:dyDescent="0.35"/>
    <row r="50" spans="1:13" hidden="1" x14ac:dyDescent="0.35"/>
    <row r="51" spans="1:13" s="88" customFormat="1" x14ac:dyDescent="0.35"/>
    <row r="52" spans="1:13" ht="19" thickBot="1" x14ac:dyDescent="0.4">
      <c r="A52" s="238" t="s">
        <v>370</v>
      </c>
      <c r="B52" s="70"/>
      <c r="H52" s="1041"/>
      <c r="I52" s="1041"/>
      <c r="J52" s="1041"/>
      <c r="K52" s="1041"/>
      <c r="L52" s="1041"/>
    </row>
    <row r="53" spans="1:13" ht="15.5" thickTop="1" thickBot="1" x14ac:dyDescent="0.4">
      <c r="G53" s="1300" t="s">
        <v>369</v>
      </c>
      <c r="H53" s="1301"/>
      <c r="I53" s="1301"/>
      <c r="J53" s="1301"/>
      <c r="K53" s="1302"/>
    </row>
    <row r="54" spans="1:13" ht="15" thickTop="1" x14ac:dyDescent="0.35">
      <c r="G54" s="304" t="str">
        <f>G5</f>
        <v>(Option 1)</v>
      </c>
      <c r="H54" s="304" t="str">
        <f>H5</f>
        <v>(Option 2)</v>
      </c>
      <c r="I54" s="304" t="str">
        <f>I5</f>
        <v>(Option 3)</v>
      </c>
      <c r="J54" s="304" t="str">
        <f>J5</f>
        <v>(Option 4)</v>
      </c>
      <c r="K54" s="304" t="str">
        <f>K5</f>
        <v>(Option 5)</v>
      </c>
    </row>
    <row r="55" spans="1:13" ht="15" thickBot="1" x14ac:dyDescent="0.4">
      <c r="D55" s="283" t="s">
        <v>368</v>
      </c>
      <c r="E55" s="36"/>
      <c r="G55" s="587" t="str">
        <f>G$7</f>
        <v>Shift of 5%</v>
      </c>
      <c r="H55" s="587" t="str">
        <f t="shared" ref="H55:K55" si="20">H$7</f>
        <v>Shift of 7%</v>
      </c>
      <c r="I55" s="587" t="str">
        <f t="shared" si="20"/>
        <v>Shift of 10%</v>
      </c>
      <c r="J55" s="587" t="str">
        <f t="shared" si="20"/>
        <v>Shift of 15%</v>
      </c>
      <c r="K55" s="587" t="str">
        <f t="shared" si="20"/>
        <v>Shift of 20%</v>
      </c>
    </row>
    <row r="56" spans="1:13" s="180" customFormat="1" x14ac:dyDescent="0.35">
      <c r="B56" s="291">
        <v>1</v>
      </c>
      <c r="D56" s="301" t="str">
        <f>D$7</f>
        <v>2019 Excl.EDB</v>
      </c>
      <c r="E56" s="303" t="str">
        <f>E$7</f>
        <v>2019 Incl.EDB</v>
      </c>
      <c r="F56" s="302"/>
      <c r="G56" s="798" t="str">
        <f>IF(G$4="Y","ED Shifting","Not to Use")</f>
        <v>ED Shifting</v>
      </c>
      <c r="H56" s="799" t="str">
        <f t="shared" ref="H56:K56" si="21">IF(H$4="Y","ED Shifting","Not to Use")</f>
        <v>Not to Use</v>
      </c>
      <c r="I56" s="799" t="str">
        <f t="shared" si="21"/>
        <v>Not to Use</v>
      </c>
      <c r="J56" s="799" t="str">
        <f t="shared" si="21"/>
        <v>Not to Use</v>
      </c>
      <c r="K56" s="799" t="str">
        <f t="shared" si="21"/>
        <v>Not to Use</v>
      </c>
      <c r="L56" s="300"/>
      <c r="M56" s="190" t="s">
        <v>1532</v>
      </c>
    </row>
    <row r="57" spans="1:13" x14ac:dyDescent="0.35">
      <c r="A57" s="75" t="str">
        <f>A9</f>
        <v>SC5 Rate I</v>
      </c>
      <c r="B57" s="1262">
        <v>2</v>
      </c>
      <c r="C57" s="2" t="s">
        <v>310</v>
      </c>
      <c r="D57" s="800">
        <f>D9</f>
        <v>40621</v>
      </c>
      <c r="E57" s="1263">
        <f>E9</f>
        <v>41070</v>
      </c>
      <c r="G57" s="800">
        <f>G11</f>
        <v>42431</v>
      </c>
      <c r="H57" s="278">
        <f>H11</f>
        <v>42975</v>
      </c>
      <c r="I57" s="278">
        <f t="shared" ref="I57:K57" si="22">I11</f>
        <v>43791</v>
      </c>
      <c r="J57" s="278">
        <f t="shared" si="22"/>
        <v>45152</v>
      </c>
      <c r="K57" s="278">
        <f t="shared" si="22"/>
        <v>46513</v>
      </c>
      <c r="L57" s="1265"/>
    </row>
    <row r="58" spans="1:13" x14ac:dyDescent="0.35">
      <c r="B58" s="1262">
        <v>3</v>
      </c>
      <c r="C58" s="2" t="s">
        <v>311</v>
      </c>
      <c r="D58" s="800">
        <f>D13</f>
        <v>27213</v>
      </c>
      <c r="E58" s="1263">
        <f>E13</f>
        <v>27213</v>
      </c>
      <c r="G58" s="800">
        <f>G13</f>
        <v>25852</v>
      </c>
      <c r="H58" s="278">
        <f>H13</f>
        <v>25308</v>
      </c>
      <c r="I58" s="278">
        <f t="shared" ref="I58:K58" si="23">I13</f>
        <v>24492</v>
      </c>
      <c r="J58" s="278">
        <f t="shared" si="23"/>
        <v>23131</v>
      </c>
      <c r="K58" s="278">
        <f t="shared" si="23"/>
        <v>21770</v>
      </c>
      <c r="L58" s="1265"/>
    </row>
    <row r="59" spans="1:13" x14ac:dyDescent="0.35">
      <c r="B59" s="1262">
        <v>4</v>
      </c>
      <c r="C59" s="2" t="s">
        <v>367</v>
      </c>
      <c r="D59" s="800"/>
      <c r="E59" s="1263"/>
      <c r="G59" s="800">
        <f>G10</f>
        <v>1361</v>
      </c>
      <c r="H59" s="278">
        <f>H10</f>
        <v>1905</v>
      </c>
      <c r="I59" s="278">
        <f t="shared" ref="I59:K59" si="24">I10</f>
        <v>2721</v>
      </c>
      <c r="J59" s="278">
        <f t="shared" si="24"/>
        <v>4082</v>
      </c>
      <c r="K59" s="278">
        <f t="shared" si="24"/>
        <v>5443</v>
      </c>
      <c r="L59" s="1265"/>
    </row>
    <row r="60" spans="1:13" x14ac:dyDescent="0.35">
      <c r="A60" s="75" t="str">
        <f>A18</f>
        <v>SC8 Rate I</v>
      </c>
      <c r="B60" s="1262">
        <v>5</v>
      </c>
      <c r="C60" s="2" t="s">
        <v>310</v>
      </c>
      <c r="D60" s="800">
        <f>D18</f>
        <v>106597638</v>
      </c>
      <c r="E60" s="1263">
        <f>E18</f>
        <v>107799571</v>
      </c>
      <c r="G60" s="800">
        <f>G20</f>
        <v>109131975</v>
      </c>
      <c r="H60" s="278">
        <f>H20</f>
        <v>109664937</v>
      </c>
      <c r="I60" s="278">
        <f t="shared" ref="I60:K60" si="25">I20</f>
        <v>110464380</v>
      </c>
      <c r="J60" s="278">
        <f t="shared" si="25"/>
        <v>111796784</v>
      </c>
      <c r="K60" s="278">
        <f t="shared" si="25"/>
        <v>113129188</v>
      </c>
      <c r="L60" s="1265"/>
    </row>
    <row r="61" spans="1:13" x14ac:dyDescent="0.35">
      <c r="B61" s="1262">
        <v>6</v>
      </c>
      <c r="C61" s="2" t="s">
        <v>311</v>
      </c>
      <c r="D61" s="800">
        <f>D22</f>
        <v>26648087</v>
      </c>
      <c r="E61" s="1263">
        <f>E22</f>
        <v>26648087</v>
      </c>
      <c r="G61" s="800">
        <f>G22</f>
        <v>25315683</v>
      </c>
      <c r="H61" s="278">
        <f>H22</f>
        <v>24782721</v>
      </c>
      <c r="I61" s="278">
        <f t="shared" ref="I61:K61" si="26">I22</f>
        <v>23983278</v>
      </c>
      <c r="J61" s="278">
        <f t="shared" si="26"/>
        <v>22650874</v>
      </c>
      <c r="K61" s="278">
        <f t="shared" si="26"/>
        <v>21318470</v>
      </c>
      <c r="L61" s="1265"/>
    </row>
    <row r="62" spans="1:13" x14ac:dyDescent="0.35">
      <c r="B62" s="1262">
        <v>7</v>
      </c>
      <c r="C62" s="2" t="s">
        <v>367</v>
      </c>
      <c r="D62" s="800"/>
      <c r="E62" s="1263"/>
      <c r="G62" s="800">
        <f>G19</f>
        <v>1332404</v>
      </c>
      <c r="H62" s="278">
        <f>H19</f>
        <v>1865366</v>
      </c>
      <c r="I62" s="278">
        <f t="shared" ref="I62:K62" si="27">I19</f>
        <v>2664809</v>
      </c>
      <c r="J62" s="278">
        <f t="shared" si="27"/>
        <v>3997213</v>
      </c>
      <c r="K62" s="278">
        <f t="shared" si="27"/>
        <v>5329617</v>
      </c>
      <c r="L62" s="1265"/>
    </row>
    <row r="63" spans="1:13" x14ac:dyDescent="0.35">
      <c r="A63" s="75" t="str">
        <f>A27</f>
        <v>SC9 Rate I</v>
      </c>
      <c r="B63" s="1262">
        <v>8</v>
      </c>
      <c r="C63" s="2" t="s">
        <v>310</v>
      </c>
      <c r="D63" s="800">
        <f>D27</f>
        <v>1099703098</v>
      </c>
      <c r="E63" s="1263">
        <f>E27</f>
        <v>1112014517</v>
      </c>
      <c r="G63" s="800">
        <f>G29</f>
        <v>1130065186</v>
      </c>
      <c r="H63" s="278">
        <f>H29</f>
        <v>1137285454</v>
      </c>
      <c r="I63" s="278">
        <f t="shared" ref="I63:K63" si="28">I29</f>
        <v>1148115855</v>
      </c>
      <c r="J63" s="278">
        <f t="shared" si="28"/>
        <v>1166166524</v>
      </c>
      <c r="K63" s="278">
        <f t="shared" si="28"/>
        <v>1184217193</v>
      </c>
      <c r="L63" s="1265"/>
    </row>
    <row r="64" spans="1:13" x14ac:dyDescent="0.35">
      <c r="B64" s="1262">
        <v>9</v>
      </c>
      <c r="C64" s="2" t="s">
        <v>311</v>
      </c>
      <c r="D64" s="800">
        <f>D31</f>
        <v>361013380</v>
      </c>
      <c r="E64" s="1263">
        <f>E31</f>
        <v>361013380</v>
      </c>
      <c r="G64" s="800">
        <f>G31</f>
        <v>342962711</v>
      </c>
      <c r="H64" s="278">
        <f>H31</f>
        <v>335742443</v>
      </c>
      <c r="I64" s="278">
        <f t="shared" ref="I64:K64" si="29">I31</f>
        <v>324912042</v>
      </c>
      <c r="J64" s="278">
        <f t="shared" si="29"/>
        <v>306861373</v>
      </c>
      <c r="K64" s="278">
        <f t="shared" si="29"/>
        <v>288810704</v>
      </c>
      <c r="L64" s="1265"/>
    </row>
    <row r="65" spans="1:12" x14ac:dyDescent="0.35">
      <c r="B65" s="1262">
        <v>10</v>
      </c>
      <c r="C65" s="2" t="s">
        <v>367</v>
      </c>
      <c r="D65" s="800"/>
      <c r="E65" s="1263"/>
      <c r="G65" s="800">
        <f>G28</f>
        <v>18050669</v>
      </c>
      <c r="H65" s="278">
        <f>H28</f>
        <v>25270937</v>
      </c>
      <c r="I65" s="278">
        <f t="shared" ref="I65:K65" si="30">I28</f>
        <v>36101338</v>
      </c>
      <c r="J65" s="278">
        <f t="shared" si="30"/>
        <v>54152007</v>
      </c>
      <c r="K65" s="278">
        <f t="shared" si="30"/>
        <v>72202676</v>
      </c>
      <c r="L65" s="1265"/>
    </row>
    <row r="66" spans="1:12" x14ac:dyDescent="0.35">
      <c r="A66" s="75" t="str">
        <f>A36</f>
        <v>SC12 Rate I</v>
      </c>
      <c r="B66" s="1262">
        <v>11</v>
      </c>
      <c r="C66" s="2" t="s">
        <v>310</v>
      </c>
      <c r="D66" s="800">
        <f>D36</f>
        <v>8125171</v>
      </c>
      <c r="E66" s="1263">
        <f>E36</f>
        <v>8215762</v>
      </c>
      <c r="G66" s="800">
        <f>G38</f>
        <v>8355687</v>
      </c>
      <c r="H66" s="278">
        <f>H38</f>
        <v>8411657</v>
      </c>
      <c r="I66" s="278">
        <f t="shared" ref="I66:K66" si="31">I38</f>
        <v>8495612</v>
      </c>
      <c r="J66" s="278">
        <f t="shared" si="31"/>
        <v>8635537</v>
      </c>
      <c r="K66" s="278">
        <f t="shared" si="31"/>
        <v>8775462</v>
      </c>
      <c r="L66" s="1265"/>
    </row>
    <row r="67" spans="1:12" x14ac:dyDescent="0.35">
      <c r="B67" s="1262">
        <v>12</v>
      </c>
      <c r="C67" s="2" t="s">
        <v>311</v>
      </c>
      <c r="D67" s="800">
        <f>D40</f>
        <v>2798501</v>
      </c>
      <c r="E67" s="1263">
        <f>E40</f>
        <v>2798501</v>
      </c>
      <c r="G67" s="800">
        <f>G40</f>
        <v>2658576</v>
      </c>
      <c r="H67" s="278">
        <f>H40</f>
        <v>2602606</v>
      </c>
      <c r="I67" s="278">
        <f t="shared" ref="I67:K67" si="32">I40</f>
        <v>2518651</v>
      </c>
      <c r="J67" s="278">
        <f t="shared" si="32"/>
        <v>2378726</v>
      </c>
      <c r="K67" s="278">
        <f t="shared" si="32"/>
        <v>2238801</v>
      </c>
      <c r="L67" s="1265"/>
    </row>
    <row r="68" spans="1:12" x14ac:dyDescent="0.35">
      <c r="B68" s="1262">
        <v>13</v>
      </c>
      <c r="C68" s="2" t="s">
        <v>367</v>
      </c>
      <c r="D68" s="800"/>
      <c r="E68" s="1264"/>
      <c r="F68" s="299"/>
      <c r="G68" s="800">
        <f>G37</f>
        <v>139925</v>
      </c>
      <c r="H68" s="278">
        <f>H37</f>
        <v>195895</v>
      </c>
      <c r="I68" s="278">
        <f t="shared" ref="I68:K68" si="33">I37</f>
        <v>279850</v>
      </c>
      <c r="J68" s="278">
        <f t="shared" si="33"/>
        <v>419775</v>
      </c>
      <c r="K68" s="278">
        <f t="shared" si="33"/>
        <v>559700</v>
      </c>
      <c r="L68" s="1265"/>
    </row>
    <row r="69" spans="1:12" x14ac:dyDescent="0.35">
      <c r="B69" s="1262">
        <v>14</v>
      </c>
      <c r="C69" s="2"/>
      <c r="D69" s="1055"/>
      <c r="E69" s="1265"/>
      <c r="G69" s="1055"/>
      <c r="H69" s="360"/>
      <c r="I69" s="360"/>
      <c r="J69" s="360"/>
      <c r="K69" s="360"/>
      <c r="L69" s="1265"/>
    </row>
    <row r="70" spans="1:12" ht="15" thickBot="1" x14ac:dyDescent="0.4">
      <c r="B70" s="1262">
        <v>15</v>
      </c>
      <c r="C70" s="2"/>
      <c r="D70" s="1266"/>
      <c r="E70" s="1267"/>
      <c r="G70" s="1266"/>
      <c r="H70" s="941"/>
      <c r="I70" s="941"/>
      <c r="J70" s="941"/>
      <c r="K70" s="941"/>
      <c r="L70" s="1267"/>
    </row>
  </sheetData>
  <mergeCells count="1">
    <mergeCell ref="G53:K53"/>
  </mergeCells>
  <conditionalFormatting sqref="G56:K56">
    <cfRule type="cellIs" dxfId="3" priority="1" operator="equal">
      <formula>"ED Shifting"</formula>
    </cfRule>
  </conditionalFormatting>
  <printOptions horizontalCentered="1"/>
  <pageMargins left="0.7" right="0.7" top="0.75" bottom="0.75" header="0.3" footer="0.3"/>
  <pageSetup scale="50" orientation="landscape" r:id="rId1"/>
  <headerFooter>
    <oddFooter>&amp;C&amp;F (Tab: &amp;A)&amp;RPage &amp;P /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tabColor rgb="FFFFFF00"/>
  </sheetPr>
  <dimension ref="B1:Q103"/>
  <sheetViews>
    <sheetView workbookViewId="0">
      <selection activeCell="J12" sqref="J12"/>
    </sheetView>
  </sheetViews>
  <sheetFormatPr defaultColWidth="8.81640625" defaultRowHeight="14.5" x14ac:dyDescent="0.35"/>
  <cols>
    <col min="1" max="1" width="3.1796875" style="3" customWidth="1"/>
    <col min="2" max="2" width="4.26953125" style="3" customWidth="1"/>
    <col min="3" max="3" width="20" style="3" customWidth="1"/>
    <col min="4" max="4" width="32.26953125" style="3" customWidth="1"/>
    <col min="5" max="7" width="15.54296875" style="3" customWidth="1"/>
    <col min="8" max="8" width="4" style="3" customWidth="1"/>
    <col min="9" max="11" width="15" style="3" customWidth="1"/>
    <col min="12" max="12" width="11.7265625" style="3" customWidth="1"/>
    <col min="13" max="13" width="16.453125" style="3" customWidth="1"/>
    <col min="14" max="14" width="8.81640625" style="3"/>
    <col min="15" max="16" width="18" style="3" customWidth="1"/>
    <col min="17" max="16384" width="8.81640625" style="3"/>
  </cols>
  <sheetData>
    <row r="1" spans="2:17" ht="18.5" x14ac:dyDescent="0.35">
      <c r="C1" s="238" t="s">
        <v>826</v>
      </c>
      <c r="D1" s="238"/>
      <c r="M1" s="462" t="s">
        <v>1060</v>
      </c>
      <c r="Q1" s="226" t="s">
        <v>1533</v>
      </c>
    </row>
    <row r="2" spans="2:17" x14ac:dyDescent="0.35">
      <c r="K2" s="273" t="s">
        <v>1534</v>
      </c>
      <c r="L2" s="33" t="s">
        <v>1053</v>
      </c>
      <c r="M2" s="804">
        <v>0.05</v>
      </c>
      <c r="N2" s="462" t="str">
        <f>IF(M2=$D$5,"Y","N")</f>
        <v>Y</v>
      </c>
      <c r="Q2" s="226" t="s">
        <v>1535</v>
      </c>
    </row>
    <row r="3" spans="2:17" x14ac:dyDescent="0.35">
      <c r="C3" s="3" t="s">
        <v>1073</v>
      </c>
      <c r="D3" s="562">
        <f>'[1]A1.)RatesInput'!$G$4</f>
        <v>2019</v>
      </c>
      <c r="E3" s="190" t="s">
        <v>523</v>
      </c>
      <c r="L3" s="33" t="s">
        <v>1054</v>
      </c>
      <c r="M3" s="804">
        <v>7.0000000000000007E-2</v>
      </c>
      <c r="N3" s="462" t="str">
        <f t="shared" ref="N3:N6" si="0">IF(M3=$D$5,"Y","N")</f>
        <v>N</v>
      </c>
    </row>
    <row r="4" spans="2:17" x14ac:dyDescent="0.35">
      <c r="C4" s="3" t="s">
        <v>5</v>
      </c>
      <c r="D4" s="562">
        <f>'[1]A1.)RatesInput'!$I$4</f>
        <v>2020</v>
      </c>
      <c r="E4" s="190" t="s">
        <v>523</v>
      </c>
      <c r="L4" s="33" t="s">
        <v>1055</v>
      </c>
      <c r="M4" s="804">
        <v>0.1</v>
      </c>
      <c r="N4" s="462" t="str">
        <f t="shared" si="0"/>
        <v>N</v>
      </c>
    </row>
    <row r="5" spans="2:17" x14ac:dyDescent="0.35">
      <c r="C5" s="3" t="s">
        <v>306</v>
      </c>
      <c r="D5" s="1080">
        <f>'[1]A1.)RatesInput'!$E$99</f>
        <v>0.05</v>
      </c>
      <c r="E5" s="190"/>
      <c r="L5" s="33" t="s">
        <v>1056</v>
      </c>
      <c r="M5" s="804">
        <v>0.15</v>
      </c>
      <c r="N5" s="462" t="str">
        <f t="shared" si="0"/>
        <v>N</v>
      </c>
    </row>
    <row r="6" spans="2:17" ht="15" thickBot="1" x14ac:dyDescent="0.4">
      <c r="L6" s="33" t="s">
        <v>1057</v>
      </c>
      <c r="M6" s="804">
        <v>0.2</v>
      </c>
      <c r="N6" s="462" t="str">
        <f t="shared" si="0"/>
        <v>N</v>
      </c>
    </row>
    <row r="7" spans="2:17" ht="15.5" thickTop="1" thickBot="1" x14ac:dyDescent="0.4">
      <c r="E7" s="1303" t="s">
        <v>1072</v>
      </c>
      <c r="F7" s="1303"/>
      <c r="G7" s="1303"/>
      <c r="I7" s="1303" t="s">
        <v>313</v>
      </c>
      <c r="J7" s="1303"/>
      <c r="K7" s="1303"/>
      <c r="M7" s="297" t="s">
        <v>314</v>
      </c>
    </row>
    <row r="8" spans="2:17" ht="15.5" thickTop="1" thickBot="1" x14ac:dyDescent="0.4">
      <c r="C8" s="70" t="s">
        <v>557</v>
      </c>
      <c r="D8" s="70" t="s">
        <v>558</v>
      </c>
      <c r="E8" s="297" t="s">
        <v>310</v>
      </c>
      <c r="F8" s="297" t="s">
        <v>311</v>
      </c>
      <c r="G8" s="297" t="s">
        <v>312</v>
      </c>
      <c r="I8" s="297" t="s">
        <v>310</v>
      </c>
      <c r="J8" s="297" t="s">
        <v>311</v>
      </c>
      <c r="K8" s="297" t="s">
        <v>312</v>
      </c>
      <c r="M8" s="297" t="s">
        <v>315</v>
      </c>
    </row>
    <row r="9" spans="2:17" ht="15" thickTop="1" x14ac:dyDescent="0.35">
      <c r="E9" s="56"/>
      <c r="F9" s="56"/>
      <c r="G9" s="56" t="s">
        <v>317</v>
      </c>
      <c r="I9" s="564"/>
      <c r="J9" s="564"/>
      <c r="K9" s="56"/>
      <c r="M9" s="56"/>
    </row>
    <row r="10" spans="2:17" x14ac:dyDescent="0.35">
      <c r="B10" s="75" t="s">
        <v>533</v>
      </c>
      <c r="C10" s="75" t="s">
        <v>148</v>
      </c>
      <c r="D10" s="410" t="s">
        <v>859</v>
      </c>
      <c r="E10" s="245">
        <f>'8A.)HY_ED RevShifting'!$E$9</f>
        <v>41070</v>
      </c>
      <c r="F10" s="245">
        <f>'8A.)HY_ED RevShifting'!$E$13</f>
        <v>27213</v>
      </c>
      <c r="G10" s="103">
        <f>E10+F10</f>
        <v>68283</v>
      </c>
      <c r="I10" s="245">
        <f>HLOOKUP($D$5,'8A.)HY_ED RevShifting'!$G$6:$L$43,'8A.)HY_ED RevShifting'!$B$11,0)</f>
        <v>42431</v>
      </c>
      <c r="J10" s="245">
        <f>HLOOKUP($D$5,'8A.)HY_ED RevShifting'!$G$6:$L$43,'8A.)HY_ED RevShifting'!$B$13,0)</f>
        <v>25852</v>
      </c>
      <c r="K10" s="103">
        <f>I10+J10</f>
        <v>68283</v>
      </c>
      <c r="L10" s="242">
        <f>K10-G10</f>
        <v>0</v>
      </c>
      <c r="M10" s="520">
        <f>I10-E10</f>
        <v>1361</v>
      </c>
    </row>
    <row r="11" spans="2:17" x14ac:dyDescent="0.35">
      <c r="C11" s="75"/>
      <c r="D11" s="410"/>
      <c r="E11" s="108"/>
      <c r="F11" s="108"/>
      <c r="I11" s="802"/>
      <c r="J11" s="802"/>
      <c r="L11" s="242"/>
      <c r="M11" s="108"/>
    </row>
    <row r="12" spans="2:17" x14ac:dyDescent="0.35">
      <c r="B12" s="75" t="s">
        <v>532</v>
      </c>
      <c r="C12" s="75" t="s">
        <v>151</v>
      </c>
      <c r="D12" s="410" t="s">
        <v>860</v>
      </c>
      <c r="E12" s="245">
        <f>'8A.)HY_ED RevShifting'!$E$18</f>
        <v>107799571</v>
      </c>
      <c r="F12" s="245">
        <f>'8A.)HY_ED RevShifting'!$E$22</f>
        <v>26648087</v>
      </c>
      <c r="G12" s="103">
        <f>E12+F12</f>
        <v>134447658</v>
      </c>
      <c r="I12" s="245">
        <f>HLOOKUP($D$5,'8A.)HY_ED RevShifting'!$G$6:$L$43,'8A.)HY_ED RevShifting'!$B$20,0)</f>
        <v>109131975</v>
      </c>
      <c r="J12" s="245">
        <f>HLOOKUP($D$5,'8A.)HY_ED RevShifting'!$G$6:$L$43,'8A.)HY_ED RevShifting'!$B$22,0)</f>
        <v>25315683</v>
      </c>
      <c r="K12" s="103">
        <f>I12+J12</f>
        <v>134447658</v>
      </c>
      <c r="L12" s="242">
        <f>K12-G12</f>
        <v>0</v>
      </c>
      <c r="M12" s="520">
        <f>I12-E12</f>
        <v>1332404</v>
      </c>
    </row>
    <row r="13" spans="2:17" x14ac:dyDescent="0.35">
      <c r="C13" s="75"/>
      <c r="D13" s="410"/>
      <c r="E13" s="108"/>
      <c r="F13" s="108"/>
      <c r="I13" s="802"/>
      <c r="J13" s="802"/>
      <c r="L13" s="242"/>
      <c r="M13" s="108"/>
    </row>
    <row r="14" spans="2:17" x14ac:dyDescent="0.35">
      <c r="B14" s="75" t="s">
        <v>531</v>
      </c>
      <c r="C14" s="75" t="s">
        <v>149</v>
      </c>
      <c r="D14" s="410" t="s">
        <v>861</v>
      </c>
      <c r="E14" s="245">
        <f>'8A.)HY_ED RevShifting'!$E$27</f>
        <v>1112014517</v>
      </c>
      <c r="F14" s="245">
        <f>'8A.)HY_ED RevShifting'!$E$31</f>
        <v>361013380</v>
      </c>
      <c r="G14" s="103">
        <f>E14+F14</f>
        <v>1473027897</v>
      </c>
      <c r="I14" s="245">
        <f>HLOOKUP($D$5,'8A.)HY_ED RevShifting'!$G$6:$L$43,'8A.)HY_ED RevShifting'!$B$29,0)</f>
        <v>1130065186</v>
      </c>
      <c r="J14" s="245">
        <f>HLOOKUP($D$5,'8A.)HY_ED RevShifting'!$G$6:$L$43,'8A.)HY_ED RevShifting'!$B$31,0)</f>
        <v>342962711</v>
      </c>
      <c r="K14" s="103">
        <f>I14+J14</f>
        <v>1473027897</v>
      </c>
      <c r="L14" s="242">
        <f>K14-G14</f>
        <v>0</v>
      </c>
      <c r="M14" s="520">
        <f>I14-E14</f>
        <v>18050669</v>
      </c>
    </row>
    <row r="15" spans="2:17" x14ac:dyDescent="0.35">
      <c r="C15" s="75"/>
      <c r="D15" s="410"/>
      <c r="E15" s="108"/>
      <c r="F15" s="108"/>
      <c r="I15" s="802"/>
      <c r="J15" s="802"/>
      <c r="L15" s="242"/>
      <c r="M15" s="108"/>
    </row>
    <row r="16" spans="2:17" x14ac:dyDescent="0.35">
      <c r="B16" s="75" t="s">
        <v>530</v>
      </c>
      <c r="C16" s="75" t="s">
        <v>157</v>
      </c>
      <c r="D16" s="410" t="s">
        <v>862</v>
      </c>
      <c r="E16" s="245">
        <f>'8A.)HY_ED RevShifting'!$E$36</f>
        <v>8215762</v>
      </c>
      <c r="F16" s="245">
        <f>'8A.)HY_ED RevShifting'!$E$40</f>
        <v>2798501</v>
      </c>
      <c r="G16" s="103">
        <f>E16+F16</f>
        <v>11014263</v>
      </c>
      <c r="I16" s="245">
        <f>HLOOKUP($D$5,'8A.)HY_ED RevShifting'!$G$6:$L$43,'8A.)HY_ED RevShifting'!$B$38,0)</f>
        <v>8355687</v>
      </c>
      <c r="J16" s="245">
        <f>HLOOKUP($D$5,'8A.)HY_ED RevShifting'!$G$6:$L$43,'8A.)HY_ED RevShifting'!$B$40,0)</f>
        <v>2658576</v>
      </c>
      <c r="K16" s="103">
        <f>I16+J16</f>
        <v>11014263</v>
      </c>
      <c r="L16" s="242">
        <f>K16-G16</f>
        <v>0</v>
      </c>
      <c r="M16" s="520">
        <f>I16-E16</f>
        <v>139925</v>
      </c>
    </row>
    <row r="19" spans="2:6" s="88" customFormat="1" x14ac:dyDescent="0.35"/>
    <row r="20" spans="2:6" ht="18.5" x14ac:dyDescent="0.35">
      <c r="C20" s="238" t="s">
        <v>559</v>
      </c>
      <c r="D20" s="298"/>
    </row>
    <row r="21" spans="2:6" ht="15" thickBot="1" x14ac:dyDescent="0.4">
      <c r="E21" s="302"/>
    </row>
    <row r="22" spans="2:6" ht="15" thickBot="1" x14ac:dyDescent="0.4">
      <c r="B22" s="75" t="s">
        <v>533</v>
      </c>
      <c r="C22" s="803" t="str">
        <f>C10</f>
        <v>SC5 Rate I</v>
      </c>
      <c r="D22" s="190" t="str">
        <f>D10</f>
        <v>8C.)ED Shift_RedgnRate_SC5 I</v>
      </c>
      <c r="E22" s="302">
        <f>$D$3</f>
        <v>2019</v>
      </c>
      <c r="F22" s="302" t="str">
        <f>CONCATENATE("ED Shift of ",D5*100,"%")</f>
        <v>ED Shift of 5%</v>
      </c>
    </row>
    <row r="23" spans="2:6" ht="15" thickBot="1" x14ac:dyDescent="0.4">
      <c r="E23" s="843" t="s">
        <v>170</v>
      </c>
      <c r="F23" s="843" t="s">
        <v>1310</v>
      </c>
    </row>
    <row r="24" spans="2:6" ht="15" thickTop="1" x14ac:dyDescent="0.35">
      <c r="C24" s="3" t="s">
        <v>318</v>
      </c>
      <c r="E24" s="309">
        <f>IF(ISNUMBER(VLOOKUP($C24,'[1]A1.)RatesInput'!$B$102:$L$190,HLOOKUP(E$22,'[1]A1.)RatesInput'!$D$102:$L$104,3,0),0)),VLOOKUP($C24,'[1]A1.)RatesInput'!$B$102:$L$190,HLOOKUP(E$22,'[1]A1.)RatesInput'!$D$102:$L$104,3,0),0),0)</f>
        <v>3.9899999999999998E-2</v>
      </c>
      <c r="F24" s="839">
        <f>'8C.)ED Shift_RedgnRate_SC5_I'!H8</f>
        <v>3.7900000000000003E-2</v>
      </c>
    </row>
    <row r="25" spans="2:6" x14ac:dyDescent="0.35">
      <c r="C25" s="3" t="s">
        <v>319</v>
      </c>
      <c r="E25" s="310">
        <f>IF(ISNUMBER(VLOOKUP($C25,'[1]A1.)RatesInput'!$B$102:$L$190,HLOOKUP(E$22,'[1]A1.)RatesInput'!$D$102:$L$104,3,0),0)),VLOOKUP($C25,'[1]A1.)RatesInput'!$B$102:$L$190,HLOOKUP(E$22,'[1]A1.)RatesInput'!$D$102:$L$104,3,0),0),0)</f>
        <v>3.9899999999999998E-2</v>
      </c>
      <c r="F25" s="840">
        <f>'8C.)ED Shift_RedgnRate_SC5_I'!H9</f>
        <v>3.7900000000000003E-2</v>
      </c>
    </row>
    <row r="26" spans="2:6" x14ac:dyDescent="0.35">
      <c r="C26" s="3" t="s">
        <v>320</v>
      </c>
      <c r="E26" s="310">
        <f>IF(ISNUMBER(VLOOKUP($C26,'[1]A1.)RatesInput'!$B$102:$L$190,HLOOKUP(E$22,'[1]A1.)RatesInput'!$D$102:$L$104,3,0),0)),VLOOKUP($C26,'[1]A1.)RatesInput'!$B$102:$L$190,HLOOKUP(E$22,'[1]A1.)RatesInput'!$D$102:$L$104,3,0),0),0)</f>
        <v>173</v>
      </c>
      <c r="F26" s="840">
        <f>'8C.)ED Shift_RedgnRate_SC5_I'!H10</f>
        <v>178.73</v>
      </c>
    </row>
    <row r="27" spans="2:6" x14ac:dyDescent="0.35">
      <c r="C27" s="3" t="s">
        <v>321</v>
      </c>
      <c r="E27" s="310">
        <f>IF(ISNUMBER(VLOOKUP($C27,'[1]A1.)RatesInput'!$B$102:$L$190,HLOOKUP(E$22,'[1]A1.)RatesInput'!$D$102:$L$104,3,0),0)),VLOOKUP($C27,'[1]A1.)RatesInput'!$B$102:$L$190,HLOOKUP(E$22,'[1]A1.)RatesInput'!$D$102:$L$104,3,0),0),0)</f>
        <v>30.36</v>
      </c>
      <c r="F27" s="840">
        <f>'8C.)ED Shift_RedgnRate_SC5_I'!H11</f>
        <v>31.369999999999997</v>
      </c>
    </row>
    <row r="28" spans="2:6" x14ac:dyDescent="0.35">
      <c r="C28" s="3" t="s">
        <v>322</v>
      </c>
      <c r="E28" s="310">
        <f>IF(ISNUMBER(VLOOKUP($C28,'[1]A1.)RatesInput'!$B$102:$L$190,HLOOKUP(E$22,'[1]A1.)RatesInput'!$D$102:$L$104,3,0),0)),VLOOKUP($C28,'[1]A1.)RatesInput'!$B$102:$L$190,HLOOKUP(E$22,'[1]A1.)RatesInput'!$D$102:$L$104,3,0),0),0)</f>
        <v>110.99</v>
      </c>
      <c r="F28" s="840">
        <f>'8C.)ED Shift_RedgnRate_SC5_I'!H12</f>
        <v>114.67</v>
      </c>
    </row>
    <row r="29" spans="2:6" x14ac:dyDescent="0.35">
      <c r="C29" s="3" t="s">
        <v>323</v>
      </c>
      <c r="E29" s="310">
        <f>IF(ISNUMBER(VLOOKUP($C29,'[1]A1.)RatesInput'!$B$102:$L$190,HLOOKUP(E$22,'[1]A1.)RatesInput'!$D$102:$L$104,3,0),0)),VLOOKUP($C29,'[1]A1.)RatesInput'!$B$102:$L$190,HLOOKUP(E$22,'[1]A1.)RatesInput'!$D$102:$L$104,3,0),0),0)</f>
        <v>19.329999999999998</v>
      </c>
      <c r="F29" s="840">
        <f>'8C.)ED Shift_RedgnRate_SC5_I'!H13</f>
        <v>19.97</v>
      </c>
    </row>
    <row r="30" spans="2:6" x14ac:dyDescent="0.35">
      <c r="C30" s="3" t="s">
        <v>324</v>
      </c>
      <c r="E30" s="310">
        <f>IF(ISNUMBER(VLOOKUP($C30,'[1]A1.)RatesInput'!$B$102:$L$190,HLOOKUP(E$22,'[1]A1.)RatesInput'!$D$102:$L$104,3,0),0)),VLOOKUP($C30,'[1]A1.)RatesInput'!$B$102:$L$190,HLOOKUP(E$22,'[1]A1.)RatesInput'!$D$102:$L$104,3,0),0),0)</f>
        <v>3.9899999999999998E-2</v>
      </c>
      <c r="F30" s="840">
        <f>'8C.)ED Shift_RedgnRate_SC5_I'!H14</f>
        <v>3.7900000000000003E-2</v>
      </c>
    </row>
    <row r="31" spans="2:6" x14ac:dyDescent="0.35">
      <c r="C31" s="3" t="s">
        <v>325</v>
      </c>
      <c r="E31" s="310">
        <f>IF(ISNUMBER(VLOOKUP($C31,'[1]A1.)RatesInput'!$B$102:$L$190,HLOOKUP(E$22,'[1]A1.)RatesInput'!$D$102:$L$104,3,0),0)),VLOOKUP($C31,'[1]A1.)RatesInput'!$B$102:$L$190,HLOOKUP(E$22,'[1]A1.)RatesInput'!$D$102:$L$104,3,0),0),0)</f>
        <v>3.9899999999999998E-2</v>
      </c>
      <c r="F31" s="840">
        <f>'8C.)ED Shift_RedgnRate_SC5_I'!H15</f>
        <v>3.7900000000000003E-2</v>
      </c>
    </row>
    <row r="32" spans="2:6" x14ac:dyDescent="0.35">
      <c r="C32" s="3" t="s">
        <v>326</v>
      </c>
      <c r="E32" s="310">
        <f>IF(ISNUMBER(VLOOKUP($C32,'[1]A1.)RatesInput'!$B$102:$L$190,HLOOKUP(E$22,'[1]A1.)RatesInput'!$D$102:$L$104,3,0),0)),VLOOKUP($C32,'[1]A1.)RatesInput'!$B$102:$L$190,HLOOKUP(E$22,'[1]A1.)RatesInput'!$D$102:$L$104,3,0),0),0)</f>
        <v>131.93</v>
      </c>
      <c r="F32" s="840">
        <f>'8C.)ED Shift_RedgnRate_SC5_I'!H16</f>
        <v>136.30000000000001</v>
      </c>
    </row>
    <row r="33" spans="2:7" x14ac:dyDescent="0.35">
      <c r="C33" s="3" t="s">
        <v>327</v>
      </c>
      <c r="E33" s="310">
        <f>IF(ISNUMBER(VLOOKUP($C33,'[1]A1.)RatesInput'!$B$102:$L$190,HLOOKUP(E$22,'[1]A1.)RatesInput'!$D$102:$L$104,3,0),0)),VLOOKUP($C33,'[1]A1.)RatesInput'!$B$102:$L$190,HLOOKUP(E$22,'[1]A1.)RatesInput'!$D$102:$L$104,3,0),0),0)</f>
        <v>23.049999999999997</v>
      </c>
      <c r="F33" s="840">
        <f>'8C.)ED Shift_RedgnRate_SC5_I'!H17</f>
        <v>23.81</v>
      </c>
    </row>
    <row r="34" spans="2:7" x14ac:dyDescent="0.35">
      <c r="C34" s="3" t="s">
        <v>328</v>
      </c>
      <c r="E34" s="310">
        <f>IF(ISNUMBER(VLOOKUP($C34,'[1]A1.)RatesInput'!$B$102:$L$190,HLOOKUP(E$22,'[1]A1.)RatesInput'!$D$102:$L$104,3,0),0)),VLOOKUP($C34,'[1]A1.)RatesInput'!$B$102:$L$190,HLOOKUP(E$22,'[1]A1.)RatesInput'!$D$102:$L$104,3,0),0),0)</f>
        <v>69.91</v>
      </c>
      <c r="F34" s="840">
        <f>'8C.)ED Shift_RedgnRate_SC5_I'!H18</f>
        <v>72.23</v>
      </c>
    </row>
    <row r="35" spans="2:7" ht="15" thickBot="1" x14ac:dyDescent="0.4">
      <c r="C35" s="3" t="s">
        <v>329</v>
      </c>
      <c r="E35" s="311">
        <f>IF(ISNUMBER(VLOOKUP($C35,'[1]A1.)RatesInput'!$B$102:$L$190,HLOOKUP(E$22,'[1]A1.)RatesInput'!$D$102:$L$104,3,0),0)),VLOOKUP($C35,'[1]A1.)RatesInput'!$B$102:$L$190,HLOOKUP(E$22,'[1]A1.)RatesInput'!$D$102:$L$104,3,0),0),0)</f>
        <v>12.009999999999998</v>
      </c>
      <c r="F35" s="841">
        <f>'8C.)ED Shift_RedgnRate_SC5_I'!H19</f>
        <v>12.41</v>
      </c>
    </row>
    <row r="36" spans="2:7" ht="15" thickTop="1" x14ac:dyDescent="0.35">
      <c r="E36" s="410"/>
      <c r="F36" s="410"/>
    </row>
    <row r="37" spans="2:7" x14ac:dyDescent="0.35">
      <c r="C37" s="3" t="s">
        <v>759</v>
      </c>
      <c r="E37" s="410"/>
      <c r="F37" s="842">
        <f>'8C.)ED Shift_RedgnRate_SC5_I'!M240</f>
        <v>68280</v>
      </c>
    </row>
    <row r="38" spans="2:7" ht="15" thickBot="1" x14ac:dyDescent="0.4">
      <c r="E38" s="410"/>
      <c r="F38" s="410"/>
    </row>
    <row r="39" spans="2:7" ht="15.5" thickTop="1" thickBot="1" x14ac:dyDescent="0.4">
      <c r="C39" s="3" t="s">
        <v>752</v>
      </c>
      <c r="E39" s="440">
        <f>'8C.)ED Shift_RedgnRate_SC5_I'!M245</f>
        <v>68283</v>
      </c>
      <c r="F39" s="440">
        <f>F37</f>
        <v>68280</v>
      </c>
      <c r="G39" s="193">
        <f>F39/E39-1</f>
        <v>-4.3934800755707215E-5</v>
      </c>
    </row>
    <row r="40" spans="2:7" ht="15" thickTop="1" x14ac:dyDescent="0.35">
      <c r="E40" s="410"/>
      <c r="F40" s="410"/>
    </row>
    <row r="41" spans="2:7" x14ac:dyDescent="0.35">
      <c r="E41" s="410"/>
      <c r="F41" s="410"/>
    </row>
    <row r="42" spans="2:7" ht="15" thickBot="1" x14ac:dyDescent="0.4">
      <c r="E42" s="844"/>
      <c r="F42" s="410"/>
    </row>
    <row r="43" spans="2:7" ht="15" thickBot="1" x14ac:dyDescent="0.4">
      <c r="B43" s="75" t="s">
        <v>532</v>
      </c>
      <c r="C43" s="803" t="str">
        <f>C12</f>
        <v>SC8 Rate I</v>
      </c>
      <c r="D43" s="190" t="str">
        <f>D12</f>
        <v>8D.)ED Shift_RedgnRate_SC8 I</v>
      </c>
      <c r="E43" s="844">
        <f>$E$22</f>
        <v>2019</v>
      </c>
      <c r="F43" s="844" t="str">
        <f>$F$22</f>
        <v>ED Shift of 5%</v>
      </c>
    </row>
    <row r="44" spans="2:7" ht="15" thickBot="1" x14ac:dyDescent="0.4">
      <c r="E44" s="843" t="s">
        <v>170</v>
      </c>
      <c r="F44" s="843" t="s">
        <v>1309</v>
      </c>
    </row>
    <row r="45" spans="2:7" ht="15" thickTop="1" x14ac:dyDescent="0.35">
      <c r="C45" s="3" t="s">
        <v>331</v>
      </c>
      <c r="E45" s="309">
        <f>IF(ISNUMBER(VLOOKUP($C45,'[1]A1.)RatesInput'!$B$102:$L$190,HLOOKUP(E$43,'[1]A1.)RatesInput'!$D$102:$L$104,3,0),0)),VLOOKUP($C45,'[1]A1.)RatesInput'!$B$102:$L$190,HLOOKUP(E$43,'[1]A1.)RatesInput'!$D$102:$L$104,3,0),0),0)</f>
        <v>1.7600000000000001E-2</v>
      </c>
      <c r="F45" s="839">
        <f>'8D.)ED Shift_RedgnRate_SC8_I'!H8</f>
        <v>1.67E-2</v>
      </c>
    </row>
    <row r="46" spans="2:7" x14ac:dyDescent="0.35">
      <c r="C46" s="3" t="s">
        <v>332</v>
      </c>
      <c r="E46" s="310">
        <f>IF(ISNUMBER(VLOOKUP($C46,'[1]A1.)RatesInput'!$B$102:$L$190,HLOOKUP(E$43,'[1]A1.)RatesInput'!$D$102:$L$104,3,0),0)),VLOOKUP($C46,'[1]A1.)RatesInput'!$B$102:$L$190,HLOOKUP(E$43,'[1]A1.)RatesInput'!$D$102:$L$104,3,0),0),0)</f>
        <v>1.7600000000000001E-2</v>
      </c>
      <c r="F46" s="840">
        <f>'8D.)ED Shift_RedgnRate_SC8_I'!H9</f>
        <v>1.67E-2</v>
      </c>
    </row>
    <row r="47" spans="2:7" x14ac:dyDescent="0.35">
      <c r="C47" s="3" t="s">
        <v>333</v>
      </c>
      <c r="E47" s="310">
        <f>IF(ISNUMBER(VLOOKUP($C47,'[1]A1.)RatesInput'!$B$102:$L$190,HLOOKUP(E$43,'[1]A1.)RatesInput'!$D$102:$L$104,3,0),0)),VLOOKUP($C47,'[1]A1.)RatesInput'!$B$102:$L$190,HLOOKUP(E$43,'[1]A1.)RatesInput'!$D$102:$L$104,3,0),0),0)</f>
        <v>375.88</v>
      </c>
      <c r="F47" s="840">
        <f>'8D.)ED Shift_RedgnRate_SC8_I'!H10</f>
        <v>380.53</v>
      </c>
    </row>
    <row r="48" spans="2:7" x14ac:dyDescent="0.35">
      <c r="C48" s="3" t="s">
        <v>334</v>
      </c>
      <c r="E48" s="310">
        <f>IF(ISNUMBER(VLOOKUP($C48,'[1]A1.)RatesInput'!$B$102:$L$190,HLOOKUP(E$43,'[1]A1.)RatesInput'!$D$102:$L$104,3,0),0)),VLOOKUP($C48,'[1]A1.)RatesInput'!$B$102:$L$190,HLOOKUP(E$43,'[1]A1.)RatesInput'!$D$102:$L$104,3,0),0),0)</f>
        <v>33.9</v>
      </c>
      <c r="F48" s="840">
        <f>'8D.)ED Shift_RedgnRate_SC8_I'!H11</f>
        <v>34.33</v>
      </c>
    </row>
    <row r="49" spans="2:7" x14ac:dyDescent="0.35">
      <c r="C49" s="3" t="s">
        <v>335</v>
      </c>
      <c r="E49" s="310">
        <f>IF(ISNUMBER(VLOOKUP($C49,'[1]A1.)RatesInput'!$B$102:$L$190,HLOOKUP(E$43,'[1]A1.)RatesInput'!$D$102:$L$104,3,0),0)),VLOOKUP($C49,'[1]A1.)RatesInput'!$B$102:$L$190,HLOOKUP(E$43,'[1]A1.)RatesInput'!$D$102:$L$104,3,0),0),0)</f>
        <v>290.57</v>
      </c>
      <c r="F49" s="840">
        <f>'8D.)ED Shift_RedgnRate_SC8_I'!H12</f>
        <v>294.16000000000003</v>
      </c>
    </row>
    <row r="50" spans="2:7" x14ac:dyDescent="0.35">
      <c r="C50" s="3" t="s">
        <v>336</v>
      </c>
      <c r="E50" s="310">
        <f>IF(ISNUMBER(VLOOKUP($C50,'[1]A1.)RatesInput'!$B$102:$L$190,HLOOKUP(E$43,'[1]A1.)RatesInput'!$D$102:$L$104,3,0),0)),VLOOKUP($C50,'[1]A1.)RatesInput'!$B$102:$L$190,HLOOKUP(E$43,'[1]A1.)RatesInput'!$D$102:$L$104,3,0),0),0)</f>
        <v>26.19</v>
      </c>
      <c r="F50" s="840">
        <f>'8D.)ED Shift_RedgnRate_SC8_I'!H13</f>
        <v>26.52</v>
      </c>
    </row>
    <row r="51" spans="2:7" x14ac:dyDescent="0.35">
      <c r="C51" s="3" t="s">
        <v>337</v>
      </c>
      <c r="E51" s="310">
        <f>IF(ISNUMBER(VLOOKUP($C51,'[1]A1.)RatesInput'!$B$102:$L$190,HLOOKUP(E$43,'[1]A1.)RatesInput'!$D$102:$L$104,3,0),0)),VLOOKUP($C51,'[1]A1.)RatesInput'!$B$102:$L$190,HLOOKUP(E$43,'[1]A1.)RatesInput'!$D$102:$L$104,3,0),0),0)</f>
        <v>1.7600000000000001E-2</v>
      </c>
      <c r="F51" s="840">
        <f>'8D.)ED Shift_RedgnRate_SC8_I'!H14</f>
        <v>1.67E-2</v>
      </c>
    </row>
    <row r="52" spans="2:7" x14ac:dyDescent="0.35">
      <c r="C52" s="3" t="s">
        <v>338</v>
      </c>
      <c r="E52" s="310">
        <f>IF(ISNUMBER(VLOOKUP($C52,'[1]A1.)RatesInput'!$B$102:$L$190,HLOOKUP(E$43,'[1]A1.)RatesInput'!$D$102:$L$104,3,0),0)),VLOOKUP($C52,'[1]A1.)RatesInput'!$B$102:$L$190,HLOOKUP(E$43,'[1]A1.)RatesInput'!$D$102:$L$104,3,0),0),0)</f>
        <v>1.7600000000000001E-2</v>
      </c>
      <c r="F52" s="840">
        <f>'8D.)ED Shift_RedgnRate_SC8_I'!H15</f>
        <v>1.67E-2</v>
      </c>
    </row>
    <row r="53" spans="2:7" x14ac:dyDescent="0.35">
      <c r="C53" s="3" t="s">
        <v>339</v>
      </c>
      <c r="E53" s="310">
        <f>IF(ISNUMBER(VLOOKUP($C53,'[1]A1.)RatesInput'!$B$102:$L$190,HLOOKUP(E$43,'[1]A1.)RatesInput'!$D$102:$L$104,3,0),0)),VLOOKUP($C53,'[1]A1.)RatesInput'!$B$102:$L$190,HLOOKUP(E$43,'[1]A1.)RatesInput'!$D$102:$L$104,3,0),0),0)</f>
        <v>296.11</v>
      </c>
      <c r="F53" s="840">
        <f>'8D.)ED Shift_RedgnRate_SC8_I'!H16</f>
        <v>299.77</v>
      </c>
    </row>
    <row r="54" spans="2:7" x14ac:dyDescent="0.35">
      <c r="C54" s="3" t="s">
        <v>340</v>
      </c>
      <c r="E54" s="310">
        <f>IF(ISNUMBER(VLOOKUP($C54,'[1]A1.)RatesInput'!$B$102:$L$190,HLOOKUP(E$43,'[1]A1.)RatesInput'!$D$102:$L$104,3,0),0)),VLOOKUP($C54,'[1]A1.)RatesInput'!$B$102:$L$190,HLOOKUP(E$43,'[1]A1.)RatesInput'!$D$102:$L$104,3,0),0),0)</f>
        <v>26.700000000000003</v>
      </c>
      <c r="F54" s="840">
        <f>'8D.)ED Shift_RedgnRate_SC8_I'!H17</f>
        <v>27.04</v>
      </c>
    </row>
    <row r="55" spans="2:7" x14ac:dyDescent="0.35">
      <c r="C55" s="3" t="s">
        <v>341</v>
      </c>
      <c r="E55" s="310">
        <f>IF(ISNUMBER(VLOOKUP($C55,'[1]A1.)RatesInput'!$B$102:$L$190,HLOOKUP(E$43,'[1]A1.)RatesInput'!$D$102:$L$104,3,0),0)),VLOOKUP($C55,'[1]A1.)RatesInput'!$B$102:$L$190,HLOOKUP(E$43,'[1]A1.)RatesInput'!$D$102:$L$104,3,0),0),0)</f>
        <v>210.79</v>
      </c>
      <c r="F55" s="840">
        <f>'8D.)ED Shift_RedgnRate_SC8_I'!H18</f>
        <v>213.4</v>
      </c>
    </row>
    <row r="56" spans="2:7" ht="15" thickBot="1" x14ac:dyDescent="0.4">
      <c r="C56" s="3" t="s">
        <v>342</v>
      </c>
      <c r="E56" s="311">
        <f>IF(ISNUMBER(VLOOKUP($C56,'[1]A1.)RatesInput'!$B$102:$L$190,HLOOKUP(E$43,'[1]A1.)RatesInput'!$D$102:$L$104,3,0),0)),VLOOKUP($C56,'[1]A1.)RatesInput'!$B$102:$L$190,HLOOKUP(E$43,'[1]A1.)RatesInput'!$D$102:$L$104,3,0),0),0)</f>
        <v>18.970000000000002</v>
      </c>
      <c r="F56" s="841">
        <f>'8D.)ED Shift_RedgnRate_SC8_I'!H19</f>
        <v>19.21</v>
      </c>
    </row>
    <row r="57" spans="2:7" ht="15" thickTop="1" x14ac:dyDescent="0.35">
      <c r="E57" s="410"/>
      <c r="F57" s="410"/>
    </row>
    <row r="58" spans="2:7" x14ac:dyDescent="0.35">
      <c r="C58" s="3" t="s">
        <v>759</v>
      </c>
      <c r="E58" s="410"/>
      <c r="F58" s="842">
        <f>'8D.)ED Shift_RedgnRate_SC8_I'!M240</f>
        <v>134445845</v>
      </c>
    </row>
    <row r="59" spans="2:7" ht="15" thickBot="1" x14ac:dyDescent="0.4">
      <c r="E59" s="410"/>
      <c r="F59" s="410"/>
    </row>
    <row r="60" spans="2:7" ht="15.5" thickTop="1" thickBot="1" x14ac:dyDescent="0.4">
      <c r="C60" s="3" t="s">
        <v>752</v>
      </c>
      <c r="E60" s="440">
        <f>'8D.)ED Shift_RedgnRate_SC8_I'!M245</f>
        <v>134447658</v>
      </c>
      <c r="F60" s="440">
        <f>F58</f>
        <v>134445845</v>
      </c>
      <c r="G60" s="193">
        <f>F60/E60-1</f>
        <v>-1.3484801646757028E-5</v>
      </c>
    </row>
    <row r="61" spans="2:7" ht="15" thickTop="1" x14ac:dyDescent="0.35">
      <c r="E61" s="410"/>
      <c r="F61" s="410"/>
    </row>
    <row r="62" spans="2:7" ht="15" thickBot="1" x14ac:dyDescent="0.4">
      <c r="E62" s="844"/>
      <c r="F62" s="410"/>
    </row>
    <row r="63" spans="2:7" ht="15" thickBot="1" x14ac:dyDescent="0.4">
      <c r="B63" s="75" t="s">
        <v>531</v>
      </c>
      <c r="C63" s="803" t="str">
        <f>C14</f>
        <v>SC9 Rate I</v>
      </c>
      <c r="D63" s="190" t="s">
        <v>760</v>
      </c>
      <c r="E63" s="844">
        <f>$E$22</f>
        <v>2019</v>
      </c>
      <c r="F63" s="844" t="str">
        <f>$F$22</f>
        <v>ED Shift of 5%</v>
      </c>
    </row>
    <row r="64" spans="2:7" ht="15" thickBot="1" x14ac:dyDescent="0.4">
      <c r="E64" s="843" t="s">
        <v>170</v>
      </c>
      <c r="F64" s="843" t="s">
        <v>1309</v>
      </c>
    </row>
    <row r="65" spans="3:7" ht="15" thickTop="1" x14ac:dyDescent="0.35">
      <c r="C65" s="3" t="s">
        <v>343</v>
      </c>
      <c r="E65" s="309">
        <f>IF(ISNUMBER(VLOOKUP($C65,'[1]A1.)RatesInput'!$B$102:$L$190,HLOOKUP(E$63,'[1]A1.)RatesInput'!$D$102:$L$104,3,0),0)),VLOOKUP($C65,'[1]A1.)RatesInput'!$B$102:$L$190,HLOOKUP(E$63,'[1]A1.)RatesInput'!$D$102:$L$104,3,0),0),0)</f>
        <v>2.2100000000000002E-2</v>
      </c>
      <c r="F65" s="839">
        <f>'8E.)ED Shift_RedgnRate_SC9_I'!H8</f>
        <v>2.1000000000000001E-2</v>
      </c>
    </row>
    <row r="66" spans="3:7" x14ac:dyDescent="0.35">
      <c r="C66" s="3" t="s">
        <v>344</v>
      </c>
      <c r="E66" s="310">
        <f>IF(ISNUMBER(VLOOKUP($C66,'[1]A1.)RatesInput'!$B$102:$L$190,HLOOKUP(E$63,'[1]A1.)RatesInput'!$D$102:$L$104,3,0),0)),VLOOKUP($C66,'[1]A1.)RatesInput'!$B$102:$L$190,HLOOKUP(E$63,'[1]A1.)RatesInput'!$D$102:$L$104,3,0),0),0)</f>
        <v>2.2100000000000002E-2</v>
      </c>
      <c r="F66" s="840">
        <f>'8E.)ED Shift_RedgnRate_SC9_I'!H9</f>
        <v>2.1000000000000001E-2</v>
      </c>
    </row>
    <row r="67" spans="3:7" x14ac:dyDescent="0.35">
      <c r="C67" s="3" t="s">
        <v>345</v>
      </c>
      <c r="E67" s="310">
        <f>IF(ISNUMBER(VLOOKUP($C67,'[1]A1.)RatesInput'!$B$102:$L$190,HLOOKUP(E$63,'[1]A1.)RatesInput'!$D$102:$L$104,3,0),0)),VLOOKUP($C67,'[1]A1.)RatesInput'!$B$102:$L$190,HLOOKUP(E$63,'[1]A1.)RatesInput'!$D$102:$L$104,3,0),0),0)</f>
        <v>173.95</v>
      </c>
      <c r="F67" s="840">
        <f>'8E.)ED Shift_RedgnRate_SC9_I'!H10</f>
        <v>176.77</v>
      </c>
    </row>
    <row r="68" spans="3:7" x14ac:dyDescent="0.35">
      <c r="C68" s="3" t="s">
        <v>346</v>
      </c>
      <c r="E68" s="310">
        <f>IF(ISNUMBER(VLOOKUP($C68,'[1]A1.)RatesInput'!$B$102:$L$190,HLOOKUP(E$63,'[1]A1.)RatesInput'!$D$102:$L$104,3,0),0)),VLOOKUP($C68,'[1]A1.)RatesInput'!$B$102:$L$190,HLOOKUP(E$63,'[1]A1.)RatesInput'!$D$102:$L$104,3,0),0),0)</f>
        <v>25.410000000000004</v>
      </c>
      <c r="F68" s="840">
        <f>'8E.)ED Shift_RedgnRate_SC9_I'!H11</f>
        <v>25.83</v>
      </c>
    </row>
    <row r="69" spans="3:7" x14ac:dyDescent="0.35">
      <c r="C69" s="3" t="s">
        <v>347</v>
      </c>
      <c r="E69" s="310">
        <f>IF(ISNUMBER(VLOOKUP($C69,'[1]A1.)RatesInput'!$B$102:$L$190,HLOOKUP(E$63,'[1]A1.)RatesInput'!$D$102:$L$104,3,0),0)),VLOOKUP($C69,'[1]A1.)RatesInput'!$B$102:$L$190,HLOOKUP(E$63,'[1]A1.)RatesInput'!$D$102:$L$104,3,0),0),0)</f>
        <v>138.94999999999999</v>
      </c>
      <c r="F69" s="840">
        <f>'8E.)ED Shift_RedgnRate_SC9_I'!H12</f>
        <v>141.21</v>
      </c>
    </row>
    <row r="70" spans="3:7" x14ac:dyDescent="0.35">
      <c r="C70" s="3" t="s">
        <v>348</v>
      </c>
      <c r="E70" s="310">
        <f>IF(ISNUMBER(VLOOKUP($C70,'[1]A1.)RatesInput'!$B$102:$L$190,HLOOKUP(E$63,'[1]A1.)RatesInput'!$D$102:$L$104,3,0),0)),VLOOKUP($C70,'[1]A1.)RatesInput'!$B$102:$L$190,HLOOKUP(E$63,'[1]A1.)RatesInput'!$D$102:$L$104,3,0),0),0)</f>
        <v>20.070000000000004</v>
      </c>
      <c r="F70" s="840">
        <f>'8E.)ED Shift_RedgnRate_SC9_I'!H13</f>
        <v>20.399999999999999</v>
      </c>
    </row>
    <row r="71" spans="3:7" x14ac:dyDescent="0.35">
      <c r="C71" s="3" t="s">
        <v>349</v>
      </c>
      <c r="E71" s="310">
        <f>IF(ISNUMBER(VLOOKUP($C71,'[1]A1.)RatesInput'!$B$102:$L$190,HLOOKUP(E$63,'[1]A1.)RatesInput'!$D$102:$L$104,3,0),0)),VLOOKUP($C71,'[1]A1.)RatesInput'!$B$102:$L$190,HLOOKUP(E$63,'[1]A1.)RatesInput'!$D$102:$L$104,3,0),0),0)</f>
        <v>2.06E-2</v>
      </c>
      <c r="F71" s="840">
        <f>'8E.)ED Shift_RedgnRate_SC9_I'!H14</f>
        <v>1.95E-2</v>
      </c>
    </row>
    <row r="72" spans="3:7" x14ac:dyDescent="0.35">
      <c r="C72" s="3" t="s">
        <v>350</v>
      </c>
      <c r="E72" s="310">
        <f>IF(ISNUMBER(VLOOKUP($C72,'[1]A1.)RatesInput'!$B$102:$L$190,HLOOKUP(E$63,'[1]A1.)RatesInput'!$D$102:$L$104,3,0),0)),VLOOKUP($C72,'[1]A1.)RatesInput'!$B$102:$L$190,HLOOKUP(E$63,'[1]A1.)RatesInput'!$D$102:$L$104,3,0),0),0)</f>
        <v>2.06E-2</v>
      </c>
      <c r="F72" s="840">
        <f>'8E.)ED Shift_RedgnRate_SC9_I'!H15</f>
        <v>1.95E-2</v>
      </c>
    </row>
    <row r="73" spans="3:7" x14ac:dyDescent="0.35">
      <c r="C73" s="3" t="s">
        <v>351</v>
      </c>
      <c r="E73" s="310">
        <f>IF(ISNUMBER(VLOOKUP($C73,'[1]A1.)RatesInput'!$B$102:$L$190,HLOOKUP(E$63,'[1]A1.)RatesInput'!$D$102:$L$104,3,0),0)),VLOOKUP($C73,'[1]A1.)RatesInput'!$B$102:$L$190,HLOOKUP(E$63,'[1]A1.)RatesInput'!$D$102:$L$104,3,0),0),0)</f>
        <v>134.47999999999999</v>
      </c>
      <c r="F73" s="840">
        <f>'8E.)ED Shift_RedgnRate_SC9_I'!H16</f>
        <v>136.66</v>
      </c>
    </row>
    <row r="74" spans="3:7" x14ac:dyDescent="0.35">
      <c r="C74" s="3" t="s">
        <v>352</v>
      </c>
      <c r="E74" s="310">
        <f>IF(ISNUMBER(VLOOKUP($C74,'[1]A1.)RatesInput'!$B$102:$L$190,HLOOKUP(E$63,'[1]A1.)RatesInput'!$D$102:$L$104,3,0),0)),VLOOKUP($C74,'[1]A1.)RatesInput'!$B$102:$L$190,HLOOKUP(E$63,'[1]A1.)RatesInput'!$D$102:$L$104,3,0),0),0)</f>
        <v>19.270000000000003</v>
      </c>
      <c r="F74" s="840">
        <f>'8E.)ED Shift_RedgnRate_SC9_I'!H17</f>
        <v>19.59</v>
      </c>
    </row>
    <row r="75" spans="3:7" x14ac:dyDescent="0.35">
      <c r="C75" s="3" t="s">
        <v>353</v>
      </c>
      <c r="E75" s="310">
        <f>IF(ISNUMBER(VLOOKUP($C75,'[1]A1.)RatesInput'!$B$102:$L$190,HLOOKUP(E$63,'[1]A1.)RatesInput'!$D$102:$L$104,3,0),0)),VLOOKUP($C75,'[1]A1.)RatesInput'!$B$102:$L$190,HLOOKUP(E$63,'[1]A1.)RatesInput'!$D$102:$L$104,3,0),0),0)</f>
        <v>99.53</v>
      </c>
      <c r="F75" s="840">
        <f>'8E.)ED Shift_RedgnRate_SC9_I'!H18</f>
        <v>101.15</v>
      </c>
    </row>
    <row r="76" spans="3:7" ht="15" thickBot="1" x14ac:dyDescent="0.4">
      <c r="C76" s="3" t="s">
        <v>354</v>
      </c>
      <c r="E76" s="311">
        <f>IF(ISNUMBER(VLOOKUP($C76,'[1]A1.)RatesInput'!$B$102:$L$190,HLOOKUP(E$63,'[1]A1.)RatesInput'!$D$102:$L$104,3,0),0)),VLOOKUP($C76,'[1]A1.)RatesInput'!$B$102:$L$190,HLOOKUP(E$63,'[1]A1.)RatesInput'!$D$102:$L$104,3,0),0),0)</f>
        <v>13.910000000000004</v>
      </c>
      <c r="F76" s="841">
        <f>'8E.)ED Shift_RedgnRate_SC9_I'!H19</f>
        <v>14.139999999999999</v>
      </c>
    </row>
    <row r="77" spans="3:7" ht="15" thickTop="1" x14ac:dyDescent="0.35">
      <c r="E77" s="410"/>
      <c r="F77" s="410"/>
    </row>
    <row r="78" spans="3:7" x14ac:dyDescent="0.35">
      <c r="C78" s="3" t="s">
        <v>759</v>
      </c>
      <c r="E78" s="410"/>
      <c r="F78" s="842">
        <f>'8E.)ED Shift_RedgnRate_SC9_I'!M240</f>
        <v>1473325191</v>
      </c>
    </row>
    <row r="79" spans="3:7" ht="15" thickBot="1" x14ac:dyDescent="0.4">
      <c r="E79" s="410"/>
      <c r="F79" s="410"/>
    </row>
    <row r="80" spans="3:7" ht="15.5" thickTop="1" thickBot="1" x14ac:dyDescent="0.4">
      <c r="C80" s="3" t="s">
        <v>752</v>
      </c>
      <c r="E80" s="440">
        <f>'8E.)ED Shift_RedgnRate_SC9_I'!M245</f>
        <v>1473027897</v>
      </c>
      <c r="F80" s="440">
        <f>F78</f>
        <v>1473325191</v>
      </c>
      <c r="G80" s="193">
        <f>F80/E80-1</f>
        <v>2.0182509822497252E-4</v>
      </c>
    </row>
    <row r="81" spans="2:6" ht="15.5" thickTop="1" thickBot="1" x14ac:dyDescent="0.4"/>
    <row r="82" spans="2:6" ht="15" thickBot="1" x14ac:dyDescent="0.4">
      <c r="E82" s="302"/>
    </row>
    <row r="83" spans="2:6" ht="15" thickBot="1" x14ac:dyDescent="0.4">
      <c r="B83" s="75" t="s">
        <v>530</v>
      </c>
      <c r="C83" s="803" t="str">
        <f>C16</f>
        <v>SC12 Rate I</v>
      </c>
      <c r="D83" s="190" t="str">
        <f>D16</f>
        <v>8F.)ED Shift_RedgnRate_SC12</v>
      </c>
      <c r="E83" s="302">
        <f>$E$22</f>
        <v>2019</v>
      </c>
      <c r="F83" s="302" t="str">
        <f>$F$22</f>
        <v>ED Shift of 5%</v>
      </c>
    </row>
    <row r="84" spans="2:6" ht="15" thickBot="1" x14ac:dyDescent="0.4">
      <c r="E84" s="101" t="s">
        <v>170</v>
      </c>
      <c r="F84" s="101" t="s">
        <v>1309</v>
      </c>
    </row>
    <row r="85" spans="2:6" ht="15" thickTop="1" x14ac:dyDescent="0.35">
      <c r="C85" s="3" t="s">
        <v>355</v>
      </c>
      <c r="E85" s="309">
        <f>IF(ISNUMBER(VLOOKUP($C85,'[1]A1.)RatesInput'!$B$102:$L$190,HLOOKUP(E$83,'[1]A1.)RatesInput'!$D$102:$L$104,3,0),0)),VLOOKUP($C85,'[1]A1.)RatesInput'!$B$102:$L$190,HLOOKUP(E$83,'[1]A1.)RatesInput'!$D$102:$L$104,3,0),0),0)</f>
        <v>1.8100000000000002E-2</v>
      </c>
      <c r="F85" s="839">
        <f>'8F.)ED Shift_RedgnRate_SC12_I'!H8</f>
        <v>1.72E-2</v>
      </c>
    </row>
    <row r="86" spans="2:6" x14ac:dyDescent="0.35">
      <c r="C86" s="3" t="s">
        <v>356</v>
      </c>
      <c r="E86" s="310">
        <f>IF(ISNUMBER(VLOOKUP($C86,'[1]A1.)RatesInput'!$B$102:$L$190,HLOOKUP(E$83,'[1]A1.)RatesInput'!$D$102:$L$104,3,0),0)),VLOOKUP($C86,'[1]A1.)RatesInput'!$B$102:$L$190,HLOOKUP(E$83,'[1]A1.)RatesInput'!$D$102:$L$104,3,0),0),0)</f>
        <v>1.8100000000000002E-2</v>
      </c>
      <c r="F86" s="840">
        <f>'8F.)ED Shift_RedgnRate_SC12_I'!H9</f>
        <v>1.72E-2</v>
      </c>
    </row>
    <row r="87" spans="2:6" x14ac:dyDescent="0.35">
      <c r="C87" s="3" t="s">
        <v>357</v>
      </c>
      <c r="E87" s="310">
        <f>IF(ISNUMBER(VLOOKUP($C87,'[1]A1.)RatesInput'!$B$102:$L$190,HLOOKUP(E$83,'[1]A1.)RatesInput'!$D$102:$L$104,3,0),0)),VLOOKUP($C87,'[1]A1.)RatesInput'!$B$102:$L$190,HLOOKUP(E$83,'[1]A1.)RatesInput'!$D$102:$L$104,3,0),0),0)</f>
        <v>183.98</v>
      </c>
      <c r="F87" s="840">
        <f>'8F.)ED Shift_RedgnRate_SC12_I'!H10</f>
        <v>187.11</v>
      </c>
    </row>
    <row r="88" spans="2:6" x14ac:dyDescent="0.35">
      <c r="C88" s="3" t="s">
        <v>358</v>
      </c>
      <c r="E88" s="310">
        <f>IF(ISNUMBER(VLOOKUP($C88,'[1]A1.)RatesInput'!$B$102:$L$190,HLOOKUP(E$83,'[1]A1.)RatesInput'!$D$102:$L$104,3,0),0)),VLOOKUP($C88,'[1]A1.)RatesInput'!$B$102:$L$190,HLOOKUP(E$83,'[1]A1.)RatesInput'!$D$102:$L$104,3,0),0),0)</f>
        <v>33.269999999999996</v>
      </c>
      <c r="F88" s="840">
        <f>'8F.)ED Shift_RedgnRate_SC12_I'!H11</f>
        <v>33.840000000000003</v>
      </c>
    </row>
    <row r="89" spans="2:6" x14ac:dyDescent="0.35">
      <c r="C89" s="3" t="s">
        <v>359</v>
      </c>
      <c r="E89" s="310">
        <f>IF(ISNUMBER(VLOOKUP($C89,'[1]A1.)RatesInput'!$B$102:$L$190,HLOOKUP(E$83,'[1]A1.)RatesInput'!$D$102:$L$104,3,0),0)),VLOOKUP($C89,'[1]A1.)RatesInput'!$B$102:$L$190,HLOOKUP(E$83,'[1]A1.)RatesInput'!$D$102:$L$104,3,0),0),0)</f>
        <v>103.3</v>
      </c>
      <c r="F89" s="840">
        <f>'8F.)ED Shift_RedgnRate_SC12_I'!H12</f>
        <v>105.06</v>
      </c>
    </row>
    <row r="90" spans="2:6" x14ac:dyDescent="0.35">
      <c r="C90" s="3" t="s">
        <v>360</v>
      </c>
      <c r="E90" s="310">
        <f>IF(ISNUMBER(VLOOKUP($C90,'[1]A1.)RatesInput'!$B$102:$L$190,HLOOKUP(E$83,'[1]A1.)RatesInput'!$D$102:$L$104,3,0),0)),VLOOKUP($C90,'[1]A1.)RatesInput'!$B$102:$L$190,HLOOKUP(E$83,'[1]A1.)RatesInput'!$D$102:$L$104,3,0),0),0)</f>
        <v>18.66</v>
      </c>
      <c r="F90" s="840">
        <f>'8F.)ED Shift_RedgnRate_SC12_I'!H13</f>
        <v>18.98</v>
      </c>
    </row>
    <row r="91" spans="2:6" x14ac:dyDescent="0.35">
      <c r="C91" s="3" t="s">
        <v>361</v>
      </c>
      <c r="E91" s="310">
        <f>IF(ISNUMBER(VLOOKUP($C91,'[1]A1.)RatesInput'!$B$102:$L$190,HLOOKUP(E$83,'[1]A1.)RatesInput'!$D$102:$L$104,3,0),0)),VLOOKUP($C91,'[1]A1.)RatesInput'!$B$102:$L$190,HLOOKUP(E$83,'[1]A1.)RatesInput'!$D$102:$L$104,3,0),0),0)</f>
        <v>1.8100000000000002E-2</v>
      </c>
      <c r="F91" s="840">
        <f>'8F.)ED Shift_RedgnRate_SC12_I'!H14</f>
        <v>1.72E-2</v>
      </c>
    </row>
    <row r="92" spans="2:6" x14ac:dyDescent="0.35">
      <c r="C92" s="3" t="s">
        <v>362</v>
      </c>
      <c r="E92" s="310">
        <f>IF(ISNUMBER(VLOOKUP($C92,'[1]A1.)RatesInput'!$B$102:$L$190,HLOOKUP(E$83,'[1]A1.)RatesInput'!$D$102:$L$104,3,0),0)),VLOOKUP($C92,'[1]A1.)RatesInput'!$B$102:$L$190,HLOOKUP(E$83,'[1]A1.)RatesInput'!$D$102:$L$104,3,0),0),0)</f>
        <v>1.8100000000000002E-2</v>
      </c>
      <c r="F92" s="840">
        <f>'8F.)ED Shift_RedgnRate_SC12_I'!H15</f>
        <v>1.72E-2</v>
      </c>
    </row>
    <row r="93" spans="2:6" x14ac:dyDescent="0.35">
      <c r="C93" s="3" t="s">
        <v>363</v>
      </c>
      <c r="E93" s="310">
        <f>IF(ISNUMBER(VLOOKUP($C93,'[1]A1.)RatesInput'!$B$102:$L$190,HLOOKUP(E$83,'[1]A1.)RatesInput'!$D$102:$L$104,3,0),0)),VLOOKUP($C93,'[1]A1.)RatesInput'!$B$102:$L$190,HLOOKUP(E$83,'[1]A1.)RatesInput'!$D$102:$L$104,3,0),0),0)</f>
        <v>137.57</v>
      </c>
      <c r="F93" s="840">
        <f>'8F.)ED Shift_RedgnRate_SC12_I'!H16</f>
        <v>139.91</v>
      </c>
    </row>
    <row r="94" spans="2:6" x14ac:dyDescent="0.35">
      <c r="C94" s="3" t="s">
        <v>364</v>
      </c>
      <c r="E94" s="310">
        <f>IF(ISNUMBER(VLOOKUP($C94,'[1]A1.)RatesInput'!$B$102:$L$190,HLOOKUP(E$83,'[1]A1.)RatesInput'!$D$102:$L$104,3,0),0)),VLOOKUP($C94,'[1]A1.)RatesInput'!$B$102:$L$190,HLOOKUP(E$83,'[1]A1.)RatesInput'!$D$102:$L$104,3,0),0),0)</f>
        <v>24.86</v>
      </c>
      <c r="F94" s="840">
        <f>'8F.)ED Shift_RedgnRate_SC12_I'!H17</f>
        <v>25.29</v>
      </c>
    </row>
    <row r="95" spans="2:6" x14ac:dyDescent="0.35">
      <c r="C95" s="3" t="s">
        <v>365</v>
      </c>
      <c r="E95" s="310">
        <f>IF(ISNUMBER(VLOOKUP($C95,'[1]A1.)RatesInput'!$B$102:$L$190,HLOOKUP(E$83,'[1]A1.)RatesInput'!$D$102:$L$104,3,0),0)),VLOOKUP($C95,'[1]A1.)RatesInput'!$B$102:$L$190,HLOOKUP(E$83,'[1]A1.)RatesInput'!$D$102:$L$104,3,0),0),0)</f>
        <v>57.05</v>
      </c>
      <c r="F95" s="840">
        <f>'8F.)ED Shift_RedgnRate_SC12_I'!H18</f>
        <v>58.02</v>
      </c>
    </row>
    <row r="96" spans="2:6" ht="15" thickBot="1" x14ac:dyDescent="0.4">
      <c r="C96" s="3" t="s">
        <v>366</v>
      </c>
      <c r="E96" s="311">
        <f>IF(ISNUMBER(VLOOKUP($C96,'[1]A1.)RatesInput'!$B$102:$L$190,HLOOKUP(E$83,'[1]A1.)RatesInput'!$D$102:$L$104,3,0),0)),VLOOKUP($C96,'[1]A1.)RatesInput'!$B$102:$L$190,HLOOKUP(E$83,'[1]A1.)RatesInput'!$D$102:$L$104,3,0),0),0)</f>
        <v>10.27</v>
      </c>
      <c r="F96" s="841">
        <f>'8F.)ED Shift_RedgnRate_SC12_I'!H19</f>
        <v>10.450000000000001</v>
      </c>
    </row>
    <row r="97" spans="3:7" ht="15" thickTop="1" x14ac:dyDescent="0.35">
      <c r="E97" s="410"/>
      <c r="F97" s="410"/>
    </row>
    <row r="98" spans="3:7" x14ac:dyDescent="0.35">
      <c r="C98" s="3" t="s">
        <v>759</v>
      </c>
      <c r="E98" s="410"/>
      <c r="F98" s="842">
        <f>'8F.)ED Shift_RedgnRate_SC12_I'!M240</f>
        <v>11015909</v>
      </c>
    </row>
    <row r="99" spans="3:7" ht="15" thickBot="1" x14ac:dyDescent="0.4">
      <c r="E99" s="410"/>
      <c r="F99" s="410"/>
    </row>
    <row r="100" spans="3:7" ht="15.5" thickTop="1" thickBot="1" x14ac:dyDescent="0.4">
      <c r="C100" s="3" t="s">
        <v>752</v>
      </c>
      <c r="E100" s="440">
        <f>'8F.)ED Shift_RedgnRate_SC12_I'!M245</f>
        <v>11014263</v>
      </c>
      <c r="F100" s="440">
        <f>F98</f>
        <v>11015909</v>
      </c>
      <c r="G100" s="193">
        <f>F100/E100-1</f>
        <v>1.4944259093874201E-4</v>
      </c>
    </row>
    <row r="101" spans="3:7" ht="15" thickTop="1" x14ac:dyDescent="0.35"/>
    <row r="102" spans="3:7" x14ac:dyDescent="0.35">
      <c r="C102" s="642"/>
    </row>
    <row r="103" spans="3:7" x14ac:dyDescent="0.35">
      <c r="C103" s="642"/>
    </row>
  </sheetData>
  <mergeCells count="2">
    <mergeCell ref="E7:G7"/>
    <mergeCell ref="I7:K7"/>
  </mergeCells>
  <printOptions horizontalCentered="1"/>
  <pageMargins left="0.45" right="0.45" top="1" bottom="0.5" header="0.3" footer="0.3"/>
  <pageSetup scale="65" orientation="landscape" r:id="rId1"/>
  <headerFooter>
    <oddFooter>&amp;C&amp;F (Tab: &amp;A)&amp;RPage &amp;P / &amp;N</oddFooter>
  </headerFooter>
  <rowBreaks count="1" manualBreakCount="1">
    <brk id="61" min="1" max="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V253"/>
  <sheetViews>
    <sheetView topLeftCell="A142" workbookViewId="0">
      <selection activeCell="J12" sqref="J12"/>
    </sheetView>
  </sheetViews>
  <sheetFormatPr defaultRowHeight="14.5" outlineLevelRow="1" x14ac:dyDescent="0.35"/>
  <cols>
    <col min="1" max="1" width="7.453125" customWidth="1"/>
    <col min="2" max="2" width="28.7265625" customWidth="1"/>
    <col min="3" max="3" width="17.1796875" customWidth="1"/>
    <col min="4" max="6" width="4.5429687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8" customWidth="1"/>
    <col min="14" max="14" width="13.81640625" customWidth="1"/>
    <col min="15" max="15" width="16.453125" customWidth="1"/>
    <col min="16" max="16" width="15" style="1" customWidth="1"/>
    <col min="17" max="17" width="9.7265625" style="1" customWidth="1"/>
    <col min="18" max="19" width="9.7265625" customWidth="1"/>
    <col min="20" max="22" width="11" customWidth="1"/>
    <col min="25" max="26" width="11.7265625" customWidth="1"/>
    <col min="27" max="27" width="16.81640625" customWidth="1"/>
  </cols>
  <sheetData>
    <row r="1" spans="1:22" ht="18.5" x14ac:dyDescent="0.45">
      <c r="A1" s="189" t="s">
        <v>827</v>
      </c>
    </row>
    <row r="3" spans="1:22" outlineLevel="1" x14ac:dyDescent="0.35">
      <c r="A3" s="70" t="s">
        <v>158</v>
      </c>
      <c r="B3" s="70"/>
      <c r="C3" s="3"/>
      <c r="D3" s="180"/>
      <c r="E3" s="180"/>
      <c r="F3" s="180"/>
      <c r="G3" s="180"/>
      <c r="H3" s="180"/>
      <c r="K3" s="33" t="s">
        <v>150</v>
      </c>
      <c r="L3" s="806">
        <f>'8B.)ED Shift_RedesignRateSum'!$D$3</f>
        <v>2019</v>
      </c>
      <c r="M3" s="3"/>
      <c r="P3" s="192" t="str">
        <f>$A$4</f>
        <v>SC5 Rate I</v>
      </c>
      <c r="Q3" s="2"/>
      <c r="R3" s="3"/>
      <c r="S3" s="3"/>
      <c r="T3" s="3"/>
      <c r="U3" s="3"/>
      <c r="V3" s="3"/>
    </row>
    <row r="4" spans="1:22" outlineLevel="1" x14ac:dyDescent="0.35">
      <c r="A4" s="808" t="s">
        <v>148</v>
      </c>
      <c r="B4" s="808"/>
      <c r="C4" s="3"/>
      <c r="D4" s="3"/>
      <c r="E4" s="3"/>
      <c r="F4" s="3"/>
      <c r="G4" s="3"/>
      <c r="H4" s="3"/>
      <c r="K4" s="33" t="s">
        <v>5</v>
      </c>
      <c r="L4" s="806">
        <f>'8B.)ED Shift_RedesignRateSum'!$D$4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180"/>
      <c r="B5" s="180"/>
      <c r="C5" s="3"/>
      <c r="D5" s="3"/>
      <c r="E5" s="3"/>
      <c r="F5" s="3"/>
      <c r="G5" s="3"/>
      <c r="H5" s="3"/>
      <c r="K5" s="33" t="s">
        <v>145</v>
      </c>
      <c r="L5" s="806" t="str">
        <f>CONCATENATE("Shift of ",$L$8*100,"%")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7">
        <f>'8B.)ED Shift_RedesignRateSum'!E22</f>
        <v>2019</v>
      </c>
      <c r="H6" s="291" t="s">
        <v>309</v>
      </c>
      <c r="K6" s="33" t="s">
        <v>1428</v>
      </c>
      <c r="L6" s="806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028">
        <v>5</v>
      </c>
      <c r="T6" s="386">
        <f>'[2]4C.)HY_DemandRatePxOut(Rate I)'!$L$11</f>
        <v>10</v>
      </c>
      <c r="U6" s="386">
        <f>'[2]4C.)HY_DemandRatePxOut(Rate I)'!$N$11</f>
        <v>180</v>
      </c>
      <c r="V6" s="386">
        <f>'[2]4B.)HY_EnergyRatePxOut(Rate I)'!$M$73</f>
        <v>151446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265" t="s">
        <v>170</v>
      </c>
      <c r="H7" s="265" t="s">
        <v>142</v>
      </c>
      <c r="K7" s="33"/>
      <c r="L7" s="118" t="str">
        <f>A4</f>
        <v>SC5 Rate I</v>
      </c>
      <c r="M7" s="3"/>
      <c r="P7" s="170" t="s">
        <v>114</v>
      </c>
      <c r="Q7" s="159"/>
      <c r="R7" s="158" t="s">
        <v>141</v>
      </c>
      <c r="S7" s="159">
        <f>S6</f>
        <v>5</v>
      </c>
      <c r="T7" s="387">
        <f>'[2]4C.)HY_DemandRatePxOut(Rate I)'!$L$12</f>
        <v>26</v>
      </c>
      <c r="U7" s="387">
        <f>'[2]4C.)HY_DemandRatePxOut(Rate I)'!$N$12</f>
        <v>190</v>
      </c>
      <c r="V7" s="387">
        <f>'[2]4B.)HY_EnergyRatePxOut(Rate I)'!$M$74</f>
        <v>0</v>
      </c>
    </row>
    <row r="8" spans="1:22" ht="15.5" outlineLevel="1" thickTop="1" thickBot="1" x14ac:dyDescent="0.4">
      <c r="A8" s="3" t="s">
        <v>318</v>
      </c>
      <c r="B8" s="3"/>
      <c r="C8" s="3"/>
      <c r="D8" s="3"/>
      <c r="E8" s="3"/>
      <c r="F8" s="3"/>
      <c r="G8" s="309">
        <f>'8B.)ED Shift_RedesignRateSum'!E24</f>
        <v>3.9899999999999998E-2</v>
      </c>
      <c r="H8" s="512">
        <f>I178</f>
        <v>3.7900000000000003E-2</v>
      </c>
      <c r="K8" s="33" t="s">
        <v>1437</v>
      </c>
      <c r="L8" s="688">
        <f>'8B.)ED Shift_RedesignRateSum'!$D$5</f>
        <v>0.05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319</v>
      </c>
      <c r="B9" s="3"/>
      <c r="C9" s="3"/>
      <c r="D9" s="3"/>
      <c r="E9" s="3"/>
      <c r="F9" s="3"/>
      <c r="G9" s="310">
        <f>'8B.)ED Shift_RedesignRateSum'!E25</f>
        <v>3.9899999999999998E-2</v>
      </c>
      <c r="H9" s="513">
        <f>K178</f>
        <v>3.7900000000000003E-2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36</v>
      </c>
      <c r="U9" s="151">
        <f>SUM(U6:U8)</f>
        <v>370</v>
      </c>
      <c r="V9" s="151">
        <f>SUM(V6:V8)</f>
        <v>151446</v>
      </c>
    </row>
    <row r="10" spans="1:22" ht="15" outlineLevel="1" thickTop="1" x14ac:dyDescent="0.35">
      <c r="A10" s="3" t="s">
        <v>320</v>
      </c>
      <c r="B10" s="3"/>
      <c r="C10" s="3"/>
      <c r="D10" s="3"/>
      <c r="E10" s="3"/>
      <c r="F10" s="3"/>
      <c r="G10" s="310">
        <f>'8B.)ED Shift_RedesignRateSum'!E26</f>
        <v>173</v>
      </c>
      <c r="H10" s="513">
        <f>H120</f>
        <v>178.73</v>
      </c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321</v>
      </c>
      <c r="B11" s="3"/>
      <c r="C11" s="3"/>
      <c r="D11" s="3"/>
      <c r="E11" s="3"/>
      <c r="F11" s="3"/>
      <c r="G11" s="310">
        <f>'8B.)ED Shift_RedesignRateSum'!E27</f>
        <v>30.36</v>
      </c>
      <c r="H11" s="513">
        <f>H122</f>
        <v>31.369999999999997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735">
        <f>'[2]4C.)HY_DemandRatePxOut(Rate I)'!$L$7</f>
        <v>14</v>
      </c>
      <c r="U11" s="735">
        <f>'[2]4C.)HY_DemandRatePxOut(Rate I)'!$N$7</f>
        <v>370</v>
      </c>
      <c r="V11" s="735">
        <f>'[2]4B.)HY_EnergyRatePxOut(Rate I)'!$M$68</f>
        <v>530566</v>
      </c>
    </row>
    <row r="12" spans="1:22" outlineLevel="1" x14ac:dyDescent="0.35">
      <c r="A12" s="3" t="s">
        <v>322</v>
      </c>
      <c r="B12" s="3"/>
      <c r="C12" s="3"/>
      <c r="D12" s="3"/>
      <c r="E12" s="3"/>
      <c r="F12" s="3"/>
      <c r="G12" s="310">
        <f>'8B.)ED Shift_RedesignRateSum'!E28</f>
        <v>110.99</v>
      </c>
      <c r="H12" s="513">
        <f>J120</f>
        <v>114.67</v>
      </c>
      <c r="K12" s="367"/>
      <c r="P12" s="160" t="s">
        <v>113</v>
      </c>
      <c r="Q12" s="159"/>
      <c r="R12" s="158" t="str">
        <f>$R$7</f>
        <v>&gt;</v>
      </c>
      <c r="S12" s="157">
        <f>$S$7</f>
        <v>5</v>
      </c>
      <c r="T12" s="733">
        <f>'[2]4C.)HY_DemandRatePxOut(Rate I)'!$L$8</f>
        <v>59.999999999999993</v>
      </c>
      <c r="U12" s="733">
        <f>'[2]4C.)HY_DemandRatePxOut(Rate I)'!$N$8</f>
        <v>1056</v>
      </c>
      <c r="V12" s="733">
        <f>'[2]4B.)HY_EnergyRatePxOut(Rate I)'!$M$69</f>
        <v>0</v>
      </c>
    </row>
    <row r="13" spans="1:22" ht="15" outlineLevel="1" thickBot="1" x14ac:dyDescent="0.4">
      <c r="A13" s="3" t="s">
        <v>323</v>
      </c>
      <c r="B13" s="3"/>
      <c r="C13" s="3"/>
      <c r="D13" s="3"/>
      <c r="E13" s="3"/>
      <c r="F13" s="3"/>
      <c r="G13" s="310">
        <f>'8B.)ED Shift_RedesignRateSum'!E29</f>
        <v>19.329999999999998</v>
      </c>
      <c r="H13" s="513">
        <f>J122</f>
        <v>19.97</v>
      </c>
      <c r="I13" s="3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324</v>
      </c>
      <c r="B14" s="3"/>
      <c r="C14" s="3"/>
      <c r="D14" s="3"/>
      <c r="E14" s="3"/>
      <c r="F14" s="3"/>
      <c r="G14" s="310">
        <f>'8B.)ED Shift_RedesignRateSum'!E30</f>
        <v>3.9899999999999998E-2</v>
      </c>
      <c r="H14" s="513">
        <f>I180</f>
        <v>3.7900000000000003E-2</v>
      </c>
      <c r="K14" s="367"/>
      <c r="P14" s="2"/>
      <c r="Q14" s="2"/>
      <c r="R14" s="3"/>
      <c r="S14" s="3"/>
      <c r="T14" s="151">
        <f>SUM(T11:T13)</f>
        <v>74</v>
      </c>
      <c r="U14" s="151">
        <f>SUM(U11:U13)</f>
        <v>1426</v>
      </c>
      <c r="V14" s="151">
        <f>SUM(V11:V13)</f>
        <v>530566</v>
      </c>
    </row>
    <row r="15" spans="1:22" ht="15" outlineLevel="1" thickTop="1" x14ac:dyDescent="0.35">
      <c r="A15" s="3" t="s">
        <v>325</v>
      </c>
      <c r="B15" s="3"/>
      <c r="C15" s="3"/>
      <c r="D15" s="3"/>
      <c r="E15" s="3"/>
      <c r="F15" s="3"/>
      <c r="G15" s="310">
        <f>'8B.)ED Shift_RedesignRateSum'!E31</f>
        <v>3.9899999999999998E-2</v>
      </c>
      <c r="H15" s="513">
        <f>K180</f>
        <v>3.7900000000000003E-2</v>
      </c>
      <c r="K15" s="33" t="s">
        <v>131</v>
      </c>
      <c r="L15" s="245">
        <f>'8A.)HY_ED RevShifting'!$E$9</f>
        <v>41070</v>
      </c>
      <c r="M15" s="245">
        <f>'8A.)HY_ED RevShifting'!$D$9</f>
        <v>40621</v>
      </c>
      <c r="N15" s="134">
        <v>41070</v>
      </c>
    </row>
    <row r="16" spans="1:22" outlineLevel="1" x14ac:dyDescent="0.35">
      <c r="A16" s="3" t="s">
        <v>326</v>
      </c>
      <c r="B16" s="3"/>
      <c r="C16" s="3"/>
      <c r="D16" s="3"/>
      <c r="E16" s="3"/>
      <c r="F16" s="3"/>
      <c r="G16" s="310">
        <f>'8B.)ED Shift_RedesignRateSum'!E32</f>
        <v>131.93</v>
      </c>
      <c r="H16" s="513">
        <f>H124</f>
        <v>136.30000000000001</v>
      </c>
      <c r="K16" s="33" t="s">
        <v>129</v>
      </c>
      <c r="L16" s="245">
        <f>'8A.)HY_ED RevShifting'!$E$13</f>
        <v>27213</v>
      </c>
      <c r="M16" s="245">
        <f>'8A.)HY_ED RevShifting'!$D$13</f>
        <v>27213</v>
      </c>
      <c r="N16" s="134">
        <v>27213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3" t="s">
        <v>327</v>
      </c>
      <c r="B17" s="3"/>
      <c r="C17" s="3"/>
      <c r="D17" s="3"/>
      <c r="E17" s="3"/>
      <c r="F17" s="3"/>
      <c r="G17" s="310">
        <f>'8B.)ED Shift_RedesignRateSum'!E33</f>
        <v>23.049999999999997</v>
      </c>
      <c r="H17" s="513">
        <f>H126</f>
        <v>23.81</v>
      </c>
      <c r="K17" s="33" t="s">
        <v>130</v>
      </c>
      <c r="L17" s="245">
        <f>HLOOKUP($L$8,'8A.)HY_ED RevShifting'!$B$6:$M$43,'8A.)HY_ED RevShifting'!$B$10,0)</f>
        <v>1361</v>
      </c>
      <c r="M17" s="134">
        <f>ROUND(L17/$L$9,0)</f>
        <v>1346</v>
      </c>
      <c r="N17" s="134">
        <v>1361</v>
      </c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3" t="s">
        <v>328</v>
      </c>
      <c r="B18" s="3"/>
      <c r="C18" s="3"/>
      <c r="D18" s="3"/>
      <c r="E18" s="3"/>
      <c r="F18" s="3"/>
      <c r="G18" s="310">
        <f>'8B.)ED Shift_RedesignRateSum'!E34</f>
        <v>69.91</v>
      </c>
      <c r="H18" s="513">
        <f>J124</f>
        <v>72.23</v>
      </c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329</v>
      </c>
      <c r="B19" s="3"/>
      <c r="C19" s="3"/>
      <c r="D19" s="3"/>
      <c r="E19" s="3"/>
      <c r="F19" s="3"/>
      <c r="G19" s="311">
        <f>'8B.)ED Shift_RedesignRateSum'!E35</f>
        <v>12.009999999999998</v>
      </c>
      <c r="H19" s="514">
        <f>J126</f>
        <v>12.41</v>
      </c>
      <c r="K19" s="33" t="str">
        <f>CONCATENATE(A4," - Demand &amp; Energy Rev:")</f>
        <v>SC5 Rate I - Demand &amp; Energy Rev:</v>
      </c>
      <c r="L19" s="308">
        <f>L15+L16</f>
        <v>68283</v>
      </c>
      <c r="M19" s="143"/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/>
    <row r="21" spans="1:22" outlineLevel="1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407" t="s">
        <v>1537</v>
      </c>
      <c r="B28" s="147"/>
      <c r="C28" s="131"/>
      <c r="D28" s="131"/>
      <c r="E28" s="131"/>
      <c r="F28" s="131"/>
    </row>
    <row r="29" spans="1:22" x14ac:dyDescent="0.35">
      <c r="A29" s="131"/>
      <c r="B29" s="131"/>
      <c r="C29" s="131"/>
      <c r="D29" s="131"/>
      <c r="E29" s="131"/>
      <c r="F29" s="131"/>
      <c r="P29"/>
    </row>
    <row r="30" spans="1:22" x14ac:dyDescent="0.35">
      <c r="B30" s="41" t="str">
        <f>$A$4</f>
        <v>SC5 Rate I</v>
      </c>
      <c r="C30" s="133" t="s">
        <v>1874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819">
        <f>M15</f>
        <v>40621</v>
      </c>
      <c r="J32" s="136" t="s">
        <v>79</v>
      </c>
      <c r="P32"/>
      <c r="Q32" s="142"/>
    </row>
    <row r="33" spans="1:17" x14ac:dyDescent="0.35">
      <c r="C33" t="s">
        <v>88</v>
      </c>
      <c r="I33" s="819">
        <f>M17</f>
        <v>1346</v>
      </c>
      <c r="J33" s="136" t="s">
        <v>78</v>
      </c>
      <c r="P33"/>
      <c r="Q33" s="142"/>
    </row>
    <row r="34" spans="1:17" x14ac:dyDescent="0.35">
      <c r="C34" s="818" t="s">
        <v>1789</v>
      </c>
      <c r="D34" s="75"/>
      <c r="E34" s="75"/>
      <c r="F34" s="75"/>
      <c r="I34" s="812">
        <f>ROUND(I33/I32,6)</f>
        <v>3.3135999999999999E-2</v>
      </c>
      <c r="J34" s="136" t="s">
        <v>1083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SC5 Rate I</v>
      </c>
      <c r="C37" t="s">
        <v>114</v>
      </c>
      <c r="G37" s="515">
        <f>$T$9</f>
        <v>36</v>
      </c>
      <c r="H37" s="516">
        <f>G10</f>
        <v>173</v>
      </c>
      <c r="I37" s="134">
        <f>ROUND(G37*H37,0)</f>
        <v>6228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74</v>
      </c>
      <c r="H38" s="516">
        <f>G12</f>
        <v>110.99</v>
      </c>
      <c r="I38" s="134">
        <f>ROUND(G38*H38,0)</f>
        <v>8213</v>
      </c>
      <c r="J38" s="136" t="s">
        <v>1086</v>
      </c>
      <c r="L38" s="822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131.93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69.91</v>
      </c>
      <c r="I40" s="134">
        <f>ROUND(G40*H40,0)</f>
        <v>0</v>
      </c>
      <c r="J40" s="136" t="s">
        <v>1088</v>
      </c>
      <c r="L40" s="726" t="s">
        <v>135</v>
      </c>
    </row>
    <row r="41" spans="1:17" x14ac:dyDescent="0.35">
      <c r="C41" t="s">
        <v>110</v>
      </c>
      <c r="I41" s="140">
        <f>SUM(I37:I40)</f>
        <v>14441</v>
      </c>
      <c r="J41" s="136" t="s">
        <v>1084</v>
      </c>
      <c r="L41" s="541">
        <f>ROUND(I41*$L$38,0)</f>
        <v>14601</v>
      </c>
      <c r="M41" s="136" t="s">
        <v>1265</v>
      </c>
    </row>
    <row r="42" spans="1:17" ht="15" thickBot="1" x14ac:dyDescent="0.4">
      <c r="C42" t="s">
        <v>1113</v>
      </c>
      <c r="I42" s="812">
        <f>I34</f>
        <v>3.3135999999999999E-2</v>
      </c>
      <c r="J42" s="136" t="s">
        <v>1089</v>
      </c>
      <c r="L42" s="1"/>
    </row>
    <row r="43" spans="1:17" ht="15.5" thickTop="1" thickBot="1" x14ac:dyDescent="0.4">
      <c r="C43" t="s">
        <v>304</v>
      </c>
      <c r="I43" s="813">
        <f>ROUND(I41*(1+I42),0)</f>
        <v>14920</v>
      </c>
      <c r="J43" s="136" t="s">
        <v>1747</v>
      </c>
      <c r="L43" s="541">
        <f>ROUND(I43*$L$38,0)</f>
        <v>15085</v>
      </c>
      <c r="M43" s="136" t="s">
        <v>1266</v>
      </c>
    </row>
    <row r="44" spans="1:17" ht="15.5" thickTop="1" thickBot="1" x14ac:dyDescent="0.4">
      <c r="C44" t="s">
        <v>1109</v>
      </c>
      <c r="I44" s="595"/>
      <c r="J44" s="596" t="s">
        <v>1111</v>
      </c>
      <c r="L44" s="1"/>
    </row>
    <row r="45" spans="1:17" ht="15.5" thickTop="1" thickBot="1" x14ac:dyDescent="0.4">
      <c r="C45" t="s">
        <v>305</v>
      </c>
      <c r="I45" s="813">
        <f>ROUND(I43*(1+I44),0)</f>
        <v>14920</v>
      </c>
      <c r="J45" s="136" t="s">
        <v>1112</v>
      </c>
      <c r="L45" s="634">
        <f>ROUND(I45*$L$38,0)</f>
        <v>15085</v>
      </c>
      <c r="M45" s="136" t="s">
        <v>1267</v>
      </c>
    </row>
    <row r="46" spans="1:17" ht="15" thickTop="1" x14ac:dyDescent="0.35"/>
    <row r="48" spans="1:17" x14ac:dyDescent="0.35">
      <c r="A48" s="407" t="s">
        <v>1875</v>
      </c>
    </row>
    <row r="50" spans="1:17" x14ac:dyDescent="0.35">
      <c r="B50" s="41" t="str">
        <f>$A$4</f>
        <v>SC5 Rate I</v>
      </c>
      <c r="C50" s="133" t="s">
        <v>1876</v>
      </c>
      <c r="D50" s="133"/>
      <c r="E50" s="133"/>
      <c r="F50" s="133"/>
      <c r="L50" s="135"/>
      <c r="P50"/>
      <c r="Q50"/>
    </row>
    <row r="51" spans="1:17" x14ac:dyDescent="0.35">
      <c r="C51" s="1" t="s">
        <v>119</v>
      </c>
      <c r="D51" s="1"/>
      <c r="E51" s="1"/>
      <c r="F51" s="1"/>
      <c r="G51" s="1"/>
      <c r="H51" s="1"/>
      <c r="I51" s="1"/>
      <c r="J51" s="1"/>
      <c r="K51" s="1"/>
      <c r="L51" s="809">
        <f>L15</f>
        <v>41070</v>
      </c>
      <c r="M51" s="61" t="s">
        <v>1268</v>
      </c>
      <c r="P51"/>
      <c r="Q51"/>
    </row>
    <row r="52" spans="1:17" x14ac:dyDescent="0.35">
      <c r="C52" s="1" t="s">
        <v>118</v>
      </c>
      <c r="D52" s="1"/>
      <c r="E52" s="1"/>
      <c r="F52" s="1"/>
      <c r="G52" s="1"/>
      <c r="H52" s="1"/>
      <c r="I52" s="1"/>
      <c r="J52" s="1"/>
      <c r="K52" s="1"/>
      <c r="L52" s="810">
        <f>L17</f>
        <v>1361</v>
      </c>
      <c r="M52" s="61" t="s">
        <v>1269</v>
      </c>
      <c r="P52"/>
      <c r="Q52"/>
    </row>
    <row r="53" spans="1:17" ht="15" thickBot="1" x14ac:dyDescent="0.4">
      <c r="C53" s="1" t="s">
        <v>1271</v>
      </c>
      <c r="D53" s="1"/>
      <c r="E53" s="1"/>
      <c r="F53" s="1"/>
      <c r="G53" s="1"/>
      <c r="H53" s="1"/>
      <c r="I53" s="1"/>
      <c r="J53" s="1"/>
      <c r="K53" s="1"/>
      <c r="L53" s="810">
        <f>L45</f>
        <v>15085</v>
      </c>
      <c r="M53" s="61" t="s">
        <v>1264</v>
      </c>
      <c r="P53"/>
      <c r="Q53"/>
    </row>
    <row r="54" spans="1:17" ht="15.5" thickTop="1" thickBot="1" x14ac:dyDescent="0.4">
      <c r="C54" s="181" t="s">
        <v>1262</v>
      </c>
      <c r="D54" s="181"/>
      <c r="E54" s="181"/>
      <c r="F54" s="181"/>
      <c r="G54" s="1"/>
      <c r="H54" s="1"/>
      <c r="I54" s="1"/>
      <c r="J54" s="1"/>
      <c r="K54" s="1"/>
      <c r="L54" s="635">
        <f>ROUND((L51+L52-L53)/$L$38,0)</f>
        <v>27046</v>
      </c>
      <c r="M54" s="61" t="s">
        <v>1270</v>
      </c>
      <c r="P54"/>
      <c r="Q54"/>
    </row>
    <row r="55" spans="1:17" ht="15" thickTop="1" x14ac:dyDescent="0.35">
      <c r="L55" s="811"/>
      <c r="P55"/>
      <c r="Q55"/>
    </row>
    <row r="56" spans="1:17" x14ac:dyDescent="0.35">
      <c r="C56" s="75" t="s">
        <v>1877</v>
      </c>
      <c r="D56" s="75"/>
      <c r="E56" s="75"/>
      <c r="F56" s="75"/>
      <c r="L56" s="812">
        <f>I34</f>
        <v>3.3135999999999999E-2</v>
      </c>
      <c r="M56" s="594" t="s">
        <v>1089</v>
      </c>
      <c r="P56"/>
      <c r="Q56"/>
    </row>
    <row r="59" spans="1:17" x14ac:dyDescent="0.35">
      <c r="A59" s="407" t="s">
        <v>1536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SC5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567">
        <f>Q6</f>
        <v>0</v>
      </c>
      <c r="E63" s="123" t="str">
        <f>R6</f>
        <v>-</v>
      </c>
      <c r="F63" s="567">
        <f>S6</f>
        <v>5</v>
      </c>
      <c r="G63" s="123"/>
      <c r="H63" s="35">
        <f>G10</f>
        <v>173</v>
      </c>
      <c r="I63" s="136" t="s">
        <v>165</v>
      </c>
      <c r="J63" s="35">
        <f>G12</f>
        <v>110.99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G64" s="36"/>
      <c r="H64" s="35"/>
      <c r="I64" s="136"/>
      <c r="J64" s="35"/>
      <c r="K64" s="136"/>
      <c r="L64" s="3"/>
      <c r="M64" s="17"/>
      <c r="N64" s="3"/>
      <c r="P64"/>
      <c r="Q64"/>
    </row>
    <row r="65" spans="2:15" customFormat="1" x14ac:dyDescent="0.35">
      <c r="B65" s="3"/>
      <c r="C65" s="3"/>
      <c r="D65" s="3"/>
      <c r="E65" s="123" t="str">
        <f>R7</f>
        <v>&gt;</v>
      </c>
      <c r="F65" s="567">
        <f>S7</f>
        <v>5</v>
      </c>
      <c r="G65" s="36"/>
      <c r="H65" s="120">
        <f>G11</f>
        <v>30.36</v>
      </c>
      <c r="I65" s="136" t="s">
        <v>166</v>
      </c>
      <c r="J65" s="124">
        <f>G13</f>
        <v>19.329999999999998</v>
      </c>
      <c r="K65" s="136" t="s">
        <v>229</v>
      </c>
      <c r="L65" s="27">
        <f>H65-J$65</f>
        <v>11.030000000000001</v>
      </c>
      <c r="M65" s="61" t="s">
        <v>1092</v>
      </c>
      <c r="N65" s="112"/>
      <c r="O65" s="61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131.93</v>
      </c>
      <c r="I67" s="136" t="s">
        <v>138</v>
      </c>
      <c r="J67" s="35">
        <f>G18</f>
        <v>69.91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G68" s="36"/>
      <c r="H68" s="35"/>
      <c r="I68" s="136"/>
      <c r="J68" s="35"/>
      <c r="K68" s="136"/>
      <c r="L68" s="3"/>
      <c r="M68" s="17"/>
      <c r="N68" s="3"/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5</v>
      </c>
      <c r="G69" s="36"/>
      <c r="H69" s="120">
        <f>G17</f>
        <v>23.049999999999997</v>
      </c>
      <c r="I69" s="136" t="s">
        <v>101</v>
      </c>
      <c r="J69" s="120">
        <f>G19</f>
        <v>12.009999999999998</v>
      </c>
      <c r="K69" s="136" t="s">
        <v>1091</v>
      </c>
      <c r="L69" s="27">
        <f>H69-J$65</f>
        <v>3.7199999999999989</v>
      </c>
      <c r="M69" s="61" t="s">
        <v>1093</v>
      </c>
      <c r="N69" s="27">
        <f>J69-J$65</f>
        <v>-7.32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/>
      <c r="G74" s="117"/>
      <c r="H74" s="116"/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75</v>
      </c>
      <c r="G75" s="114" t="str">
        <f>CONCATENATE("X + ",L76)</f>
        <v>X + 11.4</v>
      </c>
      <c r="H75" s="115" t="s">
        <v>32</v>
      </c>
      <c r="L75" s="3"/>
      <c r="M75" s="17"/>
      <c r="N75" s="3"/>
    </row>
    <row r="76" spans="2:15" customFormat="1" x14ac:dyDescent="0.35">
      <c r="B76" s="3"/>
      <c r="G76" s="114"/>
      <c r="H76" s="113"/>
      <c r="L76" s="27">
        <f>ROUND(L65*(1+$L$56),2)</f>
        <v>11.4</v>
      </c>
      <c r="M76" s="61" t="s">
        <v>1096</v>
      </c>
      <c r="N76" s="112"/>
      <c r="O76" s="61" t="s">
        <v>1095</v>
      </c>
    </row>
    <row r="77" spans="2:15" customFormat="1" ht="15" thickBot="1" x14ac:dyDescent="0.4">
      <c r="B77" s="3" t="s">
        <v>73</v>
      </c>
      <c r="G77" s="111" t="str">
        <f>CONCATENATE("X + ",L80)</f>
        <v>X + 3.84</v>
      </c>
      <c r="H77" s="110" t="str">
        <f>CONCATENATE("X + ",N80)</f>
        <v>X + -7.56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3"/>
      <c r="M79" s="17"/>
      <c r="N79" s="3"/>
    </row>
    <row r="80" spans="2:15" customFormat="1" x14ac:dyDescent="0.35">
      <c r="L80" s="27">
        <f>ROUND(L69*(1+$L$56),2)</f>
        <v>3.84</v>
      </c>
      <c r="M80" s="61" t="s">
        <v>1097</v>
      </c>
      <c r="N80" s="27">
        <f>ROUND(N69*(1+$L$56),2)</f>
        <v>-7.56</v>
      </c>
      <c r="O80" s="61" t="s">
        <v>1099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334" t="s">
        <v>70</v>
      </c>
    </row>
    <row r="83" spans="2:15" customFormat="1" x14ac:dyDescent="0.35">
      <c r="B83" s="41" t="str">
        <f>$A$4</f>
        <v>SC5 Rate I</v>
      </c>
    </row>
    <row r="84" spans="2:15" customFormat="1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/>
      <c r="C85" s="70"/>
      <c r="D85" s="70"/>
      <c r="E85" s="3"/>
      <c r="F85" s="3"/>
      <c r="G85" s="108"/>
      <c r="I85" s="72"/>
      <c r="J85" s="36"/>
      <c r="K85" s="74"/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&gt;5 kW</v>
      </c>
      <c r="I86" s="72">
        <f>U7</f>
        <v>190</v>
      </c>
      <c r="J86" s="36" t="s">
        <v>39</v>
      </c>
      <c r="K86" s="107" t="str">
        <f>CONCATENATE("[",G75,"]")</f>
        <v>[X + 11.4]</v>
      </c>
      <c r="L86" s="61" t="s">
        <v>1114</v>
      </c>
    </row>
    <row r="87" spans="2:15" customFormat="1" x14ac:dyDescent="0.35">
      <c r="B87" s="3"/>
      <c r="C87" s="3"/>
      <c r="D87" s="3"/>
      <c r="E87" s="3"/>
      <c r="F87" s="3"/>
      <c r="G87" s="3"/>
      <c r="I87" s="72"/>
      <c r="J87" s="36"/>
      <c r="K87" s="73"/>
      <c r="L87" s="61"/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&gt;5 kW</v>
      </c>
      <c r="I88" s="72">
        <f>U12</f>
        <v>1056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&gt;5 kW</v>
      </c>
      <c r="I90" s="72">
        <f>U17</f>
        <v>0</v>
      </c>
      <c r="J90" s="36" t="s">
        <v>39</v>
      </c>
      <c r="K90" s="73" t="str">
        <f>CONCATENATE("[",G77,"]")</f>
        <v>[X + 3.84]</v>
      </c>
      <c r="L90" s="61" t="s">
        <v>1115</v>
      </c>
    </row>
    <row r="91" spans="2:15" customFormat="1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&gt;5 kW</v>
      </c>
      <c r="I92" s="72">
        <f>U22</f>
        <v>0</v>
      </c>
      <c r="J92" s="36" t="s">
        <v>39</v>
      </c>
      <c r="K92" s="71" t="str">
        <f>CONCATENATE("[",H77,"]")</f>
        <v>[X + -7.56]</v>
      </c>
      <c r="L92" s="61" t="s">
        <v>1116</v>
      </c>
    </row>
    <row r="93" spans="2:15" x14ac:dyDescent="0.35">
      <c r="I93" s="899">
        <f>SUM(I86:I92)</f>
        <v>1246</v>
      </c>
      <c r="J93" s="61" t="s">
        <v>1568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SC5 Rate I</v>
      </c>
      <c r="F96" s="3"/>
      <c r="G96" s="3"/>
      <c r="H96" s="3"/>
      <c r="I96" s="69" t="s">
        <v>25</v>
      </c>
      <c r="J96" s="3"/>
      <c r="K96" s="566"/>
      <c r="L96" s="3"/>
      <c r="M96" s="3"/>
      <c r="N96" s="17"/>
    </row>
    <row r="97" spans="2:14" customFormat="1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</row>
    <row r="98" spans="2:14" customFormat="1" x14ac:dyDescent="0.35">
      <c r="B98" s="3" t="s">
        <v>37</v>
      </c>
      <c r="C98" s="3"/>
      <c r="F98" s="3"/>
      <c r="G98" s="3"/>
      <c r="H98" s="3"/>
      <c r="I98" s="105">
        <f t="shared" ref="I98:I104" si="0">I86</f>
        <v>190</v>
      </c>
      <c r="J98" s="65" t="s">
        <v>63</v>
      </c>
      <c r="K98" s="34">
        <f>ROUND(I98*L76,0)</f>
        <v>2166</v>
      </c>
      <c r="L98" s="3" t="s">
        <v>62</v>
      </c>
      <c r="M98" s="61" t="s">
        <v>1100</v>
      </c>
      <c r="N98" s="17"/>
    </row>
    <row r="99" spans="2:14" customFormat="1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</row>
    <row r="100" spans="2:14" customFormat="1" x14ac:dyDescent="0.35">
      <c r="B100" s="3" t="s">
        <v>36</v>
      </c>
      <c r="C100" s="3"/>
      <c r="F100" s="3"/>
      <c r="G100" s="3"/>
      <c r="H100" s="3"/>
      <c r="I100" s="105">
        <f t="shared" si="0"/>
        <v>1056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</row>
    <row r="102" spans="2:14" customFormat="1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</row>
    <row r="103" spans="2:14" customFormat="1" x14ac:dyDescent="0.35">
      <c r="B103" s="3"/>
      <c r="C103" s="3"/>
      <c r="F103" s="3"/>
      <c r="G103" s="3"/>
      <c r="H103" s="3"/>
      <c r="I103" s="105"/>
      <c r="J103" s="104"/>
      <c r="K103" s="34"/>
      <c r="L103" s="44"/>
      <c r="M103" s="17"/>
      <c r="N103" s="17"/>
    </row>
    <row r="104" spans="2:14" customFormat="1" x14ac:dyDescent="0.35">
      <c r="B104" s="3" t="s">
        <v>34</v>
      </c>
      <c r="C104" s="3"/>
      <c r="F104" s="3"/>
      <c r="G104" s="3"/>
      <c r="H104" s="3"/>
      <c r="I104" s="351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33</v>
      </c>
      <c r="C105" s="3"/>
      <c r="F105" s="66"/>
      <c r="G105" s="824">
        <f>L54</f>
        <v>27046</v>
      </c>
      <c r="H105" s="63" t="s">
        <v>31</v>
      </c>
      <c r="I105" s="28">
        <f>SUM(I97:I104)</f>
        <v>1246</v>
      </c>
      <c r="J105" s="65" t="s">
        <v>63</v>
      </c>
      <c r="K105" s="103">
        <f>SUM(K97:K104)</f>
        <v>2166</v>
      </c>
      <c r="L105" s="3" t="s">
        <v>1569</v>
      </c>
      <c r="M105" s="61" t="s">
        <v>1570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1571</v>
      </c>
      <c r="N106" s="17"/>
    </row>
    <row r="107" spans="2:14" customFormat="1" x14ac:dyDescent="0.35">
      <c r="F107" s="34"/>
      <c r="G107" s="34">
        <f>G105-K105</f>
        <v>24880</v>
      </c>
      <c r="H107" s="63" t="s">
        <v>31</v>
      </c>
      <c r="I107" s="28">
        <f>I105</f>
        <v>1246</v>
      </c>
      <c r="J107" s="65" t="s">
        <v>32</v>
      </c>
      <c r="K107" s="3"/>
      <c r="L107" s="3"/>
      <c r="M107" s="61" t="s">
        <v>1572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19.97</v>
      </c>
      <c r="J109" s="61" t="s">
        <v>1108</v>
      </c>
      <c r="K109" s="3"/>
      <c r="L109" s="3"/>
      <c r="M109" s="61" t="s">
        <v>1573</v>
      </c>
      <c r="N109" s="17"/>
    </row>
    <row r="110" spans="2:14" customFormat="1" ht="15" thickTop="1" x14ac:dyDescent="0.35"/>
    <row r="111" spans="2:14" customFormat="1" ht="15" thickBot="1" x14ac:dyDescent="0.4">
      <c r="B111" s="334" t="str">
        <f>CONCATENATE($A$4," at Proposed Demand Rates")</f>
        <v>SC5 Rate I at Proposed Demand Rates</v>
      </c>
    </row>
    <row r="112" spans="2:14" customFormat="1" ht="15.5" thickTop="1" thickBot="1" x14ac:dyDescent="0.4">
      <c r="C112" s="3" t="s">
        <v>5</v>
      </c>
      <c r="D112" s="1306">
        <f>$L$4</f>
        <v>2020</v>
      </c>
      <c r="E112" s="1306"/>
      <c r="F112" s="1306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173</v>
      </c>
      <c r="I114" s="61" t="s">
        <v>165</v>
      </c>
      <c r="J114" s="35">
        <f>J63</f>
        <v>110.99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131.93</v>
      </c>
      <c r="I115" s="61" t="s">
        <v>138</v>
      </c>
      <c r="J115" s="35">
        <f>J67</f>
        <v>69.91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13" t="s">
        <v>58</v>
      </c>
      <c r="I118" s="1314"/>
      <c r="J118" s="1315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5</v>
      </c>
      <c r="G120" s="44"/>
      <c r="H120" s="97">
        <f>ROUND(H114*(1+$I$34),2)</f>
        <v>178.73</v>
      </c>
      <c r="I120" s="54" t="s">
        <v>1118</v>
      </c>
      <c r="J120" s="97">
        <f>ROUND(J114*(1+$I$34),2)</f>
        <v>114.67</v>
      </c>
      <c r="K120" s="54" t="s">
        <v>1120</v>
      </c>
      <c r="L120" s="94"/>
      <c r="M120" s="81">
        <f>ROUND(H120/H63-1,4)</f>
        <v>3.3099999999999997E-2</v>
      </c>
      <c r="N120" s="81">
        <f>ROUND(J120/J63-1,4)</f>
        <v>3.32E-2</v>
      </c>
    </row>
    <row r="121" spans="3:14" customFormat="1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5</v>
      </c>
      <c r="G122" s="44"/>
      <c r="H122" s="95">
        <f>$I$109+L76</f>
        <v>31.369999999999997</v>
      </c>
      <c r="I122" s="54" t="s">
        <v>1121</v>
      </c>
      <c r="J122" s="95">
        <f>$I$109+N76</f>
        <v>19.97</v>
      </c>
      <c r="K122" s="54" t="s">
        <v>1108</v>
      </c>
      <c r="L122" s="94"/>
      <c r="M122" s="81">
        <f>ROUND(H122/H65-1,4)</f>
        <v>3.3300000000000003E-2</v>
      </c>
      <c r="N122" s="81">
        <f>ROUND(J122/J65-1,4)</f>
        <v>3.3099999999999997E-2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5</v>
      </c>
      <c r="G124" s="44"/>
      <c r="H124" s="97">
        <f>ROUND(H115*(1+$I$34),2)</f>
        <v>136.30000000000001</v>
      </c>
      <c r="I124" s="54" t="s">
        <v>1119</v>
      </c>
      <c r="J124" s="97">
        <f>ROUND(J115*(1+$I$34),2)</f>
        <v>72.23</v>
      </c>
      <c r="K124" s="54" t="s">
        <v>1123</v>
      </c>
      <c r="L124" s="94"/>
      <c r="M124" s="81">
        <f>ROUND(H124/H67-1,4)</f>
        <v>3.3099999999999997E-2</v>
      </c>
      <c r="N124" s="81">
        <f>ROUND(J124/J67-1,4)</f>
        <v>3.32E-2</v>
      </c>
    </row>
    <row r="125" spans="3:14" customFormat="1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5</v>
      </c>
      <c r="G126" s="44"/>
      <c r="H126" s="95">
        <f>$I$109+L80</f>
        <v>23.81</v>
      </c>
      <c r="I126" s="54" t="s">
        <v>1122</v>
      </c>
      <c r="J126" s="95">
        <f>$I$109+N80</f>
        <v>12.41</v>
      </c>
      <c r="K126" s="54" t="s">
        <v>1124</v>
      </c>
      <c r="L126" s="94"/>
      <c r="M126" s="81">
        <f>ROUND(H126/H69-1,4)</f>
        <v>3.3000000000000002E-2</v>
      </c>
      <c r="N126" s="81">
        <f>ROUND(J126/J69-1,4)</f>
        <v>3.3300000000000003E-2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334" t="s">
        <v>1538</v>
      </c>
      <c r="B130" s="3"/>
      <c r="C130" s="3"/>
      <c r="D130" s="3"/>
      <c r="E130" s="3"/>
      <c r="F130" s="3"/>
      <c r="G130" s="3"/>
      <c r="H130" s="3"/>
      <c r="I130" s="3"/>
    </row>
    <row r="131" spans="1:15" customFormat="1" x14ac:dyDescent="0.35">
      <c r="A131" s="42"/>
      <c r="B131" s="3"/>
      <c r="C131" s="3"/>
      <c r="D131" s="3"/>
      <c r="E131" s="3"/>
      <c r="F131" s="3"/>
      <c r="G131" s="3"/>
      <c r="H131" s="3"/>
      <c r="I131" s="3"/>
    </row>
    <row r="132" spans="1:15" customFormat="1" x14ac:dyDescent="0.35">
      <c r="A132" s="42"/>
      <c r="B132" s="42" t="s">
        <v>55</v>
      </c>
      <c r="C132" s="3"/>
      <c r="D132" s="3"/>
      <c r="E132" s="3"/>
      <c r="F132" s="3"/>
      <c r="G132" s="3"/>
      <c r="H132" s="3"/>
      <c r="I132" s="3"/>
    </row>
    <row r="133" spans="1:15" customFormat="1" x14ac:dyDescent="0.35">
      <c r="A133" s="42"/>
      <c r="B133" s="41" t="str">
        <f>$A$4</f>
        <v>SC5 Rate I</v>
      </c>
      <c r="C133" s="3"/>
      <c r="D133" s="3"/>
      <c r="E133" s="3"/>
      <c r="F133" s="3"/>
      <c r="G133" s="3"/>
      <c r="H133" s="3"/>
      <c r="I133" s="3"/>
    </row>
    <row r="134" spans="1:15" customFormat="1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27213</v>
      </c>
      <c r="J134" s="61" t="s">
        <v>50</v>
      </c>
      <c r="L134" s="3"/>
    </row>
    <row r="135" spans="1:15" customFormat="1" x14ac:dyDescent="0.35">
      <c r="A135" s="42"/>
      <c r="B135" s="3" t="str">
        <f>CONCATENATE("Less: ",$L$5," Energy Revenues to Demand at Current Rates Level")</f>
        <v>Less: Shift of 5%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1361</v>
      </c>
      <c r="J135" s="61" t="s">
        <v>49</v>
      </c>
      <c r="L135" s="3"/>
    </row>
    <row r="136" spans="1:15" customFormat="1" x14ac:dyDescent="0.35">
      <c r="A136" s="42"/>
      <c r="J136" s="3"/>
      <c r="L136" s="3"/>
    </row>
    <row r="137" spans="1:15" customFormat="1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42"/>
      <c r="B138" s="89" t="s">
        <v>52</v>
      </c>
      <c r="C138" s="3"/>
      <c r="D138" s="3"/>
      <c r="E138" s="3"/>
      <c r="F138" s="3"/>
      <c r="G138" s="3"/>
      <c r="H138" s="3"/>
      <c r="I138" s="32">
        <f>I134-I135</f>
        <v>25852</v>
      </c>
      <c r="J138" s="61" t="s">
        <v>1126</v>
      </c>
      <c r="L138" s="3"/>
    </row>
    <row r="139" spans="1:15" customFormat="1" x14ac:dyDescent="0.35">
      <c r="A139" s="42"/>
      <c r="B139" s="3"/>
      <c r="C139" s="3"/>
      <c r="D139" s="3"/>
      <c r="E139" s="3"/>
      <c r="F139" s="3"/>
      <c r="G139" s="3"/>
      <c r="H139" s="3"/>
    </row>
    <row r="140" spans="1:15" customFormat="1" x14ac:dyDescent="0.35">
      <c r="A140" s="42"/>
      <c r="B140" s="3"/>
      <c r="C140" s="3"/>
      <c r="D140" s="3"/>
      <c r="E140" s="3"/>
      <c r="F140" s="3"/>
      <c r="G140" s="3"/>
      <c r="H140" s="3"/>
      <c r="I140" s="3"/>
    </row>
    <row r="141" spans="1:15" customFormat="1" ht="15" thickBot="1" x14ac:dyDescent="0.4"/>
    <row r="142" spans="1:15" customFormat="1" ht="15.5" thickTop="1" thickBot="1" x14ac:dyDescent="0.4">
      <c r="B142" s="41" t="str">
        <f>$A$4</f>
        <v>SC5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C144" s="3" t="s">
        <v>9</v>
      </c>
      <c r="H144" s="521">
        <f>G8</f>
        <v>3.9899999999999998E-2</v>
      </c>
      <c r="I144" s="61" t="s">
        <v>47</v>
      </c>
      <c r="J144" s="521">
        <f>G9</f>
        <v>3.9899999999999998E-2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</row>
    <row r="145" spans="2:15" customFormat="1" x14ac:dyDescent="0.35">
      <c r="C145" s="3"/>
      <c r="D145" s="3"/>
      <c r="E145" s="3"/>
      <c r="F145" s="3"/>
      <c r="H145" s="3"/>
      <c r="I145" s="61"/>
      <c r="J145" s="3"/>
      <c r="K145" s="61"/>
      <c r="L145" s="82"/>
      <c r="M145" s="61"/>
      <c r="N145" s="82"/>
    </row>
    <row r="146" spans="2:15" customFormat="1" x14ac:dyDescent="0.35">
      <c r="C146" s="3" t="s">
        <v>8</v>
      </c>
      <c r="H146" s="521">
        <f>G14</f>
        <v>3.9899999999999998E-2</v>
      </c>
      <c r="I146" s="61" t="s">
        <v>53</v>
      </c>
      <c r="J146" s="521">
        <f>G15</f>
        <v>3.9899999999999998E-2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</row>
    <row r="147" spans="2:15" customFormat="1" x14ac:dyDescent="0.35"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</row>
    <row r="148" spans="2:15" customFormat="1" x14ac:dyDescent="0.35">
      <c r="C148" s="3" t="s">
        <v>9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</row>
    <row r="149" spans="2:15" customFormat="1" x14ac:dyDescent="0.35"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</row>
    <row r="150" spans="2:15" customFormat="1" x14ac:dyDescent="0.35">
      <c r="C150" s="3" t="s">
        <v>8</v>
      </c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</row>
    <row r="151" spans="2:15" customFormat="1" x14ac:dyDescent="0.35">
      <c r="H151" s="3"/>
      <c r="I151" s="3"/>
      <c r="J151" s="3"/>
      <c r="K151" s="3"/>
      <c r="L151" s="3"/>
      <c r="M151" s="3"/>
      <c r="N151" s="3"/>
    </row>
    <row r="152" spans="2:15" customFormat="1" x14ac:dyDescent="0.35">
      <c r="H152" s="3"/>
      <c r="I152" s="3"/>
      <c r="J152" s="3"/>
      <c r="K152" s="3"/>
      <c r="L152" s="3"/>
      <c r="M152" s="3"/>
      <c r="N152" s="3"/>
    </row>
    <row r="153" spans="2:15" customFormat="1" x14ac:dyDescent="0.35">
      <c r="B153" s="42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5" customFormat="1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5" customFormat="1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2:15" customFormat="1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151446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2:15" customFormat="1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530566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2:15" customFormat="1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</row>
    <row r="159" spans="2:15" customFormat="1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</row>
    <row r="161" spans="1:12" x14ac:dyDescent="0.35">
      <c r="B161" s="1"/>
    </row>
    <row r="162" spans="1:12" customFormat="1" x14ac:dyDescent="0.35">
      <c r="A162" s="42"/>
      <c r="B162" s="1224" t="s">
        <v>472</v>
      </c>
      <c r="C162" s="3"/>
      <c r="D162" s="3"/>
      <c r="E162" s="3"/>
      <c r="F162" s="3"/>
      <c r="G162" s="3"/>
      <c r="H162" s="3"/>
    </row>
    <row r="163" spans="1:12" customFormat="1" x14ac:dyDescent="0.35">
      <c r="A163" s="42"/>
      <c r="B163" s="1225" t="str">
        <f>$A$4</f>
        <v>SC5 Rate I</v>
      </c>
      <c r="C163" s="3"/>
      <c r="D163" s="3"/>
      <c r="E163" s="3"/>
      <c r="F163" s="3"/>
      <c r="G163" s="3"/>
      <c r="I163" s="69" t="s">
        <v>44</v>
      </c>
    </row>
    <row r="164" spans="1:12" customFormat="1" x14ac:dyDescent="0.35">
      <c r="A164" s="42"/>
      <c r="B164" s="2" t="s">
        <v>2152</v>
      </c>
      <c r="C164" s="3"/>
      <c r="D164" s="3"/>
      <c r="E164" s="3"/>
      <c r="F164" s="3"/>
      <c r="G164" s="3"/>
      <c r="I164" s="68">
        <f>I156*L144</f>
        <v>151446</v>
      </c>
      <c r="J164" s="65" t="s">
        <v>32</v>
      </c>
      <c r="K164" s="61" t="s">
        <v>1815</v>
      </c>
    </row>
    <row r="165" spans="1:12" customFormat="1" x14ac:dyDescent="0.35">
      <c r="A165" s="42"/>
      <c r="B165" s="2" t="s">
        <v>2153</v>
      </c>
      <c r="C165" s="3"/>
      <c r="D165" s="3"/>
      <c r="E165" s="3"/>
      <c r="F165" s="3"/>
      <c r="G165" s="3"/>
      <c r="I165" s="68">
        <f>I157</f>
        <v>530566</v>
      </c>
      <c r="J165" s="65" t="s">
        <v>32</v>
      </c>
      <c r="K165" s="61" t="s">
        <v>1816</v>
      </c>
    </row>
    <row r="166" spans="1:12" customFormat="1" x14ac:dyDescent="0.35">
      <c r="A166" s="42"/>
      <c r="B166" s="2" t="s">
        <v>2154</v>
      </c>
      <c r="C166" s="3"/>
      <c r="D166" s="3"/>
      <c r="E166" s="3"/>
      <c r="F166" s="3"/>
      <c r="G166" s="3"/>
      <c r="I166" s="68">
        <f>I158*L146</f>
        <v>0</v>
      </c>
      <c r="J166" s="65" t="s">
        <v>32</v>
      </c>
      <c r="K166" s="61" t="s">
        <v>1817</v>
      </c>
    </row>
    <row r="167" spans="1:12" customFormat="1" x14ac:dyDescent="0.35">
      <c r="A167" s="42"/>
      <c r="B167" s="2" t="s">
        <v>2155</v>
      </c>
      <c r="C167" s="3"/>
      <c r="D167" s="3"/>
      <c r="E167" s="3"/>
      <c r="F167" s="3"/>
      <c r="G167" s="3"/>
      <c r="I167" s="67">
        <f>I159*N146</f>
        <v>0</v>
      </c>
      <c r="J167" s="65" t="s">
        <v>32</v>
      </c>
      <c r="K167" s="61" t="s">
        <v>1818</v>
      </c>
    </row>
    <row r="168" spans="1:12" customFormat="1" x14ac:dyDescent="0.35">
      <c r="A168" s="42"/>
      <c r="B168" s="2" t="s">
        <v>2156</v>
      </c>
      <c r="C168" s="3"/>
      <c r="D168" s="3"/>
      <c r="E168" s="3"/>
      <c r="G168" s="66">
        <f>I138</f>
        <v>25852</v>
      </c>
      <c r="H168" s="63" t="s">
        <v>31</v>
      </c>
      <c r="I168" s="28">
        <f>SUM(I164:I167)</f>
        <v>682012</v>
      </c>
      <c r="J168" s="65" t="s">
        <v>32</v>
      </c>
      <c r="K168" s="61" t="s">
        <v>1139</v>
      </c>
    </row>
    <row r="169" spans="1:12" customFormat="1" x14ac:dyDescent="0.35">
      <c r="A169" s="42"/>
      <c r="B169" s="2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2"/>
      <c r="C170" s="3"/>
      <c r="D170" s="3"/>
      <c r="E170" s="3"/>
      <c r="G170" s="34">
        <f>G168</f>
        <v>25852</v>
      </c>
      <c r="H170" s="63" t="s">
        <v>31</v>
      </c>
      <c r="I170" s="28">
        <f>I168</f>
        <v>682012</v>
      </c>
      <c r="J170" s="65" t="s">
        <v>32</v>
      </c>
      <c r="K170" s="61" t="s">
        <v>1138</v>
      </c>
    </row>
    <row r="171" spans="1:12" customFormat="1" ht="15" thickBot="1" x14ac:dyDescent="0.4">
      <c r="A171" s="42"/>
      <c r="B171" s="2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950">
        <f>ROUND(G170/I170,4)</f>
        <v>3.7900000000000003E-2</v>
      </c>
      <c r="J172" s="61" t="s">
        <v>1141</v>
      </c>
      <c r="K172" s="597" t="s">
        <v>1140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13" t="s">
        <v>29</v>
      </c>
      <c r="J175" s="1314"/>
      <c r="K175" s="1315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/>
      <c r="I178" s="969">
        <f>ROUND($I$172*L144,4)</f>
        <v>3.7900000000000003E-2</v>
      </c>
      <c r="J178" s="54" t="s">
        <v>1143</v>
      </c>
      <c r="K178" s="971">
        <f>I172</f>
        <v>3.7900000000000003E-2</v>
      </c>
      <c r="L178" s="598" t="s">
        <v>1141</v>
      </c>
    </row>
    <row r="179" spans="1:17" x14ac:dyDescent="0.35">
      <c r="F179" s="50"/>
      <c r="G179" s="44"/>
      <c r="H179" s="44"/>
      <c r="I179" s="969"/>
      <c r="J179" s="52"/>
      <c r="K179" s="51"/>
      <c r="L179" s="48"/>
    </row>
    <row r="180" spans="1:17" x14ac:dyDescent="0.35">
      <c r="F180" s="50"/>
      <c r="G180" s="44" t="s">
        <v>8</v>
      </c>
      <c r="H180" s="44"/>
      <c r="I180" s="969">
        <f>ROUND($I$172*L146,4)</f>
        <v>3.7900000000000003E-2</v>
      </c>
      <c r="J180" s="54" t="s">
        <v>1144</v>
      </c>
      <c r="K180" s="969">
        <f>ROUND($I$172*N146,4)</f>
        <v>3.7900000000000003E-2</v>
      </c>
      <c r="L180" s="598" t="s">
        <v>1145</v>
      </c>
    </row>
    <row r="181" spans="1:17" ht="15" thickBot="1" x14ac:dyDescent="0.4">
      <c r="F181" s="47"/>
      <c r="G181" s="46"/>
      <c r="H181" s="46"/>
      <c r="I181" s="46"/>
      <c r="J181" s="46"/>
      <c r="K181" s="4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334" t="s">
        <v>1539</v>
      </c>
      <c r="B183" s="406"/>
    </row>
    <row r="184" spans="1:17" x14ac:dyDescent="0.35">
      <c r="A184" s="42"/>
    </row>
    <row r="185" spans="1:17" x14ac:dyDescent="0.35">
      <c r="A185" s="42"/>
      <c r="B185" s="41" t="str">
        <f>$A$4</f>
        <v>SC5 Rate I</v>
      </c>
    </row>
    <row r="186" spans="1:17" x14ac:dyDescent="0.35">
      <c r="A186" s="3"/>
      <c r="B186" s="407" t="s">
        <v>5</v>
      </c>
      <c r="D186" s="1304">
        <f>L4</f>
        <v>2020</v>
      </c>
      <c r="E186" s="1304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835" t="s">
        <v>27</v>
      </c>
      <c r="D189" s="410"/>
      <c r="E189" s="410"/>
      <c r="F189" s="410"/>
      <c r="G189" s="536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410" t="s">
        <v>9</v>
      </c>
      <c r="D190" s="272">
        <f>D63</f>
        <v>0</v>
      </c>
      <c r="E190" s="272" t="str">
        <f>E63</f>
        <v>-</v>
      </c>
      <c r="F190" s="272">
        <f>F63</f>
        <v>5</v>
      </c>
      <c r="G190" s="104">
        <f>T6</f>
        <v>10</v>
      </c>
      <c r="H190" s="3"/>
      <c r="I190" s="29">
        <f>U6</f>
        <v>180</v>
      </c>
      <c r="J190" s="3"/>
      <c r="K190" s="35">
        <f>H120</f>
        <v>178.73</v>
      </c>
      <c r="L190" s="3"/>
      <c r="M190" s="524">
        <f>ROUND(K190*(I190/F190),0)</f>
        <v>6434</v>
      </c>
      <c r="N190" s="3"/>
      <c r="O190" s="3"/>
      <c r="P190" s="2"/>
      <c r="Q190" s="2"/>
    </row>
    <row r="191" spans="1:17" x14ac:dyDescent="0.35">
      <c r="B191" s="3"/>
      <c r="C191" s="410"/>
      <c r="D191" s="272"/>
      <c r="E191" s="272" t="str">
        <f>E$65</f>
        <v>&gt;</v>
      </c>
      <c r="F191" s="272">
        <f>F$65</f>
        <v>5</v>
      </c>
      <c r="G191" s="104">
        <f>T7</f>
        <v>26</v>
      </c>
      <c r="H191" s="3"/>
      <c r="I191" s="29">
        <f>U7</f>
        <v>190</v>
      </c>
      <c r="J191" s="3"/>
      <c r="K191" s="35">
        <f>H122</f>
        <v>31.369999999999997</v>
      </c>
      <c r="L191" s="3"/>
      <c r="M191" s="26">
        <f>ROUND(K191*I191,0)</f>
        <v>5960</v>
      </c>
      <c r="N191" s="3"/>
      <c r="O191" s="3"/>
      <c r="P191" s="2"/>
      <c r="Q191" s="2"/>
    </row>
    <row r="192" spans="1:17" x14ac:dyDescent="0.35">
      <c r="B192" s="3"/>
      <c r="C192" s="410"/>
      <c r="D192" s="272"/>
      <c r="E192" s="272"/>
      <c r="F192" s="272"/>
      <c r="G192" s="836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410"/>
      <c r="D193" s="272"/>
      <c r="E193" s="272"/>
      <c r="F193" s="272"/>
      <c r="G193" s="65">
        <f>G190+G191+G192</f>
        <v>36</v>
      </c>
      <c r="H193" s="3"/>
      <c r="I193" s="28">
        <f>I190+I191+I192</f>
        <v>370</v>
      </c>
      <c r="J193" s="3"/>
      <c r="K193" s="35"/>
      <c r="L193" s="3"/>
      <c r="M193" s="34">
        <f>M190+M191+M192</f>
        <v>12394</v>
      </c>
      <c r="N193" s="34"/>
      <c r="O193" s="36" t="s">
        <v>10</v>
      </c>
      <c r="P193" s="2"/>
      <c r="Q193" s="2"/>
    </row>
    <row r="194" spans="2:17" x14ac:dyDescent="0.35">
      <c r="B194" s="3"/>
      <c r="C194" s="410"/>
      <c r="D194" s="272"/>
      <c r="E194" s="272"/>
      <c r="F194" s="272"/>
      <c r="G194" s="65"/>
      <c r="H194" s="3"/>
      <c r="I194" s="28"/>
      <c r="J194" s="3"/>
      <c r="K194" s="35"/>
      <c r="L194" s="33" t="s">
        <v>22</v>
      </c>
      <c r="M194" s="34">
        <f>ROUND(M193*(O194-1),0)</f>
        <v>148</v>
      </c>
      <c r="N194" s="33" t="s">
        <v>23</v>
      </c>
      <c r="O194" s="108">
        <f>L10</f>
        <v>1.0119199999999999</v>
      </c>
      <c r="P194" s="2"/>
      <c r="Q194" s="2"/>
    </row>
    <row r="195" spans="2:17" x14ac:dyDescent="0.35">
      <c r="B195" s="3"/>
      <c r="C195" s="410"/>
      <c r="D195" s="272"/>
      <c r="E195" s="272"/>
      <c r="F195" s="272"/>
      <c r="G195" s="65"/>
      <c r="H195" s="3"/>
      <c r="I195" s="28"/>
      <c r="J195" s="3"/>
      <c r="K195" s="35"/>
      <c r="L195" s="33" t="s">
        <v>21</v>
      </c>
      <c r="M195" s="32">
        <f>M193+M194</f>
        <v>12542</v>
      </c>
      <c r="N195" s="8"/>
      <c r="O195" s="3"/>
      <c r="P195" s="2"/>
      <c r="Q195" s="2"/>
    </row>
    <row r="196" spans="2:17" x14ac:dyDescent="0.35">
      <c r="B196" s="3"/>
      <c r="C196" s="410"/>
      <c r="D196" s="410"/>
      <c r="E196" s="410"/>
      <c r="F196" s="410"/>
      <c r="G196" s="410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410" t="s">
        <v>8</v>
      </c>
      <c r="D197" s="272">
        <f>D190</f>
        <v>0</v>
      </c>
      <c r="E197" s="272" t="str">
        <f>E190</f>
        <v>-</v>
      </c>
      <c r="F197" s="272">
        <f>F190</f>
        <v>5</v>
      </c>
      <c r="G197" s="104">
        <f>T16</f>
        <v>0</v>
      </c>
      <c r="H197" s="3"/>
      <c r="I197" s="29">
        <f>U16</f>
        <v>0</v>
      </c>
      <c r="J197" s="3"/>
      <c r="K197" s="35">
        <f>H124</f>
        <v>136.30000000000001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410"/>
      <c r="D198" s="272"/>
      <c r="E198" s="272" t="str">
        <f>E191</f>
        <v>&gt;</v>
      </c>
      <c r="F198" s="272">
        <f>F191</f>
        <v>5</v>
      </c>
      <c r="G198" s="104">
        <f>T17</f>
        <v>0</v>
      </c>
      <c r="H198" s="3"/>
      <c r="I198" s="29">
        <f>U17</f>
        <v>0</v>
      </c>
      <c r="J198" s="3"/>
      <c r="K198" s="35">
        <f>H126</f>
        <v>23.81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410"/>
      <c r="D199" s="272"/>
      <c r="E199" s="272"/>
      <c r="F199" s="272"/>
      <c r="G199" s="836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410"/>
      <c r="D200" s="272"/>
      <c r="E200" s="272"/>
      <c r="F200" s="272"/>
      <c r="G200" s="65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410"/>
      <c r="D201" s="272"/>
      <c r="E201" s="272"/>
      <c r="F201" s="272"/>
      <c r="G201" s="65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410"/>
      <c r="D202" s="272"/>
      <c r="E202" s="272"/>
      <c r="F202" s="272"/>
      <c r="G202" s="65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410"/>
      <c r="D203" s="410"/>
      <c r="E203" s="410"/>
      <c r="F203" s="410"/>
      <c r="G203" s="410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410"/>
      <c r="D204" s="410"/>
      <c r="E204" s="410"/>
      <c r="F204" s="410"/>
      <c r="G204" s="410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410"/>
      <c r="D205" s="410"/>
      <c r="E205" s="410"/>
      <c r="F205" s="410"/>
      <c r="G205" s="410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410"/>
      <c r="D206" s="410"/>
      <c r="E206" s="410"/>
      <c r="F206" s="410"/>
      <c r="G206" s="410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835" t="s">
        <v>24</v>
      </c>
      <c r="D207" s="410"/>
      <c r="E207" s="410"/>
      <c r="F207" s="410"/>
      <c r="G207" s="410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410" t="s">
        <v>9</v>
      </c>
      <c r="D208" s="272">
        <f>D190</f>
        <v>0</v>
      </c>
      <c r="E208" s="272" t="str">
        <f>E190</f>
        <v>-</v>
      </c>
      <c r="F208" s="272">
        <f>F190</f>
        <v>5</v>
      </c>
      <c r="G208" s="104">
        <f>T11</f>
        <v>14</v>
      </c>
      <c r="H208" s="3"/>
      <c r="I208" s="29">
        <f>U11</f>
        <v>370</v>
      </c>
      <c r="J208" s="3"/>
      <c r="K208" s="35">
        <f>J120</f>
        <v>114.67</v>
      </c>
      <c r="L208" s="3"/>
      <c r="M208" s="524">
        <f>ROUND(K208*(I208/F208),0)</f>
        <v>8486</v>
      </c>
      <c r="N208" s="17"/>
      <c r="O208" s="3"/>
      <c r="P208" s="2"/>
      <c r="Q208" s="2"/>
    </row>
    <row r="209" spans="2:17" x14ac:dyDescent="0.35">
      <c r="B209" s="3"/>
      <c r="C209" s="410"/>
      <c r="D209" s="272"/>
      <c r="E209" s="272" t="str">
        <f>E191</f>
        <v>&gt;</v>
      </c>
      <c r="F209" s="272">
        <f>F191</f>
        <v>5</v>
      </c>
      <c r="G209" s="104">
        <f>T12</f>
        <v>59.999999999999993</v>
      </c>
      <c r="H209" s="3"/>
      <c r="I209" s="29">
        <f>U12</f>
        <v>1056</v>
      </c>
      <c r="J209" s="3"/>
      <c r="K209" s="35">
        <f>J122</f>
        <v>19.97</v>
      </c>
      <c r="L209" s="3"/>
      <c r="M209" s="26">
        <f>ROUND(K209*I209,0)</f>
        <v>21088</v>
      </c>
      <c r="N209" s="17"/>
      <c r="O209" s="3"/>
      <c r="P209" s="2"/>
      <c r="Q209" s="2"/>
    </row>
    <row r="210" spans="2:17" x14ac:dyDescent="0.35">
      <c r="B210" s="3"/>
      <c r="C210" s="410"/>
      <c r="D210" s="272"/>
      <c r="E210" s="272"/>
      <c r="F210" s="272"/>
      <c r="G210" s="836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410"/>
      <c r="D211" s="272"/>
      <c r="E211" s="272"/>
      <c r="F211" s="272"/>
      <c r="G211" s="65">
        <f>G208+G209+G210</f>
        <v>74</v>
      </c>
      <c r="H211" s="3"/>
      <c r="I211" s="28">
        <f>I208+I209+I210</f>
        <v>1426</v>
      </c>
      <c r="J211" s="3"/>
      <c r="K211" s="35"/>
      <c r="L211" s="3"/>
      <c r="M211" s="34">
        <f>M208+M209+M210</f>
        <v>29574</v>
      </c>
      <c r="N211" s="3"/>
      <c r="O211" s="36" t="s">
        <v>7</v>
      </c>
      <c r="P211" s="2"/>
      <c r="Q211" s="2"/>
    </row>
    <row r="212" spans="2:17" x14ac:dyDescent="0.35">
      <c r="B212" s="3"/>
      <c r="C212" s="410"/>
      <c r="D212" s="272"/>
      <c r="E212" s="272"/>
      <c r="F212" s="272"/>
      <c r="G212" s="65"/>
      <c r="H212" s="3"/>
      <c r="I212" s="28"/>
      <c r="J212" s="3"/>
      <c r="K212" s="35"/>
      <c r="L212" s="33" t="s">
        <v>22</v>
      </c>
      <c r="M212" s="34">
        <f>ROUND(M211*(O212-1),0)</f>
        <v>316</v>
      </c>
      <c r="N212" s="33" t="s">
        <v>23</v>
      </c>
      <c r="O212" s="108">
        <f>L11</f>
        <v>1.01067</v>
      </c>
      <c r="P212" s="2"/>
      <c r="Q212" s="2"/>
    </row>
    <row r="213" spans="2:17" x14ac:dyDescent="0.35">
      <c r="B213" s="3"/>
      <c r="C213" s="410"/>
      <c r="D213" s="272"/>
      <c r="E213" s="272"/>
      <c r="F213" s="272"/>
      <c r="G213" s="65"/>
      <c r="H213" s="3"/>
      <c r="I213" s="28"/>
      <c r="J213" s="3"/>
      <c r="K213" s="35"/>
      <c r="L213" s="33" t="s">
        <v>21</v>
      </c>
      <c r="M213" s="32">
        <f>M211+M212</f>
        <v>29890</v>
      </c>
      <c r="N213" s="8"/>
      <c r="O213" s="3"/>
      <c r="P213" s="2"/>
      <c r="Q213" s="2"/>
    </row>
    <row r="214" spans="2:17" x14ac:dyDescent="0.35">
      <c r="B214" s="3"/>
      <c r="C214" s="410"/>
      <c r="D214" s="410"/>
      <c r="E214" s="410"/>
      <c r="F214" s="410"/>
      <c r="G214" s="410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410" t="s">
        <v>8</v>
      </c>
      <c r="D215" s="272">
        <f>D190</f>
        <v>0</v>
      </c>
      <c r="E215" s="272" t="str">
        <f>E190</f>
        <v>-</v>
      </c>
      <c r="F215" s="272">
        <f>F190</f>
        <v>5</v>
      </c>
      <c r="G215" s="104">
        <f>T21</f>
        <v>0</v>
      </c>
      <c r="H215" s="3"/>
      <c r="I215" s="29">
        <f>U21</f>
        <v>0</v>
      </c>
      <c r="J215" s="3"/>
      <c r="K215" s="35">
        <f>J124</f>
        <v>72.23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410"/>
      <c r="D216" s="272"/>
      <c r="E216" s="272" t="str">
        <f>E191</f>
        <v>&gt;</v>
      </c>
      <c r="F216" s="272">
        <f>F191</f>
        <v>5</v>
      </c>
      <c r="G216" s="104">
        <f>T22</f>
        <v>0</v>
      </c>
      <c r="H216" s="3"/>
      <c r="I216" s="29">
        <f>U22</f>
        <v>0</v>
      </c>
      <c r="J216" s="3"/>
      <c r="K216" s="35">
        <f>J126</f>
        <v>12.41</v>
      </c>
      <c r="L216" s="3"/>
      <c r="M216" s="26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410"/>
      <c r="D217" s="272"/>
      <c r="E217" s="272"/>
      <c r="F217" s="272"/>
      <c r="G217" s="836">
        <f>T23</f>
        <v>0</v>
      </c>
      <c r="H217" s="3"/>
      <c r="I217" s="38">
        <f>U23</f>
        <v>0</v>
      </c>
      <c r="J217" s="3"/>
      <c r="K217" s="35"/>
      <c r="L217" s="3"/>
      <c r="M217" s="37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410"/>
      <c r="D218" s="272"/>
      <c r="E218" s="272"/>
      <c r="F218" s="272"/>
      <c r="G218" s="65">
        <f>G215+G216+G217</f>
        <v>0</v>
      </c>
      <c r="H218" s="3"/>
      <c r="I218" s="28">
        <f>I215+I216+I217</f>
        <v>0</v>
      </c>
      <c r="J218" s="3"/>
      <c r="K218" s="35"/>
      <c r="L218" s="3"/>
      <c r="M218" s="34">
        <f>M215+M216+M217</f>
        <v>0</v>
      </c>
      <c r="N218" s="17"/>
      <c r="O218" s="3"/>
      <c r="P218" s="2"/>
      <c r="Q218" s="2"/>
    </row>
    <row r="219" spans="2:17" x14ac:dyDescent="0.35">
      <c r="B219" s="3"/>
      <c r="C219" s="410"/>
      <c r="D219" s="410"/>
      <c r="E219" s="410"/>
      <c r="F219" s="410"/>
      <c r="G219" s="410"/>
      <c r="H219" s="3"/>
      <c r="I219" s="3"/>
      <c r="J219" s="3"/>
      <c r="K219" s="3"/>
      <c r="L219" s="33" t="s">
        <v>22</v>
      </c>
      <c r="M219" s="34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410"/>
      <c r="D220" s="410"/>
      <c r="E220" s="410"/>
      <c r="F220" s="410"/>
      <c r="G220" s="410"/>
      <c r="H220" s="3"/>
      <c r="I220" s="3"/>
      <c r="J220" s="3"/>
      <c r="K220" s="3"/>
      <c r="L220" s="33" t="s">
        <v>21</v>
      </c>
      <c r="M220" s="32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410"/>
      <c r="D221" s="410"/>
      <c r="E221" s="410"/>
      <c r="F221" s="410"/>
      <c r="G221" s="410"/>
      <c r="H221" s="3"/>
      <c r="I221" s="3"/>
      <c r="J221" s="3"/>
      <c r="K221" s="3"/>
      <c r="L221" s="3"/>
      <c r="M221" s="410"/>
      <c r="N221" s="3"/>
      <c r="O221" s="3"/>
      <c r="P221" s="2"/>
      <c r="Q221" s="2"/>
    </row>
    <row r="222" spans="2:17" ht="15.5" thickTop="1" thickBot="1" x14ac:dyDescent="0.4">
      <c r="B222" s="3"/>
      <c r="C222" s="837" t="str">
        <f>CONCATENATE($A$4," - Total Annual Demand Charge Incl EDB:")</f>
        <v>SC5 Rate I - Total Annual Demand Charge Incl EDB:</v>
      </c>
      <c r="D222" s="410"/>
      <c r="E222" s="410"/>
      <c r="F222" s="410"/>
      <c r="G222" s="410"/>
      <c r="H222" s="3"/>
      <c r="I222" s="3"/>
      <c r="J222" s="3"/>
      <c r="K222" s="3"/>
      <c r="L222" s="3"/>
      <c r="M222" s="821">
        <f>M195+M202+M213+M220</f>
        <v>42432</v>
      </c>
      <c r="N222" s="17"/>
      <c r="O222" s="3"/>
      <c r="P222" s="2"/>
      <c r="Q222" s="2"/>
    </row>
    <row r="223" spans="2:17" ht="15" thickTop="1" x14ac:dyDescent="0.35">
      <c r="B223" s="3"/>
      <c r="C223" s="410"/>
      <c r="D223" s="410"/>
      <c r="E223" s="410"/>
      <c r="F223" s="410"/>
      <c r="G223" s="410"/>
      <c r="H223" s="3"/>
      <c r="I223" s="3"/>
      <c r="J223" s="3"/>
      <c r="K223" s="3"/>
      <c r="L223" s="3"/>
      <c r="M223" s="410"/>
      <c r="N223" s="17"/>
      <c r="O223" s="3"/>
      <c r="P223" s="2"/>
      <c r="Q223" s="2"/>
    </row>
    <row r="224" spans="2:17" x14ac:dyDescent="0.35">
      <c r="B224" s="3"/>
      <c r="C224" s="410"/>
      <c r="D224" s="410"/>
      <c r="E224" s="410"/>
      <c r="F224" s="410"/>
      <c r="G224" s="410"/>
      <c r="H224" s="3"/>
      <c r="I224" s="3"/>
      <c r="J224" s="3"/>
      <c r="K224" s="30" t="s">
        <v>15</v>
      </c>
      <c r="L224" s="3"/>
      <c r="M224" s="536" t="s">
        <v>14</v>
      </c>
      <c r="N224" s="17"/>
      <c r="O224" s="3"/>
      <c r="P224" s="2"/>
      <c r="Q224" s="2"/>
    </row>
    <row r="225" spans="2:17" x14ac:dyDescent="0.35">
      <c r="B225" s="3"/>
      <c r="C225" s="835" t="s">
        <v>13</v>
      </c>
      <c r="D225" s="410"/>
      <c r="E225" s="410"/>
      <c r="F225" s="410"/>
      <c r="G225" s="410"/>
      <c r="H225" s="3"/>
      <c r="I225" s="30" t="s">
        <v>12</v>
      </c>
      <c r="J225" s="3"/>
      <c r="K225" s="30" t="s">
        <v>11</v>
      </c>
      <c r="L225" s="3"/>
      <c r="M225" s="536" t="s">
        <v>6</v>
      </c>
      <c r="N225" s="17"/>
      <c r="O225" s="3"/>
      <c r="P225" s="2"/>
      <c r="Q225" s="2"/>
    </row>
    <row r="226" spans="2:17" x14ac:dyDescent="0.35">
      <c r="B226" s="3"/>
      <c r="C226" s="410" t="s">
        <v>9</v>
      </c>
      <c r="D226" s="410" t="s">
        <v>10</v>
      </c>
      <c r="E226" s="410"/>
      <c r="F226" s="410"/>
      <c r="G226" s="410"/>
      <c r="H226" s="3"/>
      <c r="I226" s="29">
        <f>V6</f>
        <v>151446</v>
      </c>
      <c r="J226" s="3"/>
      <c r="K226" s="27">
        <f>I178</f>
        <v>3.7900000000000003E-2</v>
      </c>
      <c r="L226" s="3"/>
      <c r="M226" s="825">
        <f>ROUND(I226*K226,0)</f>
        <v>5740</v>
      </c>
      <c r="N226" s="17"/>
      <c r="O226" s="3"/>
      <c r="P226" s="2"/>
      <c r="Q226" s="2"/>
    </row>
    <row r="227" spans="2:17" x14ac:dyDescent="0.35">
      <c r="B227" s="3"/>
      <c r="C227" s="410"/>
      <c r="D227" s="410"/>
      <c r="E227" s="410"/>
      <c r="F227" s="410"/>
      <c r="G227" s="410"/>
      <c r="H227" s="3"/>
      <c r="I227" s="3"/>
      <c r="J227" s="3"/>
      <c r="K227" s="3"/>
      <c r="L227" s="3"/>
      <c r="M227" s="410"/>
      <c r="N227" s="3"/>
      <c r="O227" s="3"/>
      <c r="P227" s="2"/>
      <c r="Q227" s="2"/>
    </row>
    <row r="228" spans="2:17" x14ac:dyDescent="0.35">
      <c r="B228" s="3"/>
      <c r="C228" s="410" t="s">
        <v>8</v>
      </c>
      <c r="D228" s="410" t="s">
        <v>10</v>
      </c>
      <c r="E228" s="410"/>
      <c r="F228" s="410"/>
      <c r="G228" s="410"/>
      <c r="H228" s="3"/>
      <c r="I228" s="28">
        <f>V16</f>
        <v>0</v>
      </c>
      <c r="J228" s="3"/>
      <c r="K228" s="27">
        <f>I180</f>
        <v>3.7900000000000003E-2</v>
      </c>
      <c r="L228" s="3"/>
      <c r="M228" s="825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410"/>
      <c r="D229" s="410"/>
      <c r="E229" s="410"/>
      <c r="F229" s="410"/>
      <c r="G229" s="410"/>
      <c r="H229" s="3"/>
      <c r="I229" s="3"/>
      <c r="J229" s="3"/>
      <c r="K229" s="3"/>
      <c r="L229" s="3"/>
      <c r="M229" s="410"/>
      <c r="N229" s="3"/>
      <c r="O229" s="3"/>
      <c r="P229" s="2"/>
      <c r="Q229" s="2"/>
    </row>
    <row r="230" spans="2:17" x14ac:dyDescent="0.35">
      <c r="B230" s="3"/>
      <c r="C230" s="410" t="s">
        <v>9</v>
      </c>
      <c r="D230" s="410" t="s">
        <v>7</v>
      </c>
      <c r="E230" s="410"/>
      <c r="F230" s="410"/>
      <c r="G230" s="410"/>
      <c r="H230" s="3"/>
      <c r="I230" s="28">
        <f>V11</f>
        <v>530566</v>
      </c>
      <c r="J230" s="3"/>
      <c r="K230" s="27">
        <f>K178</f>
        <v>3.7900000000000003E-2</v>
      </c>
      <c r="L230" s="3"/>
      <c r="M230" s="825">
        <f>ROUND(I230*K230,0)</f>
        <v>20108</v>
      </c>
      <c r="N230" s="17"/>
      <c r="O230" s="3"/>
      <c r="P230" s="2"/>
      <c r="Q230" s="2"/>
    </row>
    <row r="231" spans="2:17" x14ac:dyDescent="0.35">
      <c r="B231" s="3"/>
      <c r="C231" s="410"/>
      <c r="D231" s="410"/>
      <c r="E231" s="410"/>
      <c r="F231" s="410"/>
      <c r="G231" s="410"/>
      <c r="H231" s="3"/>
      <c r="I231" s="3"/>
      <c r="J231" s="3"/>
      <c r="K231" s="3"/>
      <c r="L231" s="3"/>
      <c r="M231" s="410"/>
      <c r="N231" s="3"/>
      <c r="O231" s="3"/>
      <c r="P231" s="2"/>
      <c r="Q231" s="2"/>
    </row>
    <row r="232" spans="2:17" x14ac:dyDescent="0.35">
      <c r="B232" s="3"/>
      <c r="C232" s="410" t="s">
        <v>8</v>
      </c>
      <c r="D232" s="410" t="s">
        <v>7</v>
      </c>
      <c r="E232" s="410"/>
      <c r="F232" s="410"/>
      <c r="G232" s="410"/>
      <c r="H232" s="3"/>
      <c r="I232" s="28">
        <f>V21</f>
        <v>0</v>
      </c>
      <c r="J232" s="3"/>
      <c r="K232" s="27">
        <f>K180</f>
        <v>3.7900000000000003E-2</v>
      </c>
      <c r="L232" s="3"/>
      <c r="M232" s="825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410"/>
      <c r="D233" s="410"/>
      <c r="E233" s="410"/>
      <c r="F233" s="410"/>
      <c r="G233" s="410"/>
      <c r="H233" s="3"/>
      <c r="I233" s="3"/>
      <c r="J233" s="3"/>
      <c r="K233" s="3"/>
      <c r="L233" s="3"/>
      <c r="M233" s="410"/>
      <c r="N233" s="17"/>
      <c r="O233" s="3"/>
      <c r="P233" s="2"/>
      <c r="Q233" s="2"/>
    </row>
    <row r="234" spans="2:17" ht="15.5" thickTop="1" thickBot="1" x14ac:dyDescent="0.4">
      <c r="B234" s="3"/>
      <c r="C234" s="837" t="str">
        <f>CONCATENATE($A$4," - Total Annual Energy Charge:")</f>
        <v>SC5 Rate I - Total Annual Energy Charge:</v>
      </c>
      <c r="D234" s="410"/>
      <c r="E234" s="410"/>
      <c r="F234" s="410"/>
      <c r="G234" s="410"/>
      <c r="H234" s="3"/>
      <c r="I234" s="3"/>
      <c r="J234" s="3"/>
      <c r="K234" s="3"/>
      <c r="L234" s="3"/>
      <c r="M234" s="821">
        <f>M226+M228+M230+M232</f>
        <v>25848</v>
      </c>
      <c r="N234" s="17"/>
      <c r="O234" s="3"/>
      <c r="P234" s="2"/>
      <c r="Q234" s="2"/>
    </row>
    <row r="235" spans="2:17" ht="15.5" thickTop="1" thickBot="1" x14ac:dyDescent="0.4">
      <c r="B235" s="3"/>
      <c r="C235" s="410"/>
      <c r="D235" s="410"/>
      <c r="E235" s="410"/>
      <c r="F235" s="410"/>
      <c r="G235" s="410"/>
      <c r="H235" s="3"/>
      <c r="I235" s="3"/>
      <c r="J235" s="3"/>
      <c r="K235" s="3"/>
      <c r="L235" s="3"/>
      <c r="M235" s="410"/>
      <c r="N235" s="17"/>
      <c r="O235" s="3"/>
      <c r="P235" s="2"/>
      <c r="Q235" s="2"/>
    </row>
    <row r="236" spans="2:17" ht="15.5" thickTop="1" thickBot="1" x14ac:dyDescent="0.4">
      <c r="B236" s="3"/>
      <c r="C236" s="837" t="str">
        <f>CONCATENATE($A$4," - Total Charge Price-Out at Proposed Rates:")</f>
        <v>SC5 Rate I - Total Charge Price-Out at Proposed Rates:</v>
      </c>
      <c r="D236" s="410"/>
      <c r="E236" s="410"/>
      <c r="F236" s="410"/>
      <c r="G236" s="410"/>
      <c r="H236" s="3"/>
      <c r="I236" s="3"/>
      <c r="J236" s="3"/>
      <c r="K236" s="3"/>
      <c r="L236" s="3"/>
      <c r="M236" s="821">
        <f>M222+M234</f>
        <v>68280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815" t="str">
        <f>$A$4</f>
        <v>SC5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05">
        <f>L4</f>
        <v>2020</v>
      </c>
      <c r="E239" s="1305"/>
      <c r="F239" s="1305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699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68280</v>
      </c>
      <c r="N240" s="557"/>
      <c r="O240" s="2"/>
      <c r="P240" s="2"/>
      <c r="Q240" s="2"/>
    </row>
    <row r="241" spans="1:17" x14ac:dyDescent="0.35">
      <c r="B241" s="3"/>
      <c r="C241" s="20"/>
      <c r="D241" s="19"/>
      <c r="E241" s="19"/>
      <c r="F241" s="19"/>
      <c r="G241" s="10"/>
      <c r="H241" s="10"/>
      <c r="I241" s="10"/>
      <c r="J241" s="10"/>
      <c r="K241" s="10"/>
      <c r="L241" s="10"/>
      <c r="M241" s="470"/>
      <c r="N241" s="557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471"/>
      <c r="N242" s="557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68280</v>
      </c>
      <c r="N243" s="557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7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828">
        <f>L19</f>
        <v>68283</v>
      </c>
      <c r="N245" s="557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-3</v>
      </c>
      <c r="N246" s="557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-4.3934800755707215E-5</v>
      </c>
      <c r="N247" s="557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57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57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25" header="0.3" footer="0.05"/>
  <pageSetup scale="45" orientation="landscape" r:id="rId1"/>
  <headerFooter>
    <oddFooter>&amp;C&amp;F (Tab: &amp;A)&amp;RPage &amp;P / &amp;N</oddFooter>
  </headerFooter>
  <rowBreaks count="3" manualBreakCount="3">
    <brk id="80" max="16383" man="1"/>
    <brk id="161" max="16383" man="1"/>
    <brk id="2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V253"/>
  <sheetViews>
    <sheetView topLeftCell="A85" workbookViewId="0">
      <selection activeCell="J12" sqref="J12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6.1796875" customWidth="1"/>
    <col min="14" max="14" width="15.81640625" customWidth="1"/>
    <col min="15" max="15" width="16.453125" customWidth="1"/>
    <col min="16" max="16" width="15" style="1" customWidth="1"/>
    <col min="17" max="17" width="8.7265625" style="1" customWidth="1"/>
    <col min="18" max="19" width="8.7265625" customWidth="1"/>
    <col min="20" max="22" width="15.54296875" customWidth="1"/>
    <col min="25" max="26" width="11.7265625" customWidth="1"/>
    <col min="27" max="27" width="16.81640625" customWidth="1"/>
  </cols>
  <sheetData>
    <row r="1" spans="1:22" ht="18.5" x14ac:dyDescent="0.45">
      <c r="A1" s="189" t="s">
        <v>828</v>
      </c>
    </row>
    <row r="3" spans="1:22" outlineLevel="1" x14ac:dyDescent="0.35">
      <c r="A3" s="70" t="s">
        <v>158</v>
      </c>
      <c r="B3" s="70"/>
      <c r="C3" s="3"/>
      <c r="D3" s="180"/>
      <c r="E3" s="180"/>
      <c r="F3" s="180"/>
      <c r="G3" s="180"/>
      <c r="H3" s="180"/>
      <c r="K3" s="33" t="s">
        <v>150</v>
      </c>
      <c r="L3" s="806">
        <f>'8B.)ED Shift_RedesignRateSum'!$D$3</f>
        <v>2019</v>
      </c>
      <c r="M3" s="3"/>
      <c r="P3" s="192" t="str">
        <f>$A$4</f>
        <v>SC8 Rate I</v>
      </c>
      <c r="Q3" s="2"/>
      <c r="R3" s="3"/>
      <c r="S3" s="3"/>
      <c r="T3" s="3"/>
      <c r="U3" s="3"/>
      <c r="V3" s="3"/>
    </row>
    <row r="4" spans="1:22" outlineLevel="1" x14ac:dyDescent="0.35">
      <c r="A4" s="182" t="s">
        <v>151</v>
      </c>
      <c r="B4" s="182"/>
      <c r="C4" s="3"/>
      <c r="D4" s="3"/>
      <c r="E4" s="3"/>
      <c r="F4" s="3"/>
      <c r="G4" s="3"/>
      <c r="H4" s="3"/>
      <c r="K4" s="33" t="s">
        <v>5</v>
      </c>
      <c r="L4" s="806">
        <f>'8B.)ED Shift_RedesignRateSum'!$D$4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180"/>
      <c r="B5" s="180"/>
      <c r="C5" s="180"/>
      <c r="D5" s="3"/>
      <c r="E5" s="3"/>
      <c r="F5" s="3"/>
      <c r="G5" s="3"/>
      <c r="H5" s="3"/>
      <c r="K5" s="33" t="s">
        <v>145</v>
      </c>
      <c r="L5" s="806" t="str">
        <f>CONCATENATE("Shift of ",$L$8*100,"%")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7">
        <f>'8B.)ED Shift_RedesignRateSum'!E43</f>
        <v>2019</v>
      </c>
      <c r="H6" s="291" t="s">
        <v>309</v>
      </c>
      <c r="K6" s="33" t="s">
        <v>1428</v>
      </c>
      <c r="L6" s="806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I)'!$E$41</f>
        <v>10</v>
      </c>
      <c r="T6" s="386">
        <f>'[2]4C.)HY_DemandRatePxOut(Rate I)'!$L$45</f>
        <v>74</v>
      </c>
      <c r="U6" s="386">
        <f>'[2]4C.)HY_DemandRatePxOut(Rate I)'!$N$45</f>
        <v>69190</v>
      </c>
      <c r="V6" s="386">
        <f>'[2]4B.)HY_EnergyRatePxOut(Rate I)'!$M$131</f>
        <v>602294876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265" t="s">
        <v>170</v>
      </c>
      <c r="H7" s="265" t="s">
        <v>142</v>
      </c>
      <c r="K7" s="33"/>
      <c r="L7" s="118" t="str">
        <f>A4</f>
        <v>SC8 Rate I</v>
      </c>
      <c r="M7" s="3"/>
      <c r="P7" s="170" t="s">
        <v>114</v>
      </c>
      <c r="Q7" s="159"/>
      <c r="R7" s="158" t="s">
        <v>141</v>
      </c>
      <c r="S7" s="159">
        <f>S6</f>
        <v>10</v>
      </c>
      <c r="T7" s="387">
        <f>'[2]4C.)HY_DemandRatePxOut(Rate I)'!$L$46</f>
        <v>6845</v>
      </c>
      <c r="U7" s="387">
        <f>'[2]4C.)HY_DemandRatePxOut(Rate I)'!$N$46</f>
        <v>1446294</v>
      </c>
      <c r="V7" s="387">
        <f>'[2]4B.)HY_EnergyRatePxOut(Rate I)'!$M$132</f>
        <v>0</v>
      </c>
    </row>
    <row r="8" spans="1:22" ht="15.5" outlineLevel="1" thickTop="1" thickBot="1" x14ac:dyDescent="0.4">
      <c r="A8" s="3" t="s">
        <v>331</v>
      </c>
      <c r="B8" s="3"/>
      <c r="C8" s="3"/>
      <c r="D8" s="3"/>
      <c r="E8" s="3"/>
      <c r="F8" s="3"/>
      <c r="G8" s="309">
        <f>'8B.)ED Shift_RedesignRateSum'!E45</f>
        <v>1.7600000000000001E-2</v>
      </c>
      <c r="H8" s="512">
        <f>I178</f>
        <v>1.67E-2</v>
      </c>
      <c r="K8" s="33" t="s">
        <v>1437</v>
      </c>
      <c r="L8" s="688">
        <f>'8B.)ED Shift_RedesignRateSum'!$D$5</f>
        <v>0.05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332</v>
      </c>
      <c r="B9" s="3"/>
      <c r="C9" s="3"/>
      <c r="D9" s="3"/>
      <c r="E9" s="3"/>
      <c r="F9" s="3"/>
      <c r="G9" s="310">
        <f>'8B.)ED Shift_RedesignRateSum'!E46</f>
        <v>1.7600000000000001E-2</v>
      </c>
      <c r="H9" s="513">
        <f>K178</f>
        <v>1.67E-2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6919</v>
      </c>
      <c r="U9" s="151">
        <f>SUM(U6:U8)</f>
        <v>1515484</v>
      </c>
      <c r="V9" s="151">
        <f>SUM(V6:V8)</f>
        <v>602294876</v>
      </c>
    </row>
    <row r="10" spans="1:22" ht="15" outlineLevel="1" thickTop="1" x14ac:dyDescent="0.35">
      <c r="A10" s="3" t="s">
        <v>333</v>
      </c>
      <c r="B10" s="3"/>
      <c r="C10" s="3"/>
      <c r="D10" s="3"/>
      <c r="E10" s="3"/>
      <c r="F10" s="3"/>
      <c r="G10" s="310">
        <f>'8B.)ED Shift_RedesignRateSum'!E47</f>
        <v>375.88</v>
      </c>
      <c r="H10" s="513">
        <f>H120</f>
        <v>380.53</v>
      </c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334</v>
      </c>
      <c r="B11" s="3"/>
      <c r="C11" s="3"/>
      <c r="D11" s="3"/>
      <c r="E11" s="3"/>
      <c r="F11" s="3"/>
      <c r="G11" s="310">
        <f>'8B.)ED Shift_RedesignRateSum'!E48</f>
        <v>33.9</v>
      </c>
      <c r="H11" s="513">
        <f>H122</f>
        <v>34.33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10</v>
      </c>
      <c r="T11" s="735">
        <f>'[2]4C.)HY_DemandRatePxOut(Rate I)'!$L$41</f>
        <v>243.00000000000003</v>
      </c>
      <c r="U11" s="735">
        <f>'[2]4C.)HY_DemandRatePxOut(Rate I)'!$N$41</f>
        <v>138280</v>
      </c>
      <c r="V11" s="735">
        <f>'[2]4B.)HY_EnergyRatePxOut(Rate I)'!$M$126</f>
        <v>911800979</v>
      </c>
    </row>
    <row r="12" spans="1:22" outlineLevel="1" x14ac:dyDescent="0.35">
      <c r="A12" s="3" t="s">
        <v>335</v>
      </c>
      <c r="B12" s="3"/>
      <c r="C12" s="3"/>
      <c r="D12" s="3"/>
      <c r="E12" s="3"/>
      <c r="F12" s="3"/>
      <c r="G12" s="310">
        <f>'8B.)ED Shift_RedesignRateSum'!E49</f>
        <v>290.57</v>
      </c>
      <c r="H12" s="513">
        <f>J120</f>
        <v>294.16000000000003</v>
      </c>
      <c r="K12" s="367"/>
      <c r="P12" s="160" t="s">
        <v>113</v>
      </c>
      <c r="Q12" s="159"/>
      <c r="R12" s="158" t="str">
        <f>$R$7</f>
        <v>&gt;</v>
      </c>
      <c r="S12" s="157">
        <f>$S$7</f>
        <v>10</v>
      </c>
      <c r="T12" s="733">
        <f>'[2]4C.)HY_DemandRatePxOut(Rate I)'!$L$42</f>
        <v>13585</v>
      </c>
      <c r="U12" s="733">
        <f>'[2]4C.)HY_DemandRatePxOut(Rate I)'!$N$42</f>
        <v>1945382</v>
      </c>
      <c r="V12" s="733">
        <f>'[2]4B.)HY_EnergyRatePxOut(Rate I)'!$M$127</f>
        <v>0</v>
      </c>
    </row>
    <row r="13" spans="1:22" ht="15" outlineLevel="1" thickBot="1" x14ac:dyDescent="0.4">
      <c r="A13" s="3" t="s">
        <v>336</v>
      </c>
      <c r="B13" s="3"/>
      <c r="C13" s="3"/>
      <c r="D13" s="3"/>
      <c r="E13" s="3"/>
      <c r="F13" s="3"/>
      <c r="G13" s="310">
        <f>'8B.)ED Shift_RedesignRateSum'!E50</f>
        <v>26.19</v>
      </c>
      <c r="H13" s="513">
        <f>J122</f>
        <v>26.52</v>
      </c>
      <c r="I13" s="3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337</v>
      </c>
      <c r="B14" s="3"/>
      <c r="C14" s="3"/>
      <c r="D14" s="3"/>
      <c r="E14" s="3"/>
      <c r="F14" s="3"/>
      <c r="G14" s="310">
        <f>'8B.)ED Shift_RedesignRateSum'!E51</f>
        <v>1.7600000000000001E-2</v>
      </c>
      <c r="H14" s="513">
        <f>I180</f>
        <v>1.67E-2</v>
      </c>
      <c r="K14" s="367"/>
      <c r="P14" s="2"/>
      <c r="Q14" s="2"/>
      <c r="R14" s="3"/>
      <c r="S14" s="3"/>
      <c r="T14" s="151">
        <f>SUM(T11:T13)</f>
        <v>13828</v>
      </c>
      <c r="U14" s="151">
        <f>SUM(U11:U13)</f>
        <v>2083662</v>
      </c>
      <c r="V14" s="151">
        <f>SUM(V11:V13)</f>
        <v>911800979</v>
      </c>
    </row>
    <row r="15" spans="1:22" ht="15" outlineLevel="1" thickTop="1" x14ac:dyDescent="0.35">
      <c r="A15" s="3" t="s">
        <v>338</v>
      </c>
      <c r="B15" s="3"/>
      <c r="C15" s="3"/>
      <c r="D15" s="3"/>
      <c r="E15" s="3"/>
      <c r="F15" s="3"/>
      <c r="G15" s="310">
        <f>'8B.)ED Shift_RedesignRateSum'!E52</f>
        <v>1.7600000000000001E-2</v>
      </c>
      <c r="H15" s="513">
        <f>K180</f>
        <v>1.67E-2</v>
      </c>
      <c r="K15" s="33" t="s">
        <v>131</v>
      </c>
      <c r="L15" s="245">
        <f>'8A.)HY_ED RevShifting'!$E$18</f>
        <v>107799571</v>
      </c>
      <c r="M15" s="245">
        <f>'8A.)HY_ED RevShifting'!$D$18</f>
        <v>106597638</v>
      </c>
      <c r="N15" s="134"/>
    </row>
    <row r="16" spans="1:22" outlineLevel="1" x14ac:dyDescent="0.35">
      <c r="A16" s="3" t="s">
        <v>339</v>
      </c>
      <c r="B16" s="3"/>
      <c r="C16" s="3"/>
      <c r="D16" s="3"/>
      <c r="E16" s="3"/>
      <c r="F16" s="3"/>
      <c r="G16" s="310">
        <f>'8B.)ED Shift_RedesignRateSum'!E53</f>
        <v>296.11</v>
      </c>
      <c r="H16" s="513">
        <f>H124</f>
        <v>299.77</v>
      </c>
      <c r="K16" s="33" t="s">
        <v>129</v>
      </c>
      <c r="L16" s="245">
        <f>'8A.)HY_ED RevShifting'!$E$22</f>
        <v>26648087</v>
      </c>
      <c r="M16" s="245">
        <f>'8A.)HY_ED RevShifting'!$D$22</f>
        <v>26648087</v>
      </c>
      <c r="N16" s="134"/>
      <c r="P16" s="165" t="s">
        <v>112</v>
      </c>
      <c r="Q16" s="164">
        <f>$Q$6</f>
        <v>0</v>
      </c>
      <c r="R16" s="163" t="str">
        <f>$R$6</f>
        <v>-</v>
      </c>
      <c r="S16" s="162">
        <f>$S$6</f>
        <v>10</v>
      </c>
      <c r="T16" s="161"/>
      <c r="U16" s="161"/>
      <c r="V16" s="161"/>
    </row>
    <row r="17" spans="1:22" outlineLevel="1" x14ac:dyDescent="0.35">
      <c r="A17" s="3" t="s">
        <v>340</v>
      </c>
      <c r="B17" s="3"/>
      <c r="C17" s="3"/>
      <c r="D17" s="3"/>
      <c r="E17" s="3"/>
      <c r="F17" s="3"/>
      <c r="G17" s="310">
        <f>'8B.)ED Shift_RedesignRateSum'!E54</f>
        <v>26.700000000000003</v>
      </c>
      <c r="H17" s="513">
        <f>H126</f>
        <v>27.04</v>
      </c>
      <c r="K17" s="33" t="s">
        <v>130</v>
      </c>
      <c r="L17" s="245">
        <f>HLOOKUP($L$8,'8A.)HY_ED RevShifting'!$B$6:$M$43,'8A.)HY_ED RevShifting'!$B$19,0)</f>
        <v>1332404</v>
      </c>
      <c r="M17" s="134">
        <f>ROUND(L17/$L$9,0)</f>
        <v>1317803</v>
      </c>
      <c r="N17" s="134"/>
      <c r="P17" s="170" t="s">
        <v>112</v>
      </c>
      <c r="Q17" s="159"/>
      <c r="R17" s="158" t="str">
        <f>$R$7</f>
        <v>&gt;</v>
      </c>
      <c r="S17" s="157">
        <f>$S$7</f>
        <v>10</v>
      </c>
      <c r="T17" s="156"/>
      <c r="U17" s="156"/>
      <c r="V17" s="156"/>
    </row>
    <row r="18" spans="1:22" ht="15" outlineLevel="1" thickBot="1" x14ac:dyDescent="0.4">
      <c r="A18" s="3" t="s">
        <v>341</v>
      </c>
      <c r="B18" s="3"/>
      <c r="C18" s="3"/>
      <c r="D18" s="3"/>
      <c r="E18" s="3"/>
      <c r="F18" s="3"/>
      <c r="G18" s="310">
        <f>'8B.)ED Shift_RedesignRateSum'!E55</f>
        <v>210.79</v>
      </c>
      <c r="H18" s="513">
        <f>J124</f>
        <v>213.4</v>
      </c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342</v>
      </c>
      <c r="B19" s="3"/>
      <c r="C19" s="3"/>
      <c r="D19" s="3"/>
      <c r="E19" s="3"/>
      <c r="F19" s="3"/>
      <c r="G19" s="311">
        <f>'8B.)ED Shift_RedesignRateSum'!E56</f>
        <v>18.970000000000002</v>
      </c>
      <c r="H19" s="514">
        <f>J126</f>
        <v>19.21</v>
      </c>
      <c r="K19" s="33" t="str">
        <f>CONCATENATE(A4," - Demand &amp; Energy Rev:")</f>
        <v>SC8 Rate I - Demand &amp; Energy Rev:</v>
      </c>
      <c r="L19" s="308">
        <f>L15+L16</f>
        <v>134447658</v>
      </c>
      <c r="M19" s="143"/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/>
    <row r="21" spans="1:22" outlineLevel="1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10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10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407" t="s">
        <v>1537</v>
      </c>
      <c r="B28" s="147"/>
      <c r="C28" s="131"/>
      <c r="D28" s="131"/>
      <c r="E28" s="131"/>
      <c r="F28" s="131"/>
    </row>
    <row r="29" spans="1:22" x14ac:dyDescent="0.35">
      <c r="A29" s="131"/>
      <c r="B29" s="131"/>
      <c r="C29" s="131"/>
      <c r="D29" s="131"/>
      <c r="E29" s="131"/>
      <c r="F29" s="131"/>
      <c r="P29"/>
    </row>
    <row r="30" spans="1:22" x14ac:dyDescent="0.35">
      <c r="B30" s="41" t="str">
        <f>$A$4</f>
        <v>SC8 Rate I</v>
      </c>
      <c r="C30" s="133" t="s">
        <v>1874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819">
        <f>M15</f>
        <v>106597638</v>
      </c>
      <c r="J32" s="136" t="s">
        <v>79</v>
      </c>
      <c r="P32"/>
      <c r="Q32" s="142"/>
    </row>
    <row r="33" spans="1:17" x14ac:dyDescent="0.35">
      <c r="C33" t="s">
        <v>88</v>
      </c>
      <c r="I33" s="819">
        <f>M17</f>
        <v>1317803</v>
      </c>
      <c r="J33" s="136" t="s">
        <v>78</v>
      </c>
      <c r="P33"/>
      <c r="Q33" s="142"/>
    </row>
    <row r="34" spans="1:17" x14ac:dyDescent="0.35">
      <c r="C34" s="818" t="s">
        <v>1789</v>
      </c>
      <c r="D34" s="75"/>
      <c r="E34" s="75"/>
      <c r="F34" s="75"/>
      <c r="I34" s="812">
        <f>ROUND(I33/I32,6)</f>
        <v>1.2362E-2</v>
      </c>
      <c r="J34" s="136" t="s">
        <v>1083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SC8 Rate I</v>
      </c>
      <c r="C37" t="s">
        <v>114</v>
      </c>
      <c r="G37" s="515">
        <f>$T$9</f>
        <v>6919</v>
      </c>
      <c r="H37" s="516">
        <f>G10</f>
        <v>375.88</v>
      </c>
      <c r="I37" s="134">
        <f>ROUND(G37*H37,0)</f>
        <v>2600714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13828</v>
      </c>
      <c r="H38" s="516">
        <f>G12</f>
        <v>290.57</v>
      </c>
      <c r="I38" s="134">
        <f>ROUND(G38*H38,0)</f>
        <v>4018002</v>
      </c>
      <c r="J38" s="136" t="s">
        <v>1086</v>
      </c>
      <c r="L38" s="822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296.11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210.79</v>
      </c>
      <c r="I40" s="134">
        <f>ROUND(G40*H40,0)</f>
        <v>0</v>
      </c>
      <c r="J40" s="136" t="s">
        <v>1088</v>
      </c>
      <c r="L40" s="633" t="s">
        <v>135</v>
      </c>
    </row>
    <row r="41" spans="1:17" x14ac:dyDescent="0.35">
      <c r="C41" t="s">
        <v>110</v>
      </c>
      <c r="I41" s="820">
        <f>SUM(I37:I40)</f>
        <v>6618716</v>
      </c>
      <c r="J41" s="136" t="s">
        <v>1084</v>
      </c>
      <c r="L41" s="541">
        <f>ROUND(I41*$L$38,0)</f>
        <v>6692051</v>
      </c>
      <c r="M41" s="136" t="s">
        <v>1265</v>
      </c>
    </row>
    <row r="42" spans="1:17" ht="15" thickBot="1" x14ac:dyDescent="0.4">
      <c r="C42" t="s">
        <v>1113</v>
      </c>
      <c r="I42" s="812">
        <f>I34</f>
        <v>1.2362E-2</v>
      </c>
      <c r="J42" s="136" t="s">
        <v>1089</v>
      </c>
      <c r="L42" s="1"/>
    </row>
    <row r="43" spans="1:17" ht="15.5" thickTop="1" thickBot="1" x14ac:dyDescent="0.4">
      <c r="C43" t="s">
        <v>304</v>
      </c>
      <c r="I43" s="813">
        <f>ROUND(I41*(1+I42),0)</f>
        <v>6700537</v>
      </c>
      <c r="J43" s="136" t="s">
        <v>1110</v>
      </c>
      <c r="L43" s="541">
        <f>ROUND(I43*$L$38,0)</f>
        <v>6774779</v>
      </c>
      <c r="M43" s="136" t="s">
        <v>1266</v>
      </c>
    </row>
    <row r="44" spans="1:17" ht="15.5" thickTop="1" thickBot="1" x14ac:dyDescent="0.4">
      <c r="C44" t="s">
        <v>1109</v>
      </c>
      <c r="I44" s="766"/>
      <c r="J44" s="596" t="s">
        <v>1111</v>
      </c>
      <c r="L44" s="1"/>
    </row>
    <row r="45" spans="1:17" ht="15.5" thickTop="1" thickBot="1" x14ac:dyDescent="0.4">
      <c r="C45" t="s">
        <v>305</v>
      </c>
      <c r="I45" s="813">
        <f>ROUND(I43*(1+I44),0)</f>
        <v>6700537</v>
      </c>
      <c r="J45" s="136" t="s">
        <v>1112</v>
      </c>
      <c r="L45" s="634">
        <f>ROUND(I45*$L$38,0)</f>
        <v>6774779</v>
      </c>
      <c r="M45" s="136" t="s">
        <v>1267</v>
      </c>
    </row>
    <row r="46" spans="1:17" ht="15" thickTop="1" x14ac:dyDescent="0.35"/>
    <row r="48" spans="1:17" x14ac:dyDescent="0.35">
      <c r="A48" s="407" t="s">
        <v>1875</v>
      </c>
    </row>
    <row r="50" spans="1:15" customFormat="1" x14ac:dyDescent="0.35">
      <c r="B50" s="41" t="str">
        <f>$A$4</f>
        <v>SC8 Rate I</v>
      </c>
      <c r="C50" s="133" t="s">
        <v>1876</v>
      </c>
      <c r="D50" s="133"/>
      <c r="E50" s="133"/>
      <c r="F50" s="133"/>
    </row>
    <row r="51" spans="1:15" customFormat="1" x14ac:dyDescent="0.35">
      <c r="C51" s="1" t="s">
        <v>119</v>
      </c>
      <c r="D51" s="1"/>
      <c r="E51" s="1"/>
      <c r="F51" s="1"/>
      <c r="G51" s="1"/>
      <c r="H51" s="1"/>
      <c r="I51" s="1"/>
      <c r="J51" s="1"/>
      <c r="K51" s="1"/>
      <c r="L51" s="541">
        <f>L15</f>
        <v>107799571</v>
      </c>
      <c r="M51" s="61" t="s">
        <v>1268</v>
      </c>
    </row>
    <row r="52" spans="1:15" customFormat="1" x14ac:dyDescent="0.35">
      <c r="C52" s="1" t="s">
        <v>118</v>
      </c>
      <c r="D52" s="1"/>
      <c r="E52" s="1"/>
      <c r="F52" s="1"/>
      <c r="G52" s="1"/>
      <c r="H52" s="1"/>
      <c r="I52" s="1"/>
      <c r="J52" s="1"/>
      <c r="K52" s="1"/>
      <c r="L52" s="370">
        <f>L17</f>
        <v>1332404</v>
      </c>
      <c r="M52" s="61" t="s">
        <v>1269</v>
      </c>
    </row>
    <row r="53" spans="1:15" customFormat="1" ht="15" thickBot="1" x14ac:dyDescent="0.4">
      <c r="C53" s="1" t="s">
        <v>1271</v>
      </c>
      <c r="D53" s="1"/>
      <c r="E53" s="1"/>
      <c r="F53" s="1"/>
      <c r="G53" s="1"/>
      <c r="H53" s="1"/>
      <c r="I53" s="1"/>
      <c r="J53" s="1"/>
      <c r="K53" s="1"/>
      <c r="L53" s="370">
        <f>L45</f>
        <v>6774779</v>
      </c>
      <c r="M53" s="61" t="s">
        <v>1264</v>
      </c>
    </row>
    <row r="54" spans="1:15" customFormat="1" ht="15.5" thickTop="1" thickBot="1" x14ac:dyDescent="0.4">
      <c r="C54" s="181" t="s">
        <v>1262</v>
      </c>
      <c r="D54" s="181"/>
      <c r="E54" s="181"/>
      <c r="F54" s="181"/>
      <c r="G54" s="1"/>
      <c r="H54" s="1"/>
      <c r="I54" s="1"/>
      <c r="J54" s="1"/>
      <c r="K54" s="1"/>
      <c r="L54" s="635">
        <f>ROUND((L51+L52-L53)/$L$38,0)</f>
        <v>101235507</v>
      </c>
      <c r="M54" s="61" t="s">
        <v>1270</v>
      </c>
    </row>
    <row r="55" spans="1:15" customFormat="1" ht="15" thickTop="1" x14ac:dyDescent="0.35">
      <c r="L55" s="811"/>
      <c r="N55" s="287"/>
    </row>
    <row r="56" spans="1:15" customFormat="1" x14ac:dyDescent="0.35">
      <c r="C56" s="75" t="s">
        <v>1877</v>
      </c>
      <c r="D56" s="75"/>
      <c r="E56" s="75"/>
      <c r="F56" s="75"/>
      <c r="L56" s="812">
        <f>I34</f>
        <v>1.2362E-2</v>
      </c>
      <c r="M56" s="594" t="s">
        <v>1089</v>
      </c>
    </row>
    <row r="57" spans="1:15" x14ac:dyDescent="0.35">
      <c r="L57" s="406"/>
    </row>
    <row r="59" spans="1:15" customFormat="1" x14ac:dyDescent="0.35">
      <c r="A59" s="407" t="s">
        <v>1536</v>
      </c>
    </row>
    <row r="60" spans="1:15" customFormat="1" ht="15" thickBot="1" x14ac:dyDescent="0.4">
      <c r="A60" s="126"/>
    </row>
    <row r="61" spans="1:15" customFormat="1" ht="15.5" thickTop="1" thickBot="1" x14ac:dyDescent="0.4">
      <c r="B61" s="41" t="str">
        <f>$A$4</f>
        <v>SC8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</row>
    <row r="62" spans="1:15" customFormat="1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</row>
    <row r="63" spans="1:15" customFormat="1" x14ac:dyDescent="0.35">
      <c r="B63" s="3" t="s">
        <v>43</v>
      </c>
      <c r="C63" s="3"/>
      <c r="D63" s="567">
        <f>Q6</f>
        <v>0</v>
      </c>
      <c r="E63" s="123" t="str">
        <f>R6</f>
        <v>-</v>
      </c>
      <c r="F63" s="567">
        <f>S6</f>
        <v>10</v>
      </c>
      <c r="G63" s="123"/>
      <c r="H63" s="35">
        <f>G10</f>
        <v>375.88</v>
      </c>
      <c r="I63" s="136" t="s">
        <v>165</v>
      </c>
      <c r="J63" s="35">
        <f>G12</f>
        <v>290.57</v>
      </c>
      <c r="K63" s="136" t="s">
        <v>100</v>
      </c>
      <c r="L63" s="3"/>
      <c r="M63" s="17"/>
      <c r="N63" s="3"/>
    </row>
    <row r="64" spans="1:15" customFormat="1" x14ac:dyDescent="0.35">
      <c r="B64" s="3"/>
      <c r="C64" s="3"/>
      <c r="G64" s="36"/>
      <c r="H64" s="35"/>
      <c r="I64" s="136"/>
      <c r="J64" s="35"/>
      <c r="K64" s="136"/>
      <c r="L64" s="3"/>
      <c r="M64" s="3"/>
      <c r="N64" s="3"/>
      <c r="O64" s="3"/>
    </row>
    <row r="65" spans="2:15" customFormat="1" x14ac:dyDescent="0.35">
      <c r="B65" s="3"/>
      <c r="C65" s="3"/>
      <c r="D65" s="3"/>
      <c r="E65" s="123" t="str">
        <f>R7</f>
        <v>&gt;</v>
      </c>
      <c r="F65" s="567">
        <f>S7</f>
        <v>10</v>
      </c>
      <c r="G65" s="36"/>
      <c r="H65" s="120">
        <f>G11</f>
        <v>33.9</v>
      </c>
      <c r="I65" s="136" t="s">
        <v>166</v>
      </c>
      <c r="J65" s="124">
        <f>G13</f>
        <v>26.19</v>
      </c>
      <c r="K65" s="136" t="s">
        <v>229</v>
      </c>
      <c r="L65" s="27">
        <f>H65-J$65</f>
        <v>7.7099999999999973</v>
      </c>
      <c r="M65" s="61" t="s">
        <v>1092</v>
      </c>
      <c r="N65" s="112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10</v>
      </c>
      <c r="G67" s="123"/>
      <c r="H67" s="35">
        <f>G16</f>
        <v>296.11</v>
      </c>
      <c r="I67" s="136" t="s">
        <v>138</v>
      </c>
      <c r="J67" s="35">
        <f>G18</f>
        <v>210.79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D68" s="121"/>
      <c r="E68" s="122"/>
      <c r="F68" s="121"/>
      <c r="G68" s="36"/>
      <c r="H68" s="35"/>
      <c r="I68" s="136"/>
      <c r="J68" s="35"/>
      <c r="K68" s="136"/>
      <c r="L68" s="3"/>
      <c r="M68" s="17"/>
      <c r="N68" s="3"/>
      <c r="O68" s="3"/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10</v>
      </c>
      <c r="G69" s="36"/>
      <c r="H69" s="120">
        <f>G17</f>
        <v>26.700000000000003</v>
      </c>
      <c r="I69" s="136" t="s">
        <v>101</v>
      </c>
      <c r="J69" s="120">
        <f>G19</f>
        <v>18.970000000000002</v>
      </c>
      <c r="K69" s="136" t="s">
        <v>1091</v>
      </c>
      <c r="L69" s="27">
        <f>H69-J$65</f>
        <v>0.51000000000000156</v>
      </c>
      <c r="M69" s="61" t="s">
        <v>1093</v>
      </c>
      <c r="N69" s="27">
        <f>J69-J$65</f>
        <v>-7.2199999999999989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/>
      <c r="G74" s="117"/>
      <c r="H74" s="116"/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75</v>
      </c>
      <c r="G75" s="114" t="str">
        <f>CONCATENATE("X + ",L76)</f>
        <v>X + 7.81</v>
      </c>
      <c r="H75" s="115" t="s">
        <v>32</v>
      </c>
      <c r="L75" s="27"/>
      <c r="M75" s="17"/>
      <c r="N75" s="27"/>
    </row>
    <row r="76" spans="2:15" customFormat="1" x14ac:dyDescent="0.35">
      <c r="B76" s="3"/>
      <c r="G76" s="114"/>
      <c r="H76" s="113"/>
      <c r="L76" s="27">
        <f>ROUND(L65*(1+$L$56),2)</f>
        <v>7.81</v>
      </c>
      <c r="M76" s="61" t="s">
        <v>1096</v>
      </c>
      <c r="N76" s="112"/>
      <c r="O76" s="61" t="s">
        <v>1095</v>
      </c>
    </row>
    <row r="77" spans="2:15" customFormat="1" ht="15" thickBot="1" x14ac:dyDescent="0.4">
      <c r="B77" s="3" t="s">
        <v>73</v>
      </c>
      <c r="G77" s="111" t="str">
        <f>CONCATENATE("X + ",L80)</f>
        <v>X + 0.52</v>
      </c>
      <c r="H77" s="110" t="str">
        <f>CONCATENATE("X + ",N80)</f>
        <v>X + -7.31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27"/>
      <c r="M79" s="17"/>
      <c r="N79" s="27"/>
    </row>
    <row r="80" spans="2:15" customFormat="1" x14ac:dyDescent="0.35">
      <c r="L80" s="27">
        <f>ROUND(L69*(1+$L$56),2)</f>
        <v>0.52</v>
      </c>
      <c r="M80" s="61" t="s">
        <v>1097</v>
      </c>
      <c r="N80" s="27">
        <f>ROUND(N69*(1+$L$56),2)</f>
        <v>-7.31</v>
      </c>
      <c r="O80" s="61" t="s">
        <v>1099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334" t="s">
        <v>70</v>
      </c>
    </row>
    <row r="83" spans="2:15" customFormat="1" x14ac:dyDescent="0.35">
      <c r="B83" s="41" t="str">
        <f>$A$4</f>
        <v>SC8 Rate I</v>
      </c>
    </row>
    <row r="84" spans="2:15" customFormat="1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/>
      <c r="C85" s="70"/>
      <c r="D85" s="70"/>
      <c r="E85" s="3"/>
      <c r="F85" s="3"/>
      <c r="G85" s="108"/>
      <c r="I85" s="72"/>
      <c r="J85" s="36"/>
      <c r="K85" s="74"/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&gt;10 kW</v>
      </c>
      <c r="I86" s="72">
        <f>U7</f>
        <v>1446294</v>
      </c>
      <c r="J86" s="36" t="s">
        <v>39</v>
      </c>
      <c r="K86" s="107" t="str">
        <f>CONCATENATE("[",G75,"]")</f>
        <v>[X + 7.81]</v>
      </c>
      <c r="L86" s="61" t="s">
        <v>1114</v>
      </c>
    </row>
    <row r="87" spans="2:15" customFormat="1" x14ac:dyDescent="0.35">
      <c r="B87" s="3" t="s">
        <v>43</v>
      </c>
      <c r="C87" s="3"/>
      <c r="D87" s="3"/>
      <c r="E87" s="3"/>
      <c r="F87" s="3"/>
      <c r="G87" s="3"/>
      <c r="I87" s="72"/>
      <c r="J87" s="36"/>
      <c r="K87" s="73"/>
      <c r="L87" s="61"/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&gt;10 kW</v>
      </c>
      <c r="I88" s="72">
        <f>U12</f>
        <v>1945382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&gt;10 kW</v>
      </c>
      <c r="I90" s="72">
        <f>U17</f>
        <v>0</v>
      </c>
      <c r="J90" s="36" t="s">
        <v>39</v>
      </c>
      <c r="K90" s="73" t="str">
        <f>CONCATENATE("[",G77,"]")</f>
        <v>[X + 0.52]</v>
      </c>
      <c r="L90" s="61" t="s">
        <v>1115</v>
      </c>
    </row>
    <row r="91" spans="2:15" customFormat="1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&gt;10 kW</v>
      </c>
      <c r="I92" s="72">
        <f>U22</f>
        <v>0</v>
      </c>
      <c r="J92" s="36" t="s">
        <v>39</v>
      </c>
      <c r="K92" s="71" t="str">
        <f>CONCATENATE("[",H77,"]")</f>
        <v>[X + -7.31]</v>
      </c>
      <c r="L92" s="61" t="s">
        <v>1116</v>
      </c>
    </row>
    <row r="93" spans="2:15" x14ac:dyDescent="0.35">
      <c r="I93" s="899">
        <f>SUM(I86:I92)</f>
        <v>3391676</v>
      </c>
      <c r="J93" s="61" t="s">
        <v>1568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SC8 Rate I</v>
      </c>
      <c r="F96" s="3"/>
      <c r="G96" s="3"/>
      <c r="H96" s="3"/>
      <c r="I96" s="69" t="s">
        <v>25</v>
      </c>
      <c r="J96" s="3"/>
      <c r="K96" s="566"/>
      <c r="L96" s="3"/>
      <c r="M96" s="3"/>
      <c r="N96" s="17"/>
    </row>
    <row r="97" spans="2:14" customFormat="1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</row>
    <row r="98" spans="2:14" customFormat="1" x14ac:dyDescent="0.35">
      <c r="B98" s="3" t="s">
        <v>37</v>
      </c>
      <c r="C98" s="3"/>
      <c r="F98" s="3"/>
      <c r="G98" s="3"/>
      <c r="H98" s="3"/>
      <c r="I98" s="105">
        <f t="shared" ref="I98:I104" si="0">I86</f>
        <v>1446294</v>
      </c>
      <c r="J98" s="65" t="s">
        <v>63</v>
      </c>
      <c r="K98" s="34">
        <f>ROUND(I98*L76,0)</f>
        <v>11295556</v>
      </c>
      <c r="L98" s="3" t="s">
        <v>62</v>
      </c>
      <c r="M98" s="61" t="s">
        <v>1100</v>
      </c>
      <c r="N98" s="17"/>
    </row>
    <row r="99" spans="2:14" customFormat="1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</row>
    <row r="100" spans="2:14" customFormat="1" x14ac:dyDescent="0.35">
      <c r="B100" s="3" t="s">
        <v>36</v>
      </c>
      <c r="C100" s="3"/>
      <c r="F100" s="3"/>
      <c r="G100" s="3"/>
      <c r="H100" s="3"/>
      <c r="I100" s="105">
        <f t="shared" si="0"/>
        <v>1945382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</row>
    <row r="102" spans="2:14" customFormat="1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</row>
    <row r="103" spans="2:14" customFormat="1" x14ac:dyDescent="0.35">
      <c r="B103" s="3"/>
      <c r="C103" s="3"/>
      <c r="F103" s="3"/>
      <c r="G103" s="3"/>
      <c r="H103" s="3"/>
      <c r="I103" s="105"/>
      <c r="J103" s="104"/>
      <c r="K103" s="34"/>
      <c r="L103" s="44"/>
      <c r="M103" s="17"/>
      <c r="N103" s="17"/>
    </row>
    <row r="104" spans="2:14" customFormat="1" x14ac:dyDescent="0.35">
      <c r="B104" s="3" t="s">
        <v>34</v>
      </c>
      <c r="C104" s="3"/>
      <c r="F104" s="3"/>
      <c r="G104" s="3"/>
      <c r="H104" s="3"/>
      <c r="I104" s="351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33</v>
      </c>
      <c r="C105" s="3"/>
      <c r="F105" s="66"/>
      <c r="G105" s="824">
        <f>L54</f>
        <v>101235507</v>
      </c>
      <c r="H105" s="63" t="s">
        <v>31</v>
      </c>
      <c r="I105" s="28">
        <f>SUM(I97:I104)</f>
        <v>3391676</v>
      </c>
      <c r="J105" s="65" t="s">
        <v>63</v>
      </c>
      <c r="K105" s="103">
        <f>SUM(K97:K104)</f>
        <v>11295556</v>
      </c>
      <c r="L105" s="3" t="s">
        <v>1569</v>
      </c>
      <c r="M105" s="61" t="s">
        <v>1570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1571</v>
      </c>
      <c r="N106" s="17"/>
    </row>
    <row r="107" spans="2:14" customFormat="1" x14ac:dyDescent="0.35">
      <c r="F107" s="34"/>
      <c r="G107" s="34">
        <f>G105-K105</f>
        <v>89939951</v>
      </c>
      <c r="H107" s="63" t="s">
        <v>31</v>
      </c>
      <c r="I107" s="28">
        <f>I105</f>
        <v>3391676</v>
      </c>
      <c r="J107" s="65" t="s">
        <v>32</v>
      </c>
      <c r="K107" s="3"/>
      <c r="L107" s="3"/>
      <c r="M107" s="61" t="s">
        <v>1572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26.52</v>
      </c>
      <c r="J109" s="61" t="s">
        <v>1108</v>
      </c>
      <c r="K109" s="3"/>
      <c r="L109" s="3"/>
      <c r="M109" s="61" t="s">
        <v>1573</v>
      </c>
      <c r="N109" s="17"/>
    </row>
    <row r="110" spans="2:14" customFormat="1" ht="15" thickTop="1" x14ac:dyDescent="0.35"/>
    <row r="111" spans="2:14" customFormat="1" ht="15" thickBot="1" x14ac:dyDescent="0.4">
      <c r="B111" s="334" t="str">
        <f>CONCATENATE($A$4," at Proposed Demand Rates")</f>
        <v>SC8 Rate I at Proposed Demand Rates</v>
      </c>
      <c r="C111" s="406"/>
    </row>
    <row r="112" spans="2:14" customFormat="1" ht="15.5" thickTop="1" thickBot="1" x14ac:dyDescent="0.4">
      <c r="C112" s="3" t="s">
        <v>5</v>
      </c>
      <c r="D112" s="1319">
        <f>$L$4</f>
        <v>2020</v>
      </c>
      <c r="E112" s="1319"/>
      <c r="F112" s="1319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10</v>
      </c>
      <c r="G114" s="3"/>
      <c r="H114" s="35">
        <f>H63</f>
        <v>375.88</v>
      </c>
      <c r="I114" s="61" t="s">
        <v>165</v>
      </c>
      <c r="J114" s="35">
        <f>J63</f>
        <v>290.57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10</v>
      </c>
      <c r="G115" s="3"/>
      <c r="H115" s="35">
        <f>H67</f>
        <v>296.11</v>
      </c>
      <c r="I115" s="61" t="s">
        <v>138</v>
      </c>
      <c r="J115" s="35">
        <f>J67</f>
        <v>210.79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13" t="s">
        <v>58</v>
      </c>
      <c r="I118" s="1314"/>
      <c r="J118" s="1315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10</v>
      </c>
      <c r="G120" s="44"/>
      <c r="H120" s="97">
        <f>ROUND(H114*(1+$I$34),2)</f>
        <v>380.53</v>
      </c>
      <c r="I120" s="54" t="s">
        <v>1118</v>
      </c>
      <c r="J120" s="97">
        <f>ROUND(J114*(1+$I$34),2)</f>
        <v>294.16000000000003</v>
      </c>
      <c r="K120" s="54" t="s">
        <v>1120</v>
      </c>
      <c r="L120" s="94"/>
      <c r="M120" s="81">
        <f>ROUND(H120/H63-1,4)</f>
        <v>1.24E-2</v>
      </c>
      <c r="N120" s="81">
        <f>ROUND(J120/J63-1,4)</f>
        <v>1.24E-2</v>
      </c>
    </row>
    <row r="121" spans="3:14" customFormat="1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10</v>
      </c>
      <c r="G122" s="44"/>
      <c r="H122" s="95">
        <f>$I$109+L76</f>
        <v>34.33</v>
      </c>
      <c r="I122" s="54" t="s">
        <v>1121</v>
      </c>
      <c r="J122" s="95">
        <f>$I$109+N76</f>
        <v>26.52</v>
      </c>
      <c r="K122" s="54" t="s">
        <v>1108</v>
      </c>
      <c r="L122" s="94"/>
      <c r="M122" s="81">
        <f>ROUND(H122/H65-1,4)</f>
        <v>1.2699999999999999E-2</v>
      </c>
      <c r="N122" s="81">
        <f>ROUND(J122/J65-1,4)</f>
        <v>1.26E-2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10</v>
      </c>
      <c r="G124" s="44"/>
      <c r="H124" s="97">
        <f>ROUND(H115*(1+$I$34),2)</f>
        <v>299.77</v>
      </c>
      <c r="I124" s="54" t="s">
        <v>1119</v>
      </c>
      <c r="J124" s="97">
        <f>ROUND(J115*(1+$I$34),2)</f>
        <v>213.4</v>
      </c>
      <c r="K124" s="54" t="s">
        <v>1123</v>
      </c>
      <c r="L124" s="94"/>
      <c r="M124" s="81">
        <f>ROUND(H124/H67-1,4)</f>
        <v>1.24E-2</v>
      </c>
      <c r="N124" s="81">
        <f>ROUND(J124/J67-1,4)</f>
        <v>1.24E-2</v>
      </c>
    </row>
    <row r="125" spans="3:14" customFormat="1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10</v>
      </c>
      <c r="G126" s="44"/>
      <c r="H126" s="95">
        <f>$I$109+L80</f>
        <v>27.04</v>
      </c>
      <c r="I126" s="54" t="s">
        <v>1122</v>
      </c>
      <c r="J126" s="95">
        <f>$I$109+N80</f>
        <v>19.21</v>
      </c>
      <c r="K126" s="54" t="s">
        <v>1124</v>
      </c>
      <c r="L126" s="94"/>
      <c r="M126" s="81">
        <f>ROUND(H126/H69-1,4)</f>
        <v>1.2699999999999999E-2</v>
      </c>
      <c r="N126" s="81">
        <f>ROUND(J126/J69-1,4)</f>
        <v>1.2699999999999999E-2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334" t="s">
        <v>1538</v>
      </c>
      <c r="B130" s="410"/>
      <c r="C130" s="410"/>
      <c r="D130" s="410"/>
      <c r="E130" s="3"/>
      <c r="F130" s="3"/>
      <c r="G130" s="3"/>
      <c r="H130" s="3"/>
      <c r="I130" s="3"/>
    </row>
    <row r="131" spans="1:15" customFormat="1" x14ac:dyDescent="0.35">
      <c r="A131" s="334"/>
      <c r="B131" s="410"/>
      <c r="C131" s="410"/>
      <c r="D131" s="410"/>
      <c r="E131" s="3"/>
      <c r="F131" s="3"/>
      <c r="G131" s="3"/>
      <c r="H131" s="3"/>
      <c r="I131" s="3"/>
    </row>
    <row r="132" spans="1:15" customFormat="1" x14ac:dyDescent="0.35">
      <c r="A132" s="334"/>
      <c r="B132" s="334" t="s">
        <v>55</v>
      </c>
      <c r="C132" s="410"/>
      <c r="D132" s="410"/>
      <c r="E132" s="3"/>
      <c r="F132" s="3"/>
      <c r="G132" s="3"/>
      <c r="H132" s="3"/>
      <c r="I132" s="3"/>
    </row>
    <row r="133" spans="1:15" customFormat="1" x14ac:dyDescent="0.35">
      <c r="A133" s="334"/>
      <c r="B133" s="407" t="str">
        <f>$A$4</f>
        <v>SC8 Rate I</v>
      </c>
      <c r="C133" s="410"/>
      <c r="D133" s="410"/>
      <c r="E133" s="3"/>
      <c r="F133" s="3"/>
      <c r="G133" s="3"/>
      <c r="H133" s="3"/>
      <c r="I133" s="3"/>
    </row>
    <row r="134" spans="1:15" customFormat="1" x14ac:dyDescent="0.35">
      <c r="A134" s="334"/>
      <c r="B134" s="410" t="s">
        <v>54</v>
      </c>
      <c r="C134" s="410"/>
      <c r="D134" s="410"/>
      <c r="E134" s="3"/>
      <c r="F134" s="3"/>
      <c r="G134" s="3"/>
      <c r="H134" s="3"/>
      <c r="I134" s="520">
        <f>M16</f>
        <v>26648087</v>
      </c>
      <c r="J134" s="61" t="s">
        <v>50</v>
      </c>
      <c r="L134" s="3"/>
    </row>
    <row r="135" spans="1:15" customFormat="1" x14ac:dyDescent="0.35">
      <c r="A135" s="334"/>
      <c r="B135" s="410" t="str">
        <f>CONCATENATE("Less: ",$L$5," Energy Revenues to Demand at Current Rates Level")</f>
        <v>Less: Shift of 5% Energy Revenues to Demand at Current Rates Level</v>
      </c>
      <c r="C135" s="410"/>
      <c r="D135" s="410"/>
      <c r="E135" s="3"/>
      <c r="F135" s="3"/>
      <c r="G135" s="3"/>
      <c r="H135" s="3"/>
      <c r="I135" s="520">
        <f>L17</f>
        <v>1332404</v>
      </c>
      <c r="J135" s="61" t="s">
        <v>49</v>
      </c>
      <c r="L135" s="3"/>
    </row>
    <row r="136" spans="1:15" customFormat="1" x14ac:dyDescent="0.35">
      <c r="A136" s="334"/>
      <c r="B136" s="410"/>
      <c r="C136" s="410"/>
      <c r="D136" s="410"/>
      <c r="E136" s="3"/>
      <c r="F136" s="3"/>
      <c r="G136" s="3"/>
      <c r="H136" s="3"/>
      <c r="I136" s="3"/>
      <c r="J136" s="3"/>
      <c r="L136" s="3"/>
    </row>
    <row r="137" spans="1:15" customFormat="1" x14ac:dyDescent="0.35">
      <c r="A137" s="334"/>
      <c r="B137" s="410"/>
      <c r="C137" s="410"/>
      <c r="D137" s="410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334"/>
      <c r="B138" s="838" t="s">
        <v>52</v>
      </c>
      <c r="C138" s="410"/>
      <c r="D138" s="410"/>
      <c r="E138" s="3"/>
      <c r="F138" s="3"/>
      <c r="G138" s="3"/>
      <c r="H138" s="3"/>
      <c r="I138" s="32">
        <f>I134-I135</f>
        <v>25315683</v>
      </c>
      <c r="J138" s="61" t="s">
        <v>1126</v>
      </c>
      <c r="L138" s="3"/>
    </row>
    <row r="139" spans="1:15" customFormat="1" x14ac:dyDescent="0.35">
      <c r="A139" s="334"/>
      <c r="B139" s="410"/>
      <c r="C139" s="410"/>
      <c r="D139" s="410"/>
      <c r="E139" s="3"/>
      <c r="F139" s="3"/>
      <c r="G139" s="3"/>
      <c r="H139" s="3"/>
    </row>
    <row r="140" spans="1:15" customFormat="1" x14ac:dyDescent="0.35">
      <c r="A140" s="334"/>
      <c r="B140" s="410"/>
      <c r="C140" s="410"/>
      <c r="D140" s="410"/>
      <c r="E140" s="3"/>
      <c r="F140" s="3"/>
      <c r="G140" s="3"/>
      <c r="H140" s="3"/>
      <c r="I140" s="3"/>
    </row>
    <row r="141" spans="1:15" customFormat="1" ht="15" thickBot="1" x14ac:dyDescent="0.4">
      <c r="A141" s="406"/>
      <c r="B141" s="406"/>
      <c r="C141" s="406"/>
      <c r="D141" s="406"/>
      <c r="H141" s="3"/>
      <c r="I141" s="3"/>
    </row>
    <row r="142" spans="1:15" customFormat="1" ht="15.5" thickTop="1" thickBot="1" x14ac:dyDescent="0.4">
      <c r="A142" s="406"/>
      <c r="B142" s="407" t="str">
        <f>$A$4</f>
        <v>SC8 Rate I</v>
      </c>
      <c r="C142" s="406"/>
      <c r="D142" s="406"/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A143" s="406"/>
      <c r="B143" s="410"/>
      <c r="C143" s="406"/>
      <c r="D143" s="406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A144" s="406"/>
      <c r="B144" s="406"/>
      <c r="C144" s="410" t="s">
        <v>9</v>
      </c>
      <c r="D144" s="406"/>
      <c r="H144" s="521">
        <f>G8</f>
        <v>1.7600000000000001E-2</v>
      </c>
      <c r="I144" s="61" t="s">
        <v>47</v>
      </c>
      <c r="J144" s="521">
        <f>G9</f>
        <v>1.7600000000000001E-2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</row>
    <row r="145" spans="1:15" customFormat="1" x14ac:dyDescent="0.35">
      <c r="A145" s="406"/>
      <c r="B145" s="406"/>
      <c r="C145" s="410"/>
      <c r="D145" s="406"/>
      <c r="H145" s="3"/>
      <c r="I145" s="61"/>
      <c r="J145" s="3"/>
      <c r="K145" s="61"/>
      <c r="L145" s="82"/>
      <c r="M145" s="61"/>
      <c r="N145" s="82"/>
    </row>
    <row r="146" spans="1:15" customFormat="1" x14ac:dyDescent="0.35">
      <c r="A146" s="406"/>
      <c r="B146" s="406"/>
      <c r="C146" s="410" t="s">
        <v>8</v>
      </c>
      <c r="D146" s="406"/>
      <c r="H146" s="521">
        <f>G14</f>
        <v>1.7600000000000001E-2</v>
      </c>
      <c r="I146" s="61" t="s">
        <v>53</v>
      </c>
      <c r="J146" s="521">
        <f>G15</f>
        <v>1.7600000000000001E-2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</row>
    <row r="147" spans="1:15" customFormat="1" x14ac:dyDescent="0.35">
      <c r="A147" s="406"/>
      <c r="B147" s="406"/>
      <c r="C147" s="410"/>
      <c r="D147" s="406"/>
      <c r="H147" s="3"/>
      <c r="I147" s="3"/>
      <c r="J147" s="3"/>
      <c r="K147" s="3"/>
      <c r="L147" s="3"/>
      <c r="M147" s="3"/>
      <c r="N147" s="3"/>
    </row>
    <row r="148" spans="1:15" customFormat="1" x14ac:dyDescent="0.35">
      <c r="A148" s="406"/>
      <c r="B148" s="406"/>
      <c r="C148" s="410" t="s">
        <v>9</v>
      </c>
      <c r="D148" s="406"/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</row>
    <row r="149" spans="1:15" customFormat="1" x14ac:dyDescent="0.35">
      <c r="A149" s="406"/>
      <c r="B149" s="406"/>
      <c r="C149" s="410"/>
      <c r="D149" s="406"/>
      <c r="H149" s="3"/>
      <c r="I149" s="3"/>
      <c r="J149" s="3"/>
      <c r="K149" s="3"/>
      <c r="L149" s="3"/>
      <c r="M149" s="3"/>
      <c r="N149" s="3"/>
    </row>
    <row r="150" spans="1:15" customFormat="1" x14ac:dyDescent="0.35">
      <c r="A150" s="406"/>
      <c r="B150" s="406"/>
      <c r="C150" s="410" t="s">
        <v>8</v>
      </c>
      <c r="D150" s="406"/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</row>
    <row r="151" spans="1:15" customFormat="1" x14ac:dyDescent="0.35">
      <c r="A151" s="406"/>
      <c r="B151" s="406"/>
      <c r="C151" s="406"/>
      <c r="D151" s="406"/>
      <c r="H151" s="3"/>
      <c r="I151" s="3"/>
      <c r="J151" s="3"/>
      <c r="K151" s="3"/>
      <c r="L151" s="3"/>
      <c r="M151" s="3"/>
      <c r="N151" s="3"/>
    </row>
    <row r="152" spans="1:15" customFormat="1" x14ac:dyDescent="0.35">
      <c r="A152" s="406"/>
      <c r="B152" s="406"/>
      <c r="C152" s="406"/>
      <c r="D152" s="406"/>
      <c r="H152" s="3"/>
      <c r="I152" s="3"/>
      <c r="J152" s="3"/>
      <c r="K152" s="3"/>
      <c r="L152" s="3"/>
      <c r="M152" s="3"/>
      <c r="N152" s="3"/>
    </row>
    <row r="153" spans="1:15" customFormat="1" x14ac:dyDescent="0.35">
      <c r="A153" s="406"/>
      <c r="B153" s="334" t="s">
        <v>46</v>
      </c>
      <c r="C153" s="410"/>
      <c r="D153" s="410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5" customFormat="1" x14ac:dyDescent="0.35">
      <c r="A154" s="406"/>
      <c r="B154" s="410"/>
      <c r="C154" s="410"/>
      <c r="D154" s="410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5" customFormat="1" ht="15" thickBot="1" x14ac:dyDescent="0.4">
      <c r="A155" s="406"/>
      <c r="B155" s="410"/>
      <c r="C155" s="838"/>
      <c r="D155" s="406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1:15" customFormat="1" x14ac:dyDescent="0.35">
      <c r="A156" s="406"/>
      <c r="B156" s="410"/>
      <c r="C156" s="410"/>
      <c r="D156" s="406"/>
      <c r="E156" s="3" t="s">
        <v>43</v>
      </c>
      <c r="F156" s="3"/>
      <c r="G156" s="3"/>
      <c r="H156" s="3" t="s">
        <v>42</v>
      </c>
      <c r="I156" s="72">
        <f>$V$6</f>
        <v>602294876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1:15" customFormat="1" x14ac:dyDescent="0.35">
      <c r="A157" s="406"/>
      <c r="B157" s="410"/>
      <c r="C157" s="410"/>
      <c r="D157" s="406"/>
      <c r="E157" s="3" t="s">
        <v>43</v>
      </c>
      <c r="F157" s="3"/>
      <c r="G157" s="3"/>
      <c r="H157" s="3" t="s">
        <v>40</v>
      </c>
      <c r="I157" s="72">
        <f>$V$11</f>
        <v>911800979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1:15" customFormat="1" x14ac:dyDescent="0.35">
      <c r="A158" s="406"/>
      <c r="B158" s="410"/>
      <c r="C158" s="410"/>
      <c r="D158" s="406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</row>
    <row r="159" spans="1:15" customFormat="1" ht="15" thickBot="1" x14ac:dyDescent="0.4">
      <c r="A159" s="406"/>
      <c r="B159" s="410"/>
      <c r="C159" s="410"/>
      <c r="D159" s="406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</row>
    <row r="162" spans="1:12" customFormat="1" x14ac:dyDescent="0.35">
      <c r="A162" s="42"/>
      <c r="B162" s="1224" t="s">
        <v>472</v>
      </c>
      <c r="C162" s="2"/>
      <c r="D162" s="2"/>
      <c r="E162" s="2"/>
      <c r="F162" s="2"/>
      <c r="G162" s="2"/>
      <c r="H162" s="2"/>
      <c r="I162" s="1"/>
    </row>
    <row r="163" spans="1:12" customFormat="1" x14ac:dyDescent="0.35">
      <c r="A163" s="42"/>
      <c r="B163" s="1225" t="str">
        <f>$A$4</f>
        <v>SC8 Rate I</v>
      </c>
      <c r="C163" s="2"/>
      <c r="D163" s="2"/>
      <c r="E163" s="2"/>
      <c r="F163" s="2"/>
      <c r="G163" s="2"/>
      <c r="H163" s="1"/>
      <c r="I163" s="1226" t="s">
        <v>44</v>
      </c>
    </row>
    <row r="164" spans="1:12" customFormat="1" x14ac:dyDescent="0.35">
      <c r="A164" s="42"/>
      <c r="B164" s="2" t="s">
        <v>2152</v>
      </c>
      <c r="C164" s="2"/>
      <c r="D164" s="2"/>
      <c r="E164" s="2"/>
      <c r="F164" s="2"/>
      <c r="G164" s="2"/>
      <c r="H164" s="1"/>
      <c r="I164" s="68">
        <f>I156*L144</f>
        <v>602294876</v>
      </c>
      <c r="J164" s="65" t="s">
        <v>32</v>
      </c>
      <c r="K164" s="61" t="s">
        <v>1815</v>
      </c>
    </row>
    <row r="165" spans="1:12" customFormat="1" x14ac:dyDescent="0.35">
      <c r="A165" s="42"/>
      <c r="B165" s="2" t="s">
        <v>2153</v>
      </c>
      <c r="C165" s="2"/>
      <c r="D165" s="2"/>
      <c r="E165" s="2"/>
      <c r="F165" s="2"/>
      <c r="G165" s="2"/>
      <c r="H165" s="1"/>
      <c r="I165" s="68">
        <f>I157</f>
        <v>911800979</v>
      </c>
      <c r="J165" s="65" t="s">
        <v>32</v>
      </c>
      <c r="K165" s="61" t="s">
        <v>1816</v>
      </c>
    </row>
    <row r="166" spans="1:12" customFormat="1" x14ac:dyDescent="0.35">
      <c r="A166" s="42"/>
      <c r="B166" s="2" t="s">
        <v>2154</v>
      </c>
      <c r="C166" s="2"/>
      <c r="D166" s="2"/>
      <c r="E166" s="2"/>
      <c r="F166" s="2"/>
      <c r="G166" s="2"/>
      <c r="H166" s="1"/>
      <c r="I166" s="68">
        <f>I158*L146</f>
        <v>0</v>
      </c>
      <c r="J166" s="65" t="s">
        <v>32</v>
      </c>
      <c r="K166" s="61" t="s">
        <v>1817</v>
      </c>
    </row>
    <row r="167" spans="1:12" customFormat="1" x14ac:dyDescent="0.35">
      <c r="A167" s="42"/>
      <c r="B167" s="2" t="s">
        <v>2155</v>
      </c>
      <c r="C167" s="2"/>
      <c r="D167" s="2"/>
      <c r="E167" s="2"/>
      <c r="F167" s="2"/>
      <c r="G167" s="2"/>
      <c r="H167" s="1"/>
      <c r="I167" s="67">
        <f>I159*N146</f>
        <v>0</v>
      </c>
      <c r="J167" s="65" t="s">
        <v>32</v>
      </c>
      <c r="K167" s="61" t="s">
        <v>1818</v>
      </c>
    </row>
    <row r="168" spans="1:12" customFormat="1" x14ac:dyDescent="0.35">
      <c r="A168" s="42"/>
      <c r="B168" s="2" t="s">
        <v>2156</v>
      </c>
      <c r="C168" s="2"/>
      <c r="D168" s="2"/>
      <c r="E168" s="2"/>
      <c r="F168" s="1"/>
      <c r="G168" s="520">
        <f>I138</f>
        <v>25315683</v>
      </c>
      <c r="H168" s="1227" t="s">
        <v>31</v>
      </c>
      <c r="I168" s="220">
        <f>SUM(I164:I167)</f>
        <v>1514095855</v>
      </c>
      <c r="J168" s="65" t="s">
        <v>32</v>
      </c>
      <c r="K168" s="61" t="s">
        <v>1139</v>
      </c>
    </row>
    <row r="169" spans="1:12" customFormat="1" x14ac:dyDescent="0.35">
      <c r="A169" s="42"/>
      <c r="B169" s="3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3"/>
      <c r="C170" s="3"/>
      <c r="D170" s="3"/>
      <c r="E170" s="3"/>
      <c r="G170" s="34">
        <f>G168</f>
        <v>25315683</v>
      </c>
      <c r="H170" s="63" t="s">
        <v>31</v>
      </c>
      <c r="I170" s="28">
        <f>I168</f>
        <v>1514095855</v>
      </c>
      <c r="J170" s="65" t="s">
        <v>32</v>
      </c>
      <c r="K170" s="61" t="s">
        <v>1138</v>
      </c>
    </row>
    <row r="171" spans="1:12" customFormat="1" ht="15" thickBot="1" x14ac:dyDescent="0.4">
      <c r="A171" s="42"/>
      <c r="B171" s="3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950">
        <f>ROUND(G170/I170,4)</f>
        <v>1.67E-2</v>
      </c>
      <c r="J172" s="61" t="s">
        <v>1141</v>
      </c>
      <c r="K172" s="597" t="s">
        <v>1140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13" t="s">
        <v>29</v>
      </c>
      <c r="J175" s="1314"/>
      <c r="K175" s="1315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/>
      <c r="I178" s="51">
        <f>ROUND($I$172*L144,4)</f>
        <v>1.67E-2</v>
      </c>
      <c r="J178" s="54" t="s">
        <v>1143</v>
      </c>
      <c r="K178" s="55">
        <f>I172</f>
        <v>1.67E-2</v>
      </c>
      <c r="L178" s="598" t="s">
        <v>1141</v>
      </c>
    </row>
    <row r="179" spans="1:17" x14ac:dyDescent="0.35">
      <c r="F179" s="50"/>
      <c r="G179" s="44"/>
      <c r="H179" s="44"/>
      <c r="I179" s="51"/>
      <c r="J179" s="52"/>
      <c r="K179" s="51"/>
      <c r="L179" s="48"/>
    </row>
    <row r="180" spans="1:17" x14ac:dyDescent="0.35">
      <c r="F180" s="50"/>
      <c r="G180" s="44" t="s">
        <v>8</v>
      </c>
      <c r="H180" s="44"/>
      <c r="I180" s="51">
        <f>ROUND($I$172*L146,4)</f>
        <v>1.67E-2</v>
      </c>
      <c r="J180" s="54" t="s">
        <v>1144</v>
      </c>
      <c r="K180" s="51">
        <f>ROUND($I$172*N146,4)</f>
        <v>1.67E-2</v>
      </c>
      <c r="L180" s="598" t="s">
        <v>1145</v>
      </c>
    </row>
    <row r="181" spans="1:17" ht="15" thickBot="1" x14ac:dyDescent="0.4">
      <c r="F181" s="47"/>
      <c r="G181" s="46"/>
      <c r="H181" s="46"/>
      <c r="I181" s="46"/>
      <c r="J181" s="46"/>
      <c r="K181" s="4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334" t="s">
        <v>1539</v>
      </c>
    </row>
    <row r="184" spans="1:17" x14ac:dyDescent="0.35">
      <c r="A184" s="42"/>
    </row>
    <row r="185" spans="1:17" x14ac:dyDescent="0.35">
      <c r="A185" s="42"/>
      <c r="B185" s="41" t="str">
        <f>$A$4</f>
        <v>SC8 Rate I</v>
      </c>
    </row>
    <row r="186" spans="1:17" x14ac:dyDescent="0.35">
      <c r="A186" s="3"/>
      <c r="B186" s="407" t="s">
        <v>5</v>
      </c>
      <c r="D186" s="1304">
        <f>L4</f>
        <v>2020</v>
      </c>
      <c r="E186" s="1304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410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410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835" t="s">
        <v>27</v>
      </c>
      <c r="D189" s="3"/>
      <c r="E189" s="3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410" t="s">
        <v>9</v>
      </c>
      <c r="D190" s="36">
        <f>D63</f>
        <v>0</v>
      </c>
      <c r="E190" s="36" t="str">
        <f>E63</f>
        <v>-</v>
      </c>
      <c r="F190" s="36">
        <f>F63</f>
        <v>10</v>
      </c>
      <c r="G190" s="29">
        <f>T6</f>
        <v>74</v>
      </c>
      <c r="H190" s="3"/>
      <c r="I190" s="29">
        <f>U6</f>
        <v>69190</v>
      </c>
      <c r="J190" s="3"/>
      <c r="K190" s="35">
        <f>H120</f>
        <v>380.53</v>
      </c>
      <c r="L190" s="3"/>
      <c r="M190" s="524">
        <f>ROUND(K190*(I190/F190),0)</f>
        <v>2632887</v>
      </c>
      <c r="N190" s="3"/>
      <c r="O190" s="3"/>
      <c r="P190" s="2"/>
      <c r="Q190" s="2"/>
    </row>
    <row r="191" spans="1:17" x14ac:dyDescent="0.35">
      <c r="B191" s="3"/>
      <c r="C191" s="410"/>
      <c r="D191" s="36"/>
      <c r="E191" s="36" t="str">
        <f>E$65</f>
        <v>&gt;</v>
      </c>
      <c r="F191" s="36">
        <f>F$65</f>
        <v>10</v>
      </c>
      <c r="G191" s="29">
        <f>T7</f>
        <v>6845</v>
      </c>
      <c r="H191" s="3"/>
      <c r="I191" s="29">
        <f>U7</f>
        <v>1446294</v>
      </c>
      <c r="J191" s="3"/>
      <c r="K191" s="35">
        <f>H122</f>
        <v>34.33</v>
      </c>
      <c r="L191" s="3"/>
      <c r="M191" s="26">
        <f>ROUND(K191*I191,0)</f>
        <v>49651273</v>
      </c>
      <c r="N191" s="3"/>
      <c r="O191" s="3"/>
      <c r="P191" s="2"/>
      <c r="Q191" s="2"/>
    </row>
    <row r="192" spans="1:17" x14ac:dyDescent="0.35">
      <c r="B192" s="3"/>
      <c r="C192" s="410"/>
      <c r="D192" s="36"/>
      <c r="E192" s="36"/>
      <c r="F192" s="36"/>
      <c r="G192" s="38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410"/>
      <c r="D193" s="36"/>
      <c r="E193" s="36"/>
      <c r="F193" s="36"/>
      <c r="G193" s="28">
        <f>G190+G191+G192</f>
        <v>6919</v>
      </c>
      <c r="H193" s="3"/>
      <c r="I193" s="28">
        <f>I190+I191+I192</f>
        <v>1515484</v>
      </c>
      <c r="J193" s="3"/>
      <c r="K193" s="35"/>
      <c r="L193" s="3"/>
      <c r="M193" s="34">
        <f>M190+M191+M192</f>
        <v>52284160</v>
      </c>
      <c r="N193" s="34"/>
      <c r="O193" s="36" t="s">
        <v>10</v>
      </c>
      <c r="P193" s="2"/>
      <c r="Q193" s="2"/>
    </row>
    <row r="194" spans="2:17" x14ac:dyDescent="0.35">
      <c r="B194" s="3"/>
      <c r="C194" s="410"/>
      <c r="D194" s="36"/>
      <c r="E194" s="36"/>
      <c r="F194" s="36"/>
      <c r="G194" s="28"/>
      <c r="H194" s="3"/>
      <c r="I194" s="28"/>
      <c r="J194" s="3"/>
      <c r="K194" s="35"/>
      <c r="L194" s="33" t="s">
        <v>22</v>
      </c>
      <c r="M194" s="34">
        <f>ROUND(M193*(O194-1),0)</f>
        <v>623227</v>
      </c>
      <c r="N194" s="33" t="s">
        <v>23</v>
      </c>
      <c r="O194" s="108">
        <f>L10</f>
        <v>1.0119199999999999</v>
      </c>
      <c r="P194" s="2"/>
      <c r="Q194" s="2"/>
    </row>
    <row r="195" spans="2:17" x14ac:dyDescent="0.35">
      <c r="B195" s="3"/>
      <c r="C195" s="410"/>
      <c r="D195" s="36"/>
      <c r="E195" s="36"/>
      <c r="F195" s="36"/>
      <c r="G195" s="28"/>
      <c r="H195" s="3"/>
      <c r="I195" s="28"/>
      <c r="J195" s="3"/>
      <c r="K195" s="35"/>
      <c r="L195" s="33" t="s">
        <v>21</v>
      </c>
      <c r="M195" s="32">
        <f>M193+M194</f>
        <v>52907387</v>
      </c>
      <c r="N195" s="8"/>
      <c r="O195" s="3"/>
      <c r="P195" s="2"/>
      <c r="Q195" s="2"/>
    </row>
    <row r="196" spans="2:17" x14ac:dyDescent="0.35">
      <c r="B196" s="3"/>
      <c r="C196" s="4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410" t="s">
        <v>8</v>
      </c>
      <c r="D197" s="36">
        <f>D190</f>
        <v>0</v>
      </c>
      <c r="E197" s="36" t="str">
        <f>E190</f>
        <v>-</v>
      </c>
      <c r="F197" s="36">
        <f>F190</f>
        <v>10</v>
      </c>
      <c r="G197" s="29">
        <f>T16</f>
        <v>0</v>
      </c>
      <c r="H197" s="3"/>
      <c r="I197" s="29">
        <f>U16</f>
        <v>0</v>
      </c>
      <c r="J197" s="3"/>
      <c r="K197" s="35">
        <f>H124</f>
        <v>299.77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410"/>
      <c r="D198" s="36"/>
      <c r="E198" s="36" t="str">
        <f>E191</f>
        <v>&gt;</v>
      </c>
      <c r="F198" s="36">
        <f>F191</f>
        <v>10</v>
      </c>
      <c r="G198" s="29">
        <f>T17</f>
        <v>0</v>
      </c>
      <c r="H198" s="3"/>
      <c r="I198" s="29">
        <f>U17</f>
        <v>0</v>
      </c>
      <c r="J198" s="3"/>
      <c r="K198" s="35">
        <f>H126</f>
        <v>27.04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410"/>
      <c r="D199" s="36"/>
      <c r="E199" s="36"/>
      <c r="F199" s="36"/>
      <c r="G199" s="38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410"/>
      <c r="D200" s="36"/>
      <c r="E200" s="36"/>
      <c r="F200" s="36"/>
      <c r="G200" s="28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410"/>
      <c r="D201" s="36"/>
      <c r="E201" s="36"/>
      <c r="F201" s="36"/>
      <c r="G201" s="28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410"/>
      <c r="D202" s="36"/>
      <c r="E202" s="36"/>
      <c r="F202" s="36"/>
      <c r="G202" s="28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4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4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410"/>
      <c r="D205" s="3"/>
      <c r="E205" s="3"/>
      <c r="F205" s="3"/>
      <c r="G205" s="3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410"/>
      <c r="D206" s="3"/>
      <c r="E206" s="3"/>
      <c r="F206" s="3"/>
      <c r="G206" s="3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835" t="s">
        <v>24</v>
      </c>
      <c r="D207" s="3"/>
      <c r="E207" s="3"/>
      <c r="F207" s="3"/>
      <c r="G207" s="3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410" t="s">
        <v>9</v>
      </c>
      <c r="D208" s="36">
        <f>D190</f>
        <v>0</v>
      </c>
      <c r="E208" s="36" t="str">
        <f>E190</f>
        <v>-</v>
      </c>
      <c r="F208" s="36">
        <f>F190</f>
        <v>10</v>
      </c>
      <c r="G208" s="29">
        <f>T11</f>
        <v>243.00000000000003</v>
      </c>
      <c r="H208" s="3"/>
      <c r="I208" s="29">
        <f>U11</f>
        <v>138280</v>
      </c>
      <c r="J208" s="3"/>
      <c r="K208" s="35">
        <f>J120</f>
        <v>294.16000000000003</v>
      </c>
      <c r="L208" s="3"/>
      <c r="M208" s="524">
        <f>ROUND(K208*(I208/F208),0)</f>
        <v>4067644</v>
      </c>
      <c r="N208" s="17"/>
      <c r="O208" s="3"/>
      <c r="P208" s="2"/>
      <c r="Q208" s="2"/>
    </row>
    <row r="209" spans="2:17" x14ac:dyDescent="0.35">
      <c r="B209" s="3"/>
      <c r="C209" s="410"/>
      <c r="D209" s="36"/>
      <c r="E209" s="36" t="str">
        <f>E191</f>
        <v>&gt;</v>
      </c>
      <c r="F209" s="36">
        <f>F191</f>
        <v>10</v>
      </c>
      <c r="G209" s="29">
        <f>T12</f>
        <v>13585</v>
      </c>
      <c r="H209" s="3"/>
      <c r="I209" s="29">
        <f>U12</f>
        <v>1945382</v>
      </c>
      <c r="J209" s="3"/>
      <c r="K209" s="35">
        <f>J122</f>
        <v>26.52</v>
      </c>
      <c r="L209" s="3"/>
      <c r="M209" s="26">
        <f>ROUND(K209*I209,0)</f>
        <v>51591531</v>
      </c>
      <c r="N209" s="17"/>
      <c r="O209" s="3"/>
      <c r="P209" s="2"/>
      <c r="Q209" s="2"/>
    </row>
    <row r="210" spans="2:17" x14ac:dyDescent="0.35">
      <c r="B210" s="3"/>
      <c r="C210" s="410"/>
      <c r="D210" s="36"/>
      <c r="E210" s="36"/>
      <c r="F210" s="36"/>
      <c r="G210" s="38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410"/>
      <c r="D211" s="36"/>
      <c r="E211" s="36"/>
      <c r="F211" s="36"/>
      <c r="G211" s="28">
        <f>G208+G209+G210</f>
        <v>13828</v>
      </c>
      <c r="H211" s="3"/>
      <c r="I211" s="28">
        <f>I208+I209+I210</f>
        <v>2083662</v>
      </c>
      <c r="J211" s="3"/>
      <c r="K211" s="35"/>
      <c r="L211" s="3"/>
      <c r="M211" s="34">
        <f>M208+M209+M210</f>
        <v>55659175</v>
      </c>
      <c r="N211" s="3"/>
      <c r="O211" s="36" t="s">
        <v>7</v>
      </c>
      <c r="P211" s="2"/>
      <c r="Q211" s="2"/>
    </row>
    <row r="212" spans="2:17" x14ac:dyDescent="0.35">
      <c r="B212" s="3"/>
      <c r="C212" s="410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34">
        <f>ROUND(M211*(O212-1),0)</f>
        <v>593883</v>
      </c>
      <c r="N212" s="33" t="s">
        <v>23</v>
      </c>
      <c r="O212" s="108">
        <f>L11</f>
        <v>1.01067</v>
      </c>
      <c r="P212" s="2"/>
      <c r="Q212" s="2"/>
    </row>
    <row r="213" spans="2:17" x14ac:dyDescent="0.35">
      <c r="B213" s="3"/>
      <c r="C213" s="410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32">
        <f>M211+M212</f>
        <v>56253058</v>
      </c>
      <c r="N213" s="8"/>
      <c r="O213" s="3"/>
      <c r="P213" s="2"/>
      <c r="Q213" s="2"/>
    </row>
    <row r="214" spans="2:17" x14ac:dyDescent="0.35">
      <c r="B214" s="3"/>
      <c r="C214" s="4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410" t="s">
        <v>8</v>
      </c>
      <c r="D215" s="36">
        <f>D190</f>
        <v>0</v>
      </c>
      <c r="E215" s="36" t="str">
        <f>E190</f>
        <v>-</v>
      </c>
      <c r="F215" s="36">
        <f>F190</f>
        <v>10</v>
      </c>
      <c r="G215" s="29">
        <f>T21</f>
        <v>0</v>
      </c>
      <c r="H215" s="3"/>
      <c r="I215" s="29">
        <f>U21</f>
        <v>0</v>
      </c>
      <c r="J215" s="3"/>
      <c r="K215" s="35">
        <f>J124</f>
        <v>213.4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410"/>
      <c r="D216" s="36"/>
      <c r="E216" s="36" t="str">
        <f>E191</f>
        <v>&gt;</v>
      </c>
      <c r="F216" s="36">
        <f>F191</f>
        <v>10</v>
      </c>
      <c r="G216" s="29">
        <f>T22</f>
        <v>0</v>
      </c>
      <c r="H216" s="3"/>
      <c r="I216" s="29">
        <f>U22</f>
        <v>0</v>
      </c>
      <c r="J216" s="3"/>
      <c r="K216" s="35">
        <f>J126</f>
        <v>19.21</v>
      </c>
      <c r="L216" s="3"/>
      <c r="M216" s="825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410"/>
      <c r="D217" s="36"/>
      <c r="E217" s="36"/>
      <c r="F217" s="36"/>
      <c r="G217" s="38">
        <f>T23</f>
        <v>0</v>
      </c>
      <c r="H217" s="3"/>
      <c r="I217" s="38">
        <f>U23</f>
        <v>0</v>
      </c>
      <c r="J217" s="3"/>
      <c r="K217" s="35"/>
      <c r="L217" s="3"/>
      <c r="M217" s="826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410"/>
      <c r="D218" s="36"/>
      <c r="E218" s="36"/>
      <c r="F218" s="36"/>
      <c r="G218" s="28">
        <f>G215+G216+G217</f>
        <v>0</v>
      </c>
      <c r="H218" s="3"/>
      <c r="I218" s="28">
        <f>I215+I216+I217</f>
        <v>0</v>
      </c>
      <c r="J218" s="3"/>
      <c r="K218" s="35"/>
      <c r="L218" s="3"/>
      <c r="M218" s="823">
        <f>M215+M216+M217</f>
        <v>0</v>
      </c>
      <c r="N218" s="17"/>
      <c r="O218" s="3"/>
      <c r="P218" s="2"/>
      <c r="Q218" s="2"/>
    </row>
    <row r="219" spans="2:17" x14ac:dyDescent="0.35">
      <c r="B219" s="3"/>
      <c r="C219" s="410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823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410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827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410"/>
      <c r="D221" s="3"/>
      <c r="E221" s="3"/>
      <c r="F221" s="3"/>
      <c r="G221" s="3"/>
      <c r="H221" s="3"/>
      <c r="I221" s="3"/>
      <c r="J221" s="3"/>
      <c r="K221" s="3"/>
      <c r="L221" s="3"/>
      <c r="M221" s="410"/>
      <c r="N221" s="3"/>
      <c r="O221" s="3"/>
      <c r="P221" s="2"/>
      <c r="Q221" s="2"/>
    </row>
    <row r="222" spans="2:17" ht="15.5" thickTop="1" thickBot="1" x14ac:dyDescent="0.4">
      <c r="B222" s="3"/>
      <c r="C222" s="837" t="str">
        <f>CONCATENATE($A$4," - Total Annual Demand Charge Incl EDB:")</f>
        <v>SC8 Rate I - Total Annual Demand Charge Incl EDB:</v>
      </c>
      <c r="D222" s="3"/>
      <c r="E222" s="3"/>
      <c r="F222" s="3"/>
      <c r="G222" s="3"/>
      <c r="H222" s="3"/>
      <c r="I222" s="3"/>
      <c r="J222" s="3"/>
      <c r="K222" s="3"/>
      <c r="L222" s="3"/>
      <c r="M222" s="821">
        <f>M195+M202+M213+M220</f>
        <v>109160445</v>
      </c>
      <c r="N222" s="17"/>
      <c r="O222" s="3"/>
      <c r="P222" s="2"/>
      <c r="Q222" s="2"/>
    </row>
    <row r="223" spans="2:17" ht="15" thickTop="1" x14ac:dyDescent="0.35">
      <c r="B223" s="3"/>
      <c r="C223" s="410"/>
      <c r="D223" s="3"/>
      <c r="E223" s="3"/>
      <c r="F223" s="3"/>
      <c r="G223" s="3"/>
      <c r="H223" s="3"/>
      <c r="I223" s="3"/>
      <c r="J223" s="3"/>
      <c r="K223" s="3"/>
      <c r="L223" s="3"/>
      <c r="M223" s="410"/>
      <c r="N223" s="17"/>
      <c r="O223" s="3"/>
      <c r="P223" s="2"/>
      <c r="Q223" s="2"/>
    </row>
    <row r="224" spans="2:17" x14ac:dyDescent="0.35">
      <c r="B224" s="3"/>
      <c r="C224" s="410"/>
      <c r="D224" s="3"/>
      <c r="E224" s="3"/>
      <c r="F224" s="3"/>
      <c r="G224" s="3"/>
      <c r="H224" s="3"/>
      <c r="I224" s="3"/>
      <c r="J224" s="3"/>
      <c r="K224" s="30" t="s">
        <v>15</v>
      </c>
      <c r="L224" s="3"/>
      <c r="M224" s="536" t="s">
        <v>14</v>
      </c>
      <c r="N224" s="17"/>
      <c r="O224" s="3"/>
      <c r="P224" s="2"/>
      <c r="Q224" s="2"/>
    </row>
    <row r="225" spans="2:17" x14ac:dyDescent="0.35">
      <c r="B225" s="3"/>
      <c r="C225" s="835" t="s">
        <v>13</v>
      </c>
      <c r="D225" s="3"/>
      <c r="E225" s="3"/>
      <c r="F225" s="3"/>
      <c r="G225" s="3"/>
      <c r="H225" s="3"/>
      <c r="I225" s="30" t="s">
        <v>12</v>
      </c>
      <c r="J225" s="3"/>
      <c r="K225" s="30" t="s">
        <v>11</v>
      </c>
      <c r="L225" s="3"/>
      <c r="M225" s="536" t="s">
        <v>6</v>
      </c>
      <c r="N225" s="17"/>
      <c r="O225" s="3"/>
      <c r="P225" s="2"/>
      <c r="Q225" s="2"/>
    </row>
    <row r="226" spans="2:17" x14ac:dyDescent="0.35">
      <c r="B226" s="3"/>
      <c r="C226" s="410" t="s">
        <v>9</v>
      </c>
      <c r="D226" s="3" t="s">
        <v>10</v>
      </c>
      <c r="E226" s="3"/>
      <c r="F226" s="3"/>
      <c r="G226" s="3"/>
      <c r="H226" s="3"/>
      <c r="I226" s="29">
        <f>V6</f>
        <v>602294876</v>
      </c>
      <c r="J226" s="3"/>
      <c r="K226" s="27">
        <f>I178</f>
        <v>1.67E-2</v>
      </c>
      <c r="L226" s="3"/>
      <c r="M226" s="825">
        <f>ROUND(I226*K226,0)</f>
        <v>10058324</v>
      </c>
      <c r="N226" s="17"/>
      <c r="O226" s="3"/>
      <c r="P226" s="2"/>
      <c r="Q226" s="2"/>
    </row>
    <row r="227" spans="2:17" x14ac:dyDescent="0.35">
      <c r="B227" s="3"/>
      <c r="C227" s="410"/>
      <c r="D227" s="3"/>
      <c r="E227" s="3"/>
      <c r="F227" s="3"/>
      <c r="G227" s="3"/>
      <c r="H227" s="3"/>
      <c r="I227" s="3"/>
      <c r="J227" s="3"/>
      <c r="K227" s="3"/>
      <c r="L227" s="3"/>
      <c r="M227" s="410"/>
      <c r="N227" s="3"/>
      <c r="O227" s="3"/>
      <c r="P227" s="2"/>
      <c r="Q227" s="2"/>
    </row>
    <row r="228" spans="2:17" x14ac:dyDescent="0.35">
      <c r="B228" s="3"/>
      <c r="C228" s="410" t="s">
        <v>8</v>
      </c>
      <c r="D228" s="3" t="s">
        <v>10</v>
      </c>
      <c r="E228" s="3"/>
      <c r="F228" s="3"/>
      <c r="G228" s="3"/>
      <c r="H228" s="3"/>
      <c r="I228" s="28">
        <f>V16</f>
        <v>0</v>
      </c>
      <c r="J228" s="3"/>
      <c r="K228" s="27">
        <f>I180</f>
        <v>1.67E-2</v>
      </c>
      <c r="L228" s="3"/>
      <c r="M228" s="825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410"/>
      <c r="D229" s="3"/>
      <c r="E229" s="3"/>
      <c r="F229" s="3"/>
      <c r="G229" s="3"/>
      <c r="H229" s="3"/>
      <c r="I229" s="3"/>
      <c r="J229" s="3"/>
      <c r="K229" s="3"/>
      <c r="L229" s="3"/>
      <c r="M229" s="410"/>
      <c r="N229" s="3"/>
      <c r="O229" s="3"/>
      <c r="P229" s="2"/>
      <c r="Q229" s="2"/>
    </row>
    <row r="230" spans="2:17" x14ac:dyDescent="0.35">
      <c r="B230" s="3"/>
      <c r="C230" s="410" t="s">
        <v>9</v>
      </c>
      <c r="D230" s="3" t="s">
        <v>7</v>
      </c>
      <c r="E230" s="3"/>
      <c r="F230" s="3"/>
      <c r="G230" s="3"/>
      <c r="H230" s="3"/>
      <c r="I230" s="28">
        <f>V11</f>
        <v>911800979</v>
      </c>
      <c r="J230" s="3"/>
      <c r="K230" s="27">
        <f>K178</f>
        <v>1.67E-2</v>
      </c>
      <c r="L230" s="3"/>
      <c r="M230" s="825">
        <f>ROUND(I230*K230,0)</f>
        <v>15227076</v>
      </c>
      <c r="N230" s="17"/>
      <c r="O230" s="3"/>
      <c r="P230" s="2"/>
      <c r="Q230" s="2"/>
    </row>
    <row r="231" spans="2:17" x14ac:dyDescent="0.35">
      <c r="B231" s="3"/>
      <c r="C231" s="4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</row>
    <row r="232" spans="2:17" x14ac:dyDescent="0.35">
      <c r="B232" s="3"/>
      <c r="C232" s="410" t="s">
        <v>8</v>
      </c>
      <c r="D232" s="3" t="s">
        <v>7</v>
      </c>
      <c r="E232" s="3"/>
      <c r="F232" s="3"/>
      <c r="G232" s="3"/>
      <c r="H232" s="3"/>
      <c r="I232" s="28">
        <f>V21</f>
        <v>0</v>
      </c>
      <c r="J232" s="3"/>
      <c r="K232" s="27">
        <f>K180</f>
        <v>1.67E-2</v>
      </c>
      <c r="L232" s="3"/>
      <c r="M232" s="26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4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3"/>
      <c r="P233" s="2"/>
      <c r="Q233" s="2"/>
    </row>
    <row r="234" spans="2:17" ht="15.5" thickTop="1" thickBot="1" x14ac:dyDescent="0.4">
      <c r="B234" s="3"/>
      <c r="C234" s="837" t="str">
        <f>CONCATENATE($A$4," - Total Annual Energy Charge:")</f>
        <v>SC8 Rate I - Total Annual Energy Charge:</v>
      </c>
      <c r="D234" s="3"/>
      <c r="E234" s="3"/>
      <c r="F234" s="3"/>
      <c r="G234" s="3"/>
      <c r="H234" s="3"/>
      <c r="I234" s="3"/>
      <c r="J234" s="3"/>
      <c r="K234" s="3"/>
      <c r="L234" s="3"/>
      <c r="M234" s="821">
        <f>M226+M228+M230+M232</f>
        <v>25285400</v>
      </c>
      <c r="N234" s="17"/>
      <c r="O234" s="3"/>
      <c r="P234" s="2"/>
      <c r="Q234" s="2"/>
    </row>
    <row r="235" spans="2:17" ht="15.5" thickTop="1" thickBot="1" x14ac:dyDescent="0.4">
      <c r="B235" s="3"/>
      <c r="C235" s="410"/>
      <c r="D235" s="3"/>
      <c r="E235" s="3"/>
      <c r="F235" s="3"/>
      <c r="G235" s="3"/>
      <c r="H235" s="3"/>
      <c r="I235" s="3"/>
      <c r="J235" s="3"/>
      <c r="K235" s="3"/>
      <c r="L235" s="3"/>
      <c r="M235" s="410"/>
      <c r="N235" s="17"/>
      <c r="O235" s="3"/>
      <c r="P235" s="2"/>
      <c r="Q235" s="2"/>
    </row>
    <row r="236" spans="2:17" ht="15.5" thickTop="1" thickBot="1" x14ac:dyDescent="0.4">
      <c r="B236" s="3"/>
      <c r="C236" s="837" t="str">
        <f>CONCATENATE($A$4," - Total Charge Price-Out at Proposed Rates:")</f>
        <v>SC8 Rate I - Total Charge Price-Out at Proposed Rates:</v>
      </c>
      <c r="D236" s="3"/>
      <c r="E236" s="3"/>
      <c r="F236" s="3"/>
      <c r="G236" s="3"/>
      <c r="H236" s="3"/>
      <c r="I236" s="3"/>
      <c r="J236" s="3"/>
      <c r="K236" s="3"/>
      <c r="L236" s="3"/>
      <c r="M236" s="821">
        <f>M222+M234</f>
        <v>134445845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815" t="str">
        <f>$A$4</f>
        <v>SC8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05">
        <f>L4</f>
        <v>2020</v>
      </c>
      <c r="E239" s="1305"/>
      <c r="F239" s="1305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699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134445845</v>
      </c>
      <c r="N240" s="557"/>
      <c r="O240" s="2"/>
      <c r="P240" s="2"/>
      <c r="Q240" s="2"/>
    </row>
    <row r="241" spans="1:17" x14ac:dyDescent="0.35">
      <c r="B241" s="3"/>
      <c r="C241" s="20"/>
      <c r="D241" s="19"/>
      <c r="E241" s="19"/>
      <c r="F241" s="19"/>
      <c r="G241" s="10"/>
      <c r="H241" s="10"/>
      <c r="I241" s="10"/>
      <c r="J241" s="10"/>
      <c r="K241" s="10"/>
      <c r="L241" s="10"/>
      <c r="M241" s="470"/>
      <c r="N241" s="557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471"/>
      <c r="N242" s="557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134445845</v>
      </c>
      <c r="N243" s="557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7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828">
        <f>L19</f>
        <v>134447658</v>
      </c>
      <c r="N245" s="557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-1813</v>
      </c>
      <c r="N246" s="557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-1.3484801646757028E-5</v>
      </c>
      <c r="N247" s="559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25" header="0.3" footer="0.05"/>
  <pageSetup scale="45" orientation="landscape" r:id="rId1"/>
  <headerFooter>
    <oddFooter>&amp;C&amp;F (Tab: &amp;A)&amp;RPage &amp;P / &amp;N</oddFooter>
  </headerFooter>
  <rowBreaks count="3" manualBreakCount="3">
    <brk id="81" max="16383" man="1"/>
    <brk id="161" max="16383" man="1"/>
    <brk id="23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V253"/>
  <sheetViews>
    <sheetView topLeftCell="A88" workbookViewId="0">
      <selection activeCell="J12" sqref="J12"/>
    </sheetView>
  </sheetViews>
  <sheetFormatPr defaultRowHeight="14.5" outlineLevelRow="2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7.26953125" customWidth="1"/>
    <col min="10" max="10" width="15.7265625" customWidth="1"/>
    <col min="11" max="11" width="14.1796875" customWidth="1"/>
    <col min="12" max="12" width="19" customWidth="1"/>
    <col min="13" max="13" width="16.1796875" customWidth="1"/>
    <col min="14" max="14" width="17.1796875" customWidth="1"/>
    <col min="15" max="15" width="16.453125" customWidth="1"/>
    <col min="16" max="16" width="15" style="1" customWidth="1"/>
    <col min="17" max="17" width="8" style="1" customWidth="1"/>
    <col min="18" max="18" width="8" customWidth="1"/>
    <col min="20" max="21" width="12.1796875" customWidth="1"/>
    <col min="22" max="22" width="15.81640625" customWidth="1"/>
    <col min="25" max="26" width="11.7265625" customWidth="1"/>
    <col min="27" max="27" width="16.81640625" customWidth="1"/>
  </cols>
  <sheetData>
    <row r="1" spans="1:22" ht="18.5" x14ac:dyDescent="0.45">
      <c r="A1" s="189" t="s">
        <v>829</v>
      </c>
    </row>
    <row r="3" spans="1:22" outlineLevel="2" x14ac:dyDescent="0.35">
      <c r="A3" s="70" t="s">
        <v>158</v>
      </c>
      <c r="B3" s="70"/>
      <c r="C3" s="3"/>
      <c r="D3" s="180"/>
      <c r="E3" s="180"/>
      <c r="F3" s="180"/>
      <c r="G3" s="180"/>
      <c r="H3" s="180"/>
      <c r="K3" s="33" t="s">
        <v>150</v>
      </c>
      <c r="L3" s="806">
        <f>'8B.)ED Shift_RedesignRateSum'!$D$3</f>
        <v>2019</v>
      </c>
      <c r="M3" s="3"/>
      <c r="P3" s="192" t="str">
        <f>$A$4</f>
        <v>SC9 Rate I</v>
      </c>
      <c r="Q3" s="2"/>
      <c r="R3" s="3"/>
      <c r="S3" s="3"/>
      <c r="T3" s="3"/>
      <c r="U3" s="3"/>
      <c r="V3" s="3"/>
    </row>
    <row r="4" spans="1:22" outlineLevel="2" x14ac:dyDescent="0.35">
      <c r="A4" s="182" t="s">
        <v>149</v>
      </c>
      <c r="B4" s="182"/>
      <c r="C4" s="3"/>
      <c r="D4" s="3"/>
      <c r="E4" s="3"/>
      <c r="F4" s="3"/>
      <c r="G4" s="3"/>
      <c r="H4" s="3"/>
      <c r="K4" s="33" t="s">
        <v>5</v>
      </c>
      <c r="L4" s="806">
        <f>'8B.)ED Shift_RedesignRateSum'!$D$4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2" x14ac:dyDescent="0.35">
      <c r="A5" s="180"/>
      <c r="B5" s="180"/>
      <c r="C5" s="180"/>
      <c r="D5" s="3"/>
      <c r="E5" s="3"/>
      <c r="F5" s="3"/>
      <c r="G5" s="3"/>
      <c r="H5" s="3"/>
      <c r="K5" s="33" t="s">
        <v>145</v>
      </c>
      <c r="L5" s="806" t="str">
        <f>CONCATENATE("Shift of ",$L$8*100,"%")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2" x14ac:dyDescent="0.35">
      <c r="A6" s="180"/>
      <c r="B6" s="180"/>
      <c r="C6" s="180"/>
      <c r="D6" s="180"/>
      <c r="E6" s="180"/>
      <c r="F6" s="180"/>
      <c r="G6" s="807">
        <f>'8B.)ED Shift_RedesignRateSum'!E63</f>
        <v>2019</v>
      </c>
      <c r="H6" s="291" t="s">
        <v>309</v>
      </c>
      <c r="K6" s="33" t="s">
        <v>1428</v>
      </c>
      <c r="L6" s="806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I)'!$E$121</f>
        <v>5</v>
      </c>
      <c r="T6" s="386">
        <f>'[2]4C.)HY_DemandRatePxOut(Rate I)'!$L$126</f>
        <v>24283.037279249718</v>
      </c>
      <c r="U6" s="386">
        <f>'[2]4C.)HY_DemandRatePxOut(Rate I)'!$N$126</f>
        <v>2575135</v>
      </c>
      <c r="V6" s="386">
        <f>'[2]4B.)HY_EnergyRatePxOut(Rate I)'!$M$212</f>
        <v>5967559052</v>
      </c>
    </row>
    <row r="7" spans="1:22" ht="15" outlineLevel="2" thickBot="1" x14ac:dyDescent="0.4">
      <c r="A7" s="3"/>
      <c r="B7" s="3"/>
      <c r="C7" s="3"/>
      <c r="D7" s="3"/>
      <c r="E7" s="3"/>
      <c r="F7" s="3"/>
      <c r="G7" s="265" t="s">
        <v>170</v>
      </c>
      <c r="H7" s="265" t="s">
        <v>142</v>
      </c>
      <c r="K7" s="33"/>
      <c r="L7" s="118" t="str">
        <f>A4</f>
        <v>SC9 Rate I</v>
      </c>
      <c r="M7" s="3"/>
      <c r="P7" s="170" t="s">
        <v>114</v>
      </c>
      <c r="Q7" s="159">
        <v>5</v>
      </c>
      <c r="R7" s="158" t="s">
        <v>143</v>
      </c>
      <c r="S7" s="159">
        <f>'[2]4C.)HY_DemandRatePxOut(Rate I)'!$E$122</f>
        <v>100</v>
      </c>
      <c r="T7" s="387">
        <f>'[2]4C.)HY_DemandRatePxOut(Rate I)'!$L$127</f>
        <v>463127.78306230035</v>
      </c>
      <c r="U7" s="387">
        <f>'[2]4C.)HY_DemandRatePxOut(Rate I)'!$N$127</f>
        <v>10355085</v>
      </c>
      <c r="V7" s="186"/>
    </row>
    <row r="8" spans="1:22" ht="15.5" outlineLevel="2" thickTop="1" thickBot="1" x14ac:dyDescent="0.4">
      <c r="A8" s="3" t="s">
        <v>343</v>
      </c>
      <c r="B8" s="3"/>
      <c r="C8" s="3"/>
      <c r="D8" s="3"/>
      <c r="E8" s="3"/>
      <c r="F8" s="3"/>
      <c r="G8" s="309">
        <f>'8B.)ED Shift_RedesignRateSum'!E65</f>
        <v>2.2100000000000002E-2</v>
      </c>
      <c r="H8" s="512">
        <f>I178</f>
        <v>2.1000000000000001E-2</v>
      </c>
      <c r="K8" s="33" t="s">
        <v>1437</v>
      </c>
      <c r="L8" s="688">
        <f>'8B.)ED Shift_RedesignRateSum'!$D$5</f>
        <v>0.05</v>
      </c>
      <c r="M8" s="3"/>
      <c r="P8" s="168" t="s">
        <v>114</v>
      </c>
      <c r="Q8" s="155"/>
      <c r="R8" s="176" t="s">
        <v>141</v>
      </c>
      <c r="S8" s="154">
        <v>100</v>
      </c>
      <c r="T8" s="388">
        <f>'[2]4C.)HY_DemandRatePxOut(Rate I)'!$L$128</f>
        <v>27616.179658449917</v>
      </c>
      <c r="U8" s="388">
        <f>'[2]4C.)HY_DemandRatePxOut(Rate I)'!$N$128</f>
        <v>4265301</v>
      </c>
      <c r="V8" s="187"/>
    </row>
    <row r="9" spans="1:22" ht="15.5" outlineLevel="2" thickTop="1" thickBot="1" x14ac:dyDescent="0.4">
      <c r="A9" s="3" t="s">
        <v>344</v>
      </c>
      <c r="B9" s="3"/>
      <c r="C9" s="3"/>
      <c r="D9" s="3"/>
      <c r="E9" s="3"/>
      <c r="F9" s="3"/>
      <c r="G9" s="310">
        <f>'8B.)ED Shift_RedesignRateSum'!E66</f>
        <v>2.2100000000000002E-2</v>
      </c>
      <c r="H9" s="513">
        <f>K178</f>
        <v>2.1000000000000001E-2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515026.99999999994</v>
      </c>
      <c r="U9" s="151">
        <f>SUM(U6:U8)</f>
        <v>17195521</v>
      </c>
      <c r="V9" s="151">
        <f>SUM(V6:V8)</f>
        <v>5967559052</v>
      </c>
    </row>
    <row r="10" spans="1:22" ht="15" outlineLevel="2" thickTop="1" x14ac:dyDescent="0.35">
      <c r="A10" s="3" t="s">
        <v>345</v>
      </c>
      <c r="B10" s="3"/>
      <c r="C10" s="3"/>
      <c r="D10" s="3"/>
      <c r="E10" s="3"/>
      <c r="F10" s="3"/>
      <c r="G10" s="310">
        <f>'8B.)ED Shift_RedesignRateSum'!E67</f>
        <v>173.95</v>
      </c>
      <c r="H10" s="513">
        <f>H120</f>
        <v>176.77</v>
      </c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2" x14ac:dyDescent="0.35">
      <c r="A11" s="3" t="s">
        <v>346</v>
      </c>
      <c r="B11" s="3"/>
      <c r="C11" s="3"/>
      <c r="D11" s="3"/>
      <c r="E11" s="3"/>
      <c r="F11" s="3"/>
      <c r="G11" s="310">
        <f>'8B.)ED Shift_RedesignRateSum'!E68</f>
        <v>25.410000000000004</v>
      </c>
      <c r="H11" s="513">
        <f>H122</f>
        <v>25.83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386">
        <f>'[2]4C.)HY_DemandRatePxOut(Rate I)'!$L$121</f>
        <v>68583.997485784668</v>
      </c>
      <c r="U11" s="386">
        <f>'[2]4C.)HY_DemandRatePxOut(Rate I)'!$N$121</f>
        <v>5147035</v>
      </c>
      <c r="V11" s="386">
        <f>'[2]4B.)HY_EnergyRatePxOut(Rate I)'!$M$207</f>
        <v>10316378373</v>
      </c>
    </row>
    <row r="12" spans="1:22" outlineLevel="2" x14ac:dyDescent="0.35">
      <c r="A12" s="3" t="s">
        <v>347</v>
      </c>
      <c r="B12" s="3"/>
      <c r="C12" s="3"/>
      <c r="D12" s="3"/>
      <c r="E12" s="3"/>
      <c r="F12" s="3"/>
      <c r="G12" s="310">
        <f>'8B.)ED Shift_RedesignRateSum'!E69</f>
        <v>138.94999999999999</v>
      </c>
      <c r="H12" s="513">
        <f>J120</f>
        <v>141.21</v>
      </c>
      <c r="K12" s="367"/>
      <c r="P12" s="160" t="s">
        <v>113</v>
      </c>
      <c r="Q12" s="159">
        <f>$Q$7</f>
        <v>5</v>
      </c>
      <c r="R12" s="158" t="str">
        <f>$R$7</f>
        <v>-</v>
      </c>
      <c r="S12" s="157">
        <f>$S$7</f>
        <v>100</v>
      </c>
      <c r="T12" s="387">
        <f>'[2]4C.)HY_DemandRatePxOut(Rate I)'!$L$122</f>
        <v>914598.30826242268</v>
      </c>
      <c r="U12" s="387">
        <f>'[2]4C.)HY_DemandRatePxOut(Rate I)'!$N$122</f>
        <v>18151598</v>
      </c>
      <c r="V12" s="816"/>
    </row>
    <row r="13" spans="1:22" ht="15" outlineLevel="2" thickBot="1" x14ac:dyDescent="0.4">
      <c r="A13" s="3" t="s">
        <v>348</v>
      </c>
      <c r="B13" s="3"/>
      <c r="C13" s="3"/>
      <c r="D13" s="3"/>
      <c r="E13" s="3"/>
      <c r="F13" s="3"/>
      <c r="G13" s="310">
        <f>'8B.)ED Shift_RedesignRateSum'!E70</f>
        <v>20.070000000000004</v>
      </c>
      <c r="H13" s="513">
        <f>J122</f>
        <v>20.399999999999999</v>
      </c>
      <c r="I13" s="3"/>
      <c r="K13" s="367"/>
      <c r="L13" s="135" t="s">
        <v>135</v>
      </c>
      <c r="M13" s="135" t="s">
        <v>134</v>
      </c>
      <c r="P13" s="155" t="s">
        <v>113</v>
      </c>
      <c r="Q13" s="154">
        <f>$Q$8</f>
        <v>0</v>
      </c>
      <c r="R13" s="154" t="str">
        <f>$R$8</f>
        <v>&gt;</v>
      </c>
      <c r="S13" s="154">
        <f>$S$8</f>
        <v>100</v>
      </c>
      <c r="T13" s="388">
        <f>'[2]4C.)HY_DemandRatePxOut(Rate I)'!$L$123</f>
        <v>46224.694251792644</v>
      </c>
      <c r="U13" s="388">
        <f>'[2]4C.)HY_DemandRatePxOut(Rate I)'!$N$123</f>
        <v>6426438</v>
      </c>
      <c r="V13" s="155"/>
    </row>
    <row r="14" spans="1:22" ht="15.5" outlineLevel="2" thickTop="1" thickBot="1" x14ac:dyDescent="0.4">
      <c r="A14" s="3" t="s">
        <v>349</v>
      </c>
      <c r="B14" s="3"/>
      <c r="C14" s="3"/>
      <c r="D14" s="3"/>
      <c r="E14" s="3"/>
      <c r="F14" s="3"/>
      <c r="G14" s="310">
        <f>'8B.)ED Shift_RedesignRateSum'!E71</f>
        <v>2.06E-2</v>
      </c>
      <c r="H14" s="513">
        <f>I180</f>
        <v>1.95E-2</v>
      </c>
      <c r="K14" s="367"/>
      <c r="P14" s="2"/>
      <c r="Q14" s="2"/>
      <c r="R14" s="3"/>
      <c r="S14" s="3"/>
      <c r="T14" s="717">
        <f>SUM(T11:T13)</f>
        <v>1029407</v>
      </c>
      <c r="U14" s="717">
        <f>SUM(U11:U13)</f>
        <v>29725071</v>
      </c>
      <c r="V14" s="717">
        <f>SUM(V11:V13)</f>
        <v>10316378373</v>
      </c>
    </row>
    <row r="15" spans="1:22" ht="15" outlineLevel="2" thickTop="1" x14ac:dyDescent="0.35">
      <c r="A15" s="3" t="s">
        <v>350</v>
      </c>
      <c r="B15" s="3"/>
      <c r="C15" s="3"/>
      <c r="D15" s="3"/>
      <c r="E15" s="3"/>
      <c r="F15" s="3"/>
      <c r="G15" s="310">
        <f>'8B.)ED Shift_RedesignRateSum'!E72</f>
        <v>2.06E-2</v>
      </c>
      <c r="H15" s="513">
        <f>K180</f>
        <v>1.95E-2</v>
      </c>
      <c r="K15" s="33" t="s">
        <v>131</v>
      </c>
      <c r="L15" s="245">
        <f>'8A.)HY_ED RevShifting'!$E$27</f>
        <v>1112014517</v>
      </c>
      <c r="M15" s="245">
        <f>'8A.)HY_ED RevShifting'!$D$27</f>
        <v>1099703098</v>
      </c>
      <c r="N15" s="134"/>
      <c r="T15" s="1"/>
      <c r="U15" s="1"/>
      <c r="V15" s="1"/>
    </row>
    <row r="16" spans="1:22" outlineLevel="2" x14ac:dyDescent="0.35">
      <c r="A16" s="3" t="s">
        <v>351</v>
      </c>
      <c r="B16" s="3"/>
      <c r="C16" s="3"/>
      <c r="D16" s="3"/>
      <c r="E16" s="3"/>
      <c r="F16" s="3"/>
      <c r="G16" s="310">
        <f>'8B.)ED Shift_RedesignRateSum'!E73</f>
        <v>134.47999999999999</v>
      </c>
      <c r="H16" s="513">
        <f>H124</f>
        <v>136.66</v>
      </c>
      <c r="K16" s="33" t="s">
        <v>129</v>
      </c>
      <c r="L16" s="245">
        <f>'8A.)HY_ED RevShifting'!$E$31</f>
        <v>361013380</v>
      </c>
      <c r="M16" s="245">
        <f>'8A.)HY_ED RevShifting'!$D$31</f>
        <v>361013380</v>
      </c>
      <c r="N16" s="134"/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386">
        <f>'[2]4C.)HY_DemandRatePxOut(Rate I)'!$L$146</f>
        <v>0</v>
      </c>
      <c r="U16" s="386">
        <f>'[2]4C.)HY_DemandRatePxOut(Rate I)'!$N$146</f>
        <v>900</v>
      </c>
      <c r="V16" s="386">
        <f>'[2]4B.)HY_EnergyRatePxOut(Rate I)'!$M$252</f>
        <v>18575845</v>
      </c>
    </row>
    <row r="17" spans="1:22" outlineLevel="2" x14ac:dyDescent="0.35">
      <c r="A17" s="3" t="s">
        <v>352</v>
      </c>
      <c r="B17" s="3"/>
      <c r="C17" s="3"/>
      <c r="D17" s="3"/>
      <c r="E17" s="3"/>
      <c r="F17" s="3"/>
      <c r="G17" s="310">
        <f>'8B.)ED Shift_RedesignRateSum'!E74</f>
        <v>19.270000000000003</v>
      </c>
      <c r="H17" s="513">
        <f>H126</f>
        <v>19.59</v>
      </c>
      <c r="K17" s="33" t="s">
        <v>130</v>
      </c>
      <c r="L17" s="245">
        <f>HLOOKUP($L$8,'8A.)HY_ED RevShifting'!$B$6:$M$43,'8A.)HY_ED RevShifting'!$B$28,0)</f>
        <v>18050669</v>
      </c>
      <c r="M17" s="134">
        <f>ROUND(L17/$L$9,0)</f>
        <v>17852859</v>
      </c>
      <c r="N17" s="134"/>
      <c r="P17" s="170" t="s">
        <v>112</v>
      </c>
      <c r="Q17" s="159">
        <f>$Q$7</f>
        <v>5</v>
      </c>
      <c r="R17" s="158" t="str">
        <f>$R$7</f>
        <v>-</v>
      </c>
      <c r="S17" s="157">
        <f>$S$7</f>
        <v>100</v>
      </c>
      <c r="T17" s="387">
        <f>'[2]4C.)HY_DemandRatePxOut(Rate I)'!$L$147</f>
        <v>60.319148936170215</v>
      </c>
      <c r="U17" s="387">
        <f>'[2]4C.)HY_DemandRatePxOut(Rate I)'!$N$147</f>
        <v>12963</v>
      </c>
      <c r="V17" s="816"/>
    </row>
    <row r="18" spans="1:22" ht="15" outlineLevel="2" thickBot="1" x14ac:dyDescent="0.4">
      <c r="A18" s="3" t="s">
        <v>353</v>
      </c>
      <c r="B18" s="3"/>
      <c r="C18" s="3"/>
      <c r="D18" s="3"/>
      <c r="E18" s="3"/>
      <c r="F18" s="3"/>
      <c r="G18" s="310">
        <f>'8B.)ED Shift_RedesignRateSum'!E75</f>
        <v>99.53</v>
      </c>
      <c r="H18" s="513">
        <f>J124</f>
        <v>101.15</v>
      </c>
      <c r="K18" s="367"/>
      <c r="P18" s="168" t="s">
        <v>112</v>
      </c>
      <c r="Q18" s="154">
        <f>$Q$8</f>
        <v>0</v>
      </c>
      <c r="R18" s="154" t="str">
        <f>$R$8</f>
        <v>&gt;</v>
      </c>
      <c r="S18" s="154">
        <f>$S$8</f>
        <v>100</v>
      </c>
      <c r="T18" s="388">
        <f>'[2]4C.)HY_DemandRatePxOut(Rate I)'!$L$148</f>
        <v>119.68085106382979</v>
      </c>
      <c r="U18" s="388">
        <f>'[2]4C.)HY_DemandRatePxOut(Rate I)'!$N$148</f>
        <v>36476</v>
      </c>
      <c r="V18" s="817"/>
    </row>
    <row r="19" spans="1:22" ht="15.5" outlineLevel="2" thickTop="1" thickBot="1" x14ac:dyDescent="0.4">
      <c r="A19" s="3" t="s">
        <v>354</v>
      </c>
      <c r="B19" s="3"/>
      <c r="C19" s="3"/>
      <c r="D19" s="3"/>
      <c r="E19" s="3"/>
      <c r="F19" s="3"/>
      <c r="G19" s="311">
        <f>'8B.)ED Shift_RedesignRateSum'!E76</f>
        <v>13.910000000000004</v>
      </c>
      <c r="H19" s="514">
        <f>J126</f>
        <v>14.139999999999999</v>
      </c>
      <c r="K19" s="33" t="str">
        <f>CONCATENATE(A4," - Demand &amp; Energy Rev:")</f>
        <v>SC9 Rate I - Demand &amp; Energy Rev:</v>
      </c>
      <c r="L19" s="308">
        <f>L15+L16</f>
        <v>1473027897</v>
      </c>
      <c r="M19" s="143"/>
      <c r="T19" s="717">
        <f>SUM(T16:T18)</f>
        <v>180</v>
      </c>
      <c r="U19" s="717">
        <f>SUM(U16:U18)</f>
        <v>50339</v>
      </c>
      <c r="V19" s="717">
        <f>SUM(V16:V18)</f>
        <v>18575845</v>
      </c>
    </row>
    <row r="20" spans="1:22" ht="15" outlineLevel="2" thickTop="1" x14ac:dyDescent="0.35">
      <c r="T20" s="1"/>
      <c r="U20" s="1"/>
      <c r="V20" s="1"/>
    </row>
    <row r="21" spans="1:22" outlineLevel="2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386">
        <f>'[2]4C.)HY_DemandRatePxOut(Rate I)'!$L$141</f>
        <v>1.9111111111111112</v>
      </c>
      <c r="U21" s="386">
        <f>'[2]4C.)HY_DemandRatePxOut(Rate I)'!$N$141</f>
        <v>1720</v>
      </c>
      <c r="V21" s="386">
        <f>'[2]4B.)HY_EnergyRatePxOut(Rate I)'!$M$247</f>
        <v>36684491</v>
      </c>
    </row>
    <row r="22" spans="1:22" outlineLevel="2" x14ac:dyDescent="0.35">
      <c r="P22" s="160" t="s">
        <v>111</v>
      </c>
      <c r="Q22" s="159">
        <f>$Q$7</f>
        <v>5</v>
      </c>
      <c r="R22" s="158" t="str">
        <f>$R$7</f>
        <v>-</v>
      </c>
      <c r="S22" s="157">
        <f>$S$7</f>
        <v>100</v>
      </c>
      <c r="T22" s="387">
        <f>'[2]4C.)HY_DemandRatePxOut(Rate I)'!$L$142</f>
        <v>114.66666666666666</v>
      </c>
      <c r="U22" s="387">
        <f>'[2]4C.)HY_DemandRatePxOut(Rate I)'!$N$142</f>
        <v>24758</v>
      </c>
      <c r="V22" s="816"/>
    </row>
    <row r="23" spans="1:22" ht="15" outlineLevel="2" thickBot="1" x14ac:dyDescent="0.4">
      <c r="P23" s="155" t="s">
        <v>111</v>
      </c>
      <c r="Q23" s="154">
        <f>$Q$8</f>
        <v>0</v>
      </c>
      <c r="R23" s="154" t="str">
        <f>$R$8</f>
        <v>&gt;</v>
      </c>
      <c r="S23" s="154">
        <f>$S$8</f>
        <v>100</v>
      </c>
      <c r="T23" s="388">
        <f>'[2]4C.)HY_DemandRatePxOut(Rate I)'!$L$143</f>
        <v>227.42222222222222</v>
      </c>
      <c r="U23" s="388">
        <f>'[2]4C.)HY_DemandRatePxOut(Rate I)'!$N$143</f>
        <v>67386</v>
      </c>
      <c r="V23" s="155"/>
    </row>
    <row r="24" spans="1:22" ht="15.5" outlineLevel="2" thickTop="1" thickBot="1" x14ac:dyDescent="0.4">
      <c r="T24" s="151">
        <f>SUM(T21:T23)</f>
        <v>344</v>
      </c>
      <c r="U24" s="151">
        <f>SUM(U21:U23)</f>
        <v>93864</v>
      </c>
      <c r="V24" s="151">
        <f>SUM(V21:V23)</f>
        <v>36684491</v>
      </c>
    </row>
    <row r="25" spans="1:22" ht="15" outlineLevel="2" thickTop="1" x14ac:dyDescent="0.35">
      <c r="T25" s="150"/>
      <c r="U25" s="150"/>
      <c r="V25" s="150"/>
    </row>
    <row r="26" spans="1:22" outlineLevel="2" x14ac:dyDescent="0.35"/>
    <row r="27" spans="1:22" s="148" customFormat="1" outlineLevel="2" x14ac:dyDescent="0.35"/>
    <row r="28" spans="1:22" x14ac:dyDescent="0.35">
      <c r="A28" s="407" t="s">
        <v>1537</v>
      </c>
      <c r="B28" s="147"/>
      <c r="C28" s="131"/>
      <c r="D28" s="131"/>
      <c r="E28" s="131"/>
      <c r="F28" s="131"/>
    </row>
    <row r="29" spans="1:22" x14ac:dyDescent="0.35">
      <c r="A29" s="131"/>
      <c r="B29" s="131"/>
      <c r="C29" s="131"/>
      <c r="D29" s="131"/>
      <c r="E29" s="131"/>
      <c r="F29" s="131"/>
      <c r="P29"/>
    </row>
    <row r="30" spans="1:22" x14ac:dyDescent="0.35">
      <c r="B30" s="41" t="str">
        <f>$A$4</f>
        <v>SC9 Rate I</v>
      </c>
      <c r="C30" s="133" t="s">
        <v>1874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819">
        <f>M15</f>
        <v>1099703098</v>
      </c>
      <c r="J32" s="136" t="s">
        <v>79</v>
      </c>
      <c r="P32"/>
      <c r="Q32" s="142"/>
    </row>
    <row r="33" spans="1:17" x14ac:dyDescent="0.35">
      <c r="C33" t="s">
        <v>88</v>
      </c>
      <c r="I33" s="819">
        <f>M17</f>
        <v>17852859</v>
      </c>
      <c r="J33" s="136" t="s">
        <v>78</v>
      </c>
      <c r="P33"/>
      <c r="Q33" s="142"/>
    </row>
    <row r="34" spans="1:17" x14ac:dyDescent="0.35">
      <c r="C34" s="818" t="s">
        <v>1789</v>
      </c>
      <c r="D34" s="75"/>
      <c r="E34" s="75"/>
      <c r="F34" s="75"/>
      <c r="I34" s="812">
        <f>ROUND(I33/I32,6)</f>
        <v>1.6233999999999998E-2</v>
      </c>
      <c r="J34" s="136" t="s">
        <v>1083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SC9 Rate I</v>
      </c>
      <c r="C37" t="s">
        <v>114</v>
      </c>
      <c r="G37" s="515">
        <f>$T$9</f>
        <v>515026.99999999994</v>
      </c>
      <c r="H37" s="516">
        <f>G10</f>
        <v>173.95</v>
      </c>
      <c r="I37" s="134">
        <f>ROUND(G37*H37,0)</f>
        <v>89588947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1029407</v>
      </c>
      <c r="H38" s="516">
        <f>G12</f>
        <v>138.94999999999999</v>
      </c>
      <c r="I38" s="134">
        <f>ROUND(G38*H38,0)</f>
        <v>143036103</v>
      </c>
      <c r="J38" s="136" t="s">
        <v>1086</v>
      </c>
      <c r="L38" s="822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180</v>
      </c>
      <c r="H39" s="516">
        <f>G16</f>
        <v>134.47999999999999</v>
      </c>
      <c r="I39" s="134">
        <f>ROUND(G39*H39,0)</f>
        <v>24206</v>
      </c>
      <c r="J39" s="136" t="s">
        <v>1087</v>
      </c>
    </row>
    <row r="40" spans="1:17" x14ac:dyDescent="0.35">
      <c r="C40" t="s">
        <v>111</v>
      </c>
      <c r="G40" s="515">
        <f>$T$24</f>
        <v>344</v>
      </c>
      <c r="H40" s="516">
        <f>G18</f>
        <v>99.53</v>
      </c>
      <c r="I40" s="134">
        <f>ROUND(G40*H40,0)</f>
        <v>34238</v>
      </c>
      <c r="J40" s="136" t="s">
        <v>1088</v>
      </c>
      <c r="L40" s="633" t="s">
        <v>135</v>
      </c>
    </row>
    <row r="41" spans="1:17" x14ac:dyDescent="0.35">
      <c r="C41" t="s">
        <v>110</v>
      </c>
      <c r="I41" s="820">
        <f>SUM(I37:I40)</f>
        <v>232683494</v>
      </c>
      <c r="J41" s="136" t="s">
        <v>1084</v>
      </c>
      <c r="L41" s="541">
        <f>ROUND(I41*$L$38,0)</f>
        <v>235261627</v>
      </c>
      <c r="M41" s="136" t="s">
        <v>1265</v>
      </c>
    </row>
    <row r="42" spans="1:17" ht="15" thickBot="1" x14ac:dyDescent="0.4">
      <c r="C42" t="s">
        <v>1113</v>
      </c>
      <c r="I42" s="812">
        <f>I34</f>
        <v>1.6233999999999998E-2</v>
      </c>
      <c r="J42" s="136" t="s">
        <v>1089</v>
      </c>
      <c r="L42" s="1"/>
    </row>
    <row r="43" spans="1:17" ht="15.5" thickTop="1" thickBot="1" x14ac:dyDescent="0.4">
      <c r="C43" t="s">
        <v>304</v>
      </c>
      <c r="I43" s="813">
        <f>ROUND(I41*(1+I42),0)</f>
        <v>236460878</v>
      </c>
      <c r="J43" s="136" t="s">
        <v>1747</v>
      </c>
      <c r="L43" s="541">
        <f>ROUND(I43*$L$38,0)</f>
        <v>239080865</v>
      </c>
      <c r="M43" s="136" t="s">
        <v>1266</v>
      </c>
    </row>
    <row r="44" spans="1:17" ht="15.5" thickTop="1" thickBot="1" x14ac:dyDescent="0.4">
      <c r="C44" t="s">
        <v>1109</v>
      </c>
      <c r="I44" s="766"/>
      <c r="J44" s="596" t="s">
        <v>1111</v>
      </c>
      <c r="L44" s="1"/>
    </row>
    <row r="45" spans="1:17" ht="15.5" thickTop="1" thickBot="1" x14ac:dyDescent="0.4">
      <c r="C45" t="s">
        <v>305</v>
      </c>
      <c r="I45" s="813">
        <f>ROUND(I43*(1+I44),0)</f>
        <v>236460878</v>
      </c>
      <c r="J45" s="136" t="s">
        <v>1112</v>
      </c>
      <c r="L45" s="634">
        <f>ROUND(I45*$L$38,0)</f>
        <v>239080865</v>
      </c>
      <c r="M45" s="136" t="s">
        <v>1267</v>
      </c>
    </row>
    <row r="46" spans="1:17" ht="15" thickTop="1" x14ac:dyDescent="0.35"/>
    <row r="48" spans="1:17" x14ac:dyDescent="0.35">
      <c r="A48" s="407" t="s">
        <v>1875</v>
      </c>
    </row>
    <row r="50" spans="1:17" x14ac:dyDescent="0.35">
      <c r="B50" s="41" t="str">
        <f>$A$4</f>
        <v>SC9 Rate I</v>
      </c>
      <c r="C50" s="133" t="s">
        <v>1876</v>
      </c>
      <c r="D50" s="133"/>
      <c r="E50" s="133"/>
      <c r="F50" s="133"/>
      <c r="L50" s="135"/>
      <c r="P50"/>
      <c r="Q50"/>
    </row>
    <row r="51" spans="1:17" x14ac:dyDescent="0.35">
      <c r="C51" s="1" t="s">
        <v>119</v>
      </c>
      <c r="D51" s="1"/>
      <c r="E51" s="1"/>
      <c r="F51" s="1"/>
      <c r="G51" s="1"/>
      <c r="H51" s="1"/>
      <c r="I51" s="1"/>
      <c r="J51" s="1"/>
      <c r="K51" s="1"/>
      <c r="L51" s="541">
        <f>L15</f>
        <v>1112014517</v>
      </c>
      <c r="M51" s="61" t="s">
        <v>1268</v>
      </c>
      <c r="P51"/>
      <c r="Q51"/>
    </row>
    <row r="52" spans="1:17" x14ac:dyDescent="0.35">
      <c r="C52" s="1" t="s">
        <v>118</v>
      </c>
      <c r="D52" s="1"/>
      <c r="E52" s="1"/>
      <c r="F52" s="1"/>
      <c r="G52" s="1"/>
      <c r="H52" s="1"/>
      <c r="I52" s="1"/>
      <c r="J52" s="1"/>
      <c r="K52" s="1"/>
      <c r="L52" s="370">
        <f>L17</f>
        <v>18050669</v>
      </c>
      <c r="M52" s="61" t="s">
        <v>1269</v>
      </c>
      <c r="P52"/>
      <c r="Q52"/>
    </row>
    <row r="53" spans="1:17" ht="15" thickBot="1" x14ac:dyDescent="0.4">
      <c r="C53" s="1" t="s">
        <v>1261</v>
      </c>
      <c r="D53" s="1"/>
      <c r="E53" s="1"/>
      <c r="F53" s="1"/>
      <c r="G53" s="1"/>
      <c r="H53" s="1"/>
      <c r="I53" s="1"/>
      <c r="J53" s="1"/>
      <c r="K53" s="1"/>
      <c r="L53" s="370">
        <f>L45</f>
        <v>239080865</v>
      </c>
      <c r="M53" s="61" t="s">
        <v>1264</v>
      </c>
      <c r="P53"/>
      <c r="Q53"/>
    </row>
    <row r="54" spans="1:17" ht="15.5" thickTop="1" thickBot="1" x14ac:dyDescent="0.4">
      <c r="C54" s="181" t="s">
        <v>1262</v>
      </c>
      <c r="D54" s="181"/>
      <c r="E54" s="181"/>
      <c r="F54" s="181"/>
      <c r="G54" s="1"/>
      <c r="H54" s="1"/>
      <c r="I54" s="1"/>
      <c r="J54" s="1"/>
      <c r="K54" s="1"/>
      <c r="L54" s="635">
        <f>ROUND((L51+L52-L53)/$L$38,0)</f>
        <v>881220399</v>
      </c>
      <c r="M54" s="61" t="s">
        <v>1270</v>
      </c>
      <c r="P54"/>
      <c r="Q54"/>
    </row>
    <row r="55" spans="1:17" ht="15" thickTop="1" x14ac:dyDescent="0.35">
      <c r="L55" s="811"/>
      <c r="P55"/>
      <c r="Q55"/>
    </row>
    <row r="56" spans="1:17" x14ac:dyDescent="0.35">
      <c r="C56" s="75" t="s">
        <v>1877</v>
      </c>
      <c r="D56" s="75"/>
      <c r="E56" s="75"/>
      <c r="F56" s="75"/>
      <c r="L56" s="812">
        <f>I34</f>
        <v>1.6233999999999998E-2</v>
      </c>
      <c r="M56" s="594" t="s">
        <v>1089</v>
      </c>
      <c r="P56"/>
      <c r="Q56"/>
    </row>
    <row r="57" spans="1:17" x14ac:dyDescent="0.35">
      <c r="L57" s="406"/>
    </row>
    <row r="59" spans="1:17" x14ac:dyDescent="0.35">
      <c r="A59" s="407" t="s">
        <v>1536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SC9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567">
        <f t="shared" ref="D63:F64" si="0">Q6</f>
        <v>0</v>
      </c>
      <c r="E63" s="123" t="str">
        <f t="shared" si="0"/>
        <v>-</v>
      </c>
      <c r="F63" s="567">
        <f t="shared" si="0"/>
        <v>5</v>
      </c>
      <c r="G63" s="123"/>
      <c r="H63" s="35">
        <f>G10</f>
        <v>173.95</v>
      </c>
      <c r="I63" s="136" t="s">
        <v>165</v>
      </c>
      <c r="J63" s="35">
        <f>G12</f>
        <v>138.94999999999999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D64" s="567">
        <f t="shared" si="0"/>
        <v>5</v>
      </c>
      <c r="E64" s="123" t="str">
        <f t="shared" si="0"/>
        <v>-</v>
      </c>
      <c r="F64" s="567">
        <f t="shared" si="0"/>
        <v>100</v>
      </c>
      <c r="G64" s="36"/>
      <c r="H64" s="120">
        <f>G$11</f>
        <v>25.410000000000004</v>
      </c>
      <c r="I64" s="136" t="s">
        <v>166</v>
      </c>
      <c r="J64" s="120">
        <f>G$13</f>
        <v>20.070000000000004</v>
      </c>
      <c r="K64" s="136" t="s">
        <v>229</v>
      </c>
      <c r="L64" s="27">
        <f>H64-J$65</f>
        <v>5.34</v>
      </c>
      <c r="M64" s="61" t="s">
        <v>1092</v>
      </c>
      <c r="N64" s="27">
        <f>J64-J$65</f>
        <v>0</v>
      </c>
      <c r="P64"/>
      <c r="Q64"/>
    </row>
    <row r="65" spans="2:15" customFormat="1" x14ac:dyDescent="0.35">
      <c r="B65" s="3"/>
      <c r="C65" s="3"/>
      <c r="D65" s="3"/>
      <c r="E65" s="123" t="str">
        <f>R8</f>
        <v>&gt;</v>
      </c>
      <c r="F65" s="567">
        <f>S8</f>
        <v>100</v>
      </c>
      <c r="G65" s="36"/>
      <c r="H65" s="120">
        <f>G$11</f>
        <v>25.410000000000004</v>
      </c>
      <c r="I65" s="136" t="s">
        <v>166</v>
      </c>
      <c r="J65" s="124">
        <f>G$13</f>
        <v>20.070000000000004</v>
      </c>
      <c r="K65" s="136" t="s">
        <v>229</v>
      </c>
      <c r="L65" s="27">
        <f>H65-J$65</f>
        <v>5.34</v>
      </c>
      <c r="M65" s="61" t="s">
        <v>1092</v>
      </c>
      <c r="N65" s="112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20"/>
      <c r="J66" s="120"/>
      <c r="K66" s="3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134.47999999999999</v>
      </c>
      <c r="I67" s="136" t="s">
        <v>138</v>
      </c>
      <c r="J67" s="35">
        <f>G18</f>
        <v>99.53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D68" s="121"/>
      <c r="E68" s="122" t="str">
        <f>E64</f>
        <v>-</v>
      </c>
      <c r="F68" s="121">
        <f>F64</f>
        <v>100</v>
      </c>
      <c r="G68" s="36"/>
      <c r="H68" s="120">
        <f>G$17</f>
        <v>19.270000000000003</v>
      </c>
      <c r="I68" s="136" t="s">
        <v>101</v>
      </c>
      <c r="J68" s="120">
        <f>G$19</f>
        <v>13.910000000000004</v>
      </c>
      <c r="K68" s="136" t="s">
        <v>1091</v>
      </c>
      <c r="L68" s="27">
        <f>H68-J$65</f>
        <v>-0.80000000000000071</v>
      </c>
      <c r="M68" s="61" t="s">
        <v>1093</v>
      </c>
      <c r="N68" s="27">
        <f>J68-J$65</f>
        <v>-6.16</v>
      </c>
      <c r="O68" s="61" t="s">
        <v>1094</v>
      </c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100</v>
      </c>
      <c r="G69" s="36"/>
      <c r="H69" s="120">
        <f>G$17</f>
        <v>19.270000000000003</v>
      </c>
      <c r="I69" s="136" t="s">
        <v>101</v>
      </c>
      <c r="J69" s="120">
        <f>G$19</f>
        <v>13.910000000000004</v>
      </c>
      <c r="K69" s="136" t="s">
        <v>1091</v>
      </c>
      <c r="L69" s="27">
        <f>H69-J$65</f>
        <v>-0.80000000000000071</v>
      </c>
      <c r="M69" s="61" t="s">
        <v>1093</v>
      </c>
      <c r="N69" s="27">
        <f>J69-J$65</f>
        <v>-6.16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 t="s">
        <v>75</v>
      </c>
      <c r="G74" s="117" t="str">
        <f>CONCATENATE("X + ",L75)</f>
        <v>X + 5.43</v>
      </c>
      <c r="H74" s="116" t="str">
        <f>CONCATENATE("X + ",N75)</f>
        <v>X + 0</v>
      </c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156</v>
      </c>
      <c r="G75" s="114" t="str">
        <f>CONCATENATE("X + ",L76)</f>
        <v>X + 5.43</v>
      </c>
      <c r="H75" s="115" t="s">
        <v>32</v>
      </c>
      <c r="L75" s="27">
        <f>ROUND(L64*(1+$L$56),2)</f>
        <v>5.43</v>
      </c>
      <c r="M75" s="61" t="s">
        <v>1096</v>
      </c>
      <c r="N75" s="27">
        <f>ROUND(N64*(1+$L$56),2)</f>
        <v>0</v>
      </c>
      <c r="O75" s="61" t="s">
        <v>1095</v>
      </c>
    </row>
    <row r="76" spans="2:15" customFormat="1" x14ac:dyDescent="0.35">
      <c r="B76" s="3" t="s">
        <v>73</v>
      </c>
      <c r="G76" s="114" t="str">
        <f>CONCATENATE("X + ",L79)</f>
        <v>X + -0.81</v>
      </c>
      <c r="H76" s="113" t="str">
        <f>CONCATENATE("X + ",N79)</f>
        <v>X + -6.26</v>
      </c>
      <c r="L76" s="27">
        <f>ROUND(L65*(1+$L$56),2)</f>
        <v>5.43</v>
      </c>
      <c r="M76" s="61" t="s">
        <v>1096</v>
      </c>
      <c r="N76" s="112"/>
      <c r="O76" s="61" t="s">
        <v>1095</v>
      </c>
    </row>
    <row r="77" spans="2:15" customFormat="1" ht="15" thickBot="1" x14ac:dyDescent="0.4">
      <c r="B77" s="3" t="s">
        <v>155</v>
      </c>
      <c r="G77" s="111" t="str">
        <f>CONCATENATE("X + ",L80)</f>
        <v>X + -0.81</v>
      </c>
      <c r="H77" s="110" t="str">
        <f>CONCATENATE("X + ",N80)</f>
        <v>X + -6.26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27">
        <f>ROUND(L68*(1+$L$56),2)</f>
        <v>-0.81</v>
      </c>
      <c r="M79" s="61" t="s">
        <v>1097</v>
      </c>
      <c r="N79" s="27">
        <f>ROUND(N68*(1+$L$56),2)</f>
        <v>-6.26</v>
      </c>
      <c r="O79" s="61" t="s">
        <v>1099</v>
      </c>
    </row>
    <row r="80" spans="2:15" customFormat="1" x14ac:dyDescent="0.35">
      <c r="L80" s="27">
        <f>ROUND(L69*(1+$L$56),2)</f>
        <v>-0.81</v>
      </c>
      <c r="M80" s="61" t="s">
        <v>1097</v>
      </c>
      <c r="N80" s="27">
        <f>ROUND(N69*(1+$L$56),2)</f>
        <v>-6.26</v>
      </c>
      <c r="O80" s="61" t="s">
        <v>1099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334" t="s">
        <v>70</v>
      </c>
    </row>
    <row r="83" spans="2:15" customFormat="1" x14ac:dyDescent="0.35">
      <c r="B83" s="41" t="str">
        <f>$A$4</f>
        <v>SC9 Rate I</v>
      </c>
    </row>
    <row r="84" spans="2:15" customFormat="1" ht="15" thickBot="1" x14ac:dyDescent="0.4">
      <c r="B84" s="70" t="s">
        <v>1142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 t="s">
        <v>43</v>
      </c>
      <c r="C85" s="70"/>
      <c r="D85" s="70"/>
      <c r="E85" s="3" t="s">
        <v>42</v>
      </c>
      <c r="F85" s="3"/>
      <c r="G85" s="108" t="str">
        <f>CONCATENATE(D64,E64,F64," kW")</f>
        <v>5-100 kW</v>
      </c>
      <c r="I85" s="72">
        <f>U7</f>
        <v>10355085</v>
      </c>
      <c r="J85" s="36" t="s">
        <v>39</v>
      </c>
      <c r="K85" s="74" t="str">
        <f>CONCATENATE("[",G74,"]")</f>
        <v>[X + 5.43]</v>
      </c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&gt;100 kW</v>
      </c>
      <c r="I86" s="72">
        <f>U8</f>
        <v>4265301</v>
      </c>
      <c r="J86" s="36" t="s">
        <v>39</v>
      </c>
      <c r="K86" s="107" t="str">
        <f>CONCATENATE("[",G75,"]")</f>
        <v>[X + 5.43]</v>
      </c>
      <c r="L86" s="61" t="s">
        <v>1114</v>
      </c>
    </row>
    <row r="87" spans="2:15" customFormat="1" x14ac:dyDescent="0.35">
      <c r="B87" s="3" t="s">
        <v>43</v>
      </c>
      <c r="C87" s="3"/>
      <c r="D87" s="3"/>
      <c r="E87" s="3" t="s">
        <v>40</v>
      </c>
      <c r="F87" s="3"/>
      <c r="G87" s="3" t="str">
        <f>G85</f>
        <v>5-100 kW</v>
      </c>
      <c r="I87" s="72">
        <f>U12</f>
        <v>18151598</v>
      </c>
      <c r="J87" s="36" t="s">
        <v>39</v>
      </c>
      <c r="K87" s="73" t="str">
        <f>CONCATENATE("[",H74,"]")</f>
        <v>[X + 0]</v>
      </c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&gt;100 kW</v>
      </c>
      <c r="I88" s="72">
        <f>U13</f>
        <v>6426438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 t="s">
        <v>41</v>
      </c>
      <c r="C89" s="3"/>
      <c r="D89" s="3"/>
      <c r="E89" s="3" t="s">
        <v>42</v>
      </c>
      <c r="F89" s="3"/>
      <c r="G89" s="3" t="str">
        <f>G85</f>
        <v>5-100 kW</v>
      </c>
      <c r="I89" s="72">
        <f>U17</f>
        <v>12963</v>
      </c>
      <c r="J89" s="36" t="s">
        <v>39</v>
      </c>
      <c r="K89" s="73" t="str">
        <f>CONCATENATE("[",G76,"]")</f>
        <v>[X + -0.81]</v>
      </c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&gt;100 kW</v>
      </c>
      <c r="I90" s="72">
        <f>U18</f>
        <v>36476</v>
      </c>
      <c r="J90" s="36" t="s">
        <v>39</v>
      </c>
      <c r="K90" s="73" t="str">
        <f>CONCATENATE("[",G77,"]")</f>
        <v>[X + -0.81]</v>
      </c>
      <c r="L90" s="61" t="s">
        <v>1115</v>
      </c>
    </row>
    <row r="91" spans="2:15" customFormat="1" x14ac:dyDescent="0.35">
      <c r="B91" s="3" t="s">
        <v>41</v>
      </c>
      <c r="C91" s="3"/>
      <c r="D91" s="3"/>
      <c r="E91" s="3" t="s">
        <v>40</v>
      </c>
      <c r="F91" s="3"/>
      <c r="G91" s="3" t="str">
        <f>G85</f>
        <v>5-100 kW</v>
      </c>
      <c r="I91" s="72">
        <f>U22</f>
        <v>24758</v>
      </c>
      <c r="J91" s="36" t="s">
        <v>39</v>
      </c>
      <c r="K91" s="73" t="str">
        <f>CONCATENATE("[",H76,"]")</f>
        <v>[X + -6.26]</v>
      </c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&gt;100 kW</v>
      </c>
      <c r="I92" s="72">
        <f>U23</f>
        <v>67386</v>
      </c>
      <c r="J92" s="36" t="s">
        <v>39</v>
      </c>
      <c r="K92" s="71" t="str">
        <f>CONCATENATE("[",H77,"]")</f>
        <v>[X + -6.26]</v>
      </c>
      <c r="L92" s="61" t="s">
        <v>1116</v>
      </c>
    </row>
    <row r="93" spans="2:15" x14ac:dyDescent="0.35">
      <c r="I93" s="899">
        <f>SUM(I86:I92)</f>
        <v>28984920</v>
      </c>
      <c r="J93" s="61" t="s">
        <v>1568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SC9 Rate I</v>
      </c>
      <c r="F96" s="3"/>
      <c r="G96" s="3"/>
      <c r="H96" s="3"/>
      <c r="I96" s="69" t="s">
        <v>25</v>
      </c>
      <c r="J96" s="3"/>
      <c r="K96" s="106"/>
      <c r="L96" s="3"/>
      <c r="M96" s="3"/>
      <c r="N96" s="17"/>
    </row>
    <row r="97" spans="2:14" customFormat="1" x14ac:dyDescent="0.35">
      <c r="B97" s="3" t="s">
        <v>37</v>
      </c>
      <c r="C97" s="3"/>
      <c r="F97" s="3"/>
      <c r="G97" s="3"/>
      <c r="H97" s="3"/>
      <c r="I97" s="105">
        <f t="shared" ref="I97:I104" si="1">I85</f>
        <v>10355085</v>
      </c>
      <c r="J97" s="65" t="s">
        <v>63</v>
      </c>
      <c r="K97" s="34">
        <f>ROUND(I97*L75,0)</f>
        <v>56228112</v>
      </c>
      <c r="L97" s="3" t="s">
        <v>62</v>
      </c>
      <c r="M97" s="61" t="s">
        <v>1100</v>
      </c>
      <c r="N97" s="17"/>
    </row>
    <row r="98" spans="2:14" customFormat="1" x14ac:dyDescent="0.35">
      <c r="B98" s="3" t="s">
        <v>67</v>
      </c>
      <c r="C98" s="3"/>
      <c r="F98" s="3"/>
      <c r="G98" s="3"/>
      <c r="H98" s="3"/>
      <c r="I98" s="105">
        <f t="shared" si="1"/>
        <v>4265301</v>
      </c>
      <c r="J98" s="65" t="s">
        <v>63</v>
      </c>
      <c r="K98" s="34">
        <f>ROUND(I98*L76,0)</f>
        <v>23160584</v>
      </c>
      <c r="L98" s="3" t="s">
        <v>62</v>
      </c>
      <c r="M98" s="61" t="s">
        <v>1100</v>
      </c>
      <c r="N98" s="17"/>
    </row>
    <row r="99" spans="2:14" customFormat="1" x14ac:dyDescent="0.35">
      <c r="B99" s="3" t="s">
        <v>36</v>
      </c>
      <c r="C99" s="3"/>
      <c r="F99" s="3"/>
      <c r="G99" s="3"/>
      <c r="H99" s="3"/>
      <c r="I99" s="105">
        <f t="shared" si="1"/>
        <v>18151598</v>
      </c>
      <c r="J99" s="65" t="s">
        <v>63</v>
      </c>
      <c r="K99" s="34">
        <f>ROUND(I99*N75,0)</f>
        <v>0</v>
      </c>
      <c r="L99" s="3" t="s">
        <v>62</v>
      </c>
      <c r="M99" s="61" t="s">
        <v>1101</v>
      </c>
      <c r="N99" s="17"/>
    </row>
    <row r="100" spans="2:14" customFormat="1" x14ac:dyDescent="0.35">
      <c r="B100" s="3" t="s">
        <v>66</v>
      </c>
      <c r="C100" s="3"/>
      <c r="F100" s="3"/>
      <c r="G100" s="3"/>
      <c r="H100" s="3"/>
      <c r="I100" s="105">
        <f t="shared" si="1"/>
        <v>6426438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 t="s">
        <v>35</v>
      </c>
      <c r="C101" s="3"/>
      <c r="F101" s="3"/>
      <c r="G101" s="3"/>
      <c r="H101" s="3"/>
      <c r="I101" s="105">
        <f t="shared" si="1"/>
        <v>12963</v>
      </c>
      <c r="J101" s="65" t="s">
        <v>63</v>
      </c>
      <c r="K101" s="34">
        <f>ROUND(I101*L79,0)</f>
        <v>-10500</v>
      </c>
      <c r="L101" s="3" t="s">
        <v>62</v>
      </c>
      <c r="M101" s="61" t="s">
        <v>1102</v>
      </c>
      <c r="N101" s="17"/>
    </row>
    <row r="102" spans="2:14" customFormat="1" x14ac:dyDescent="0.35">
      <c r="B102" s="3" t="s">
        <v>65</v>
      </c>
      <c r="C102" s="3"/>
      <c r="F102" s="3"/>
      <c r="G102" s="3"/>
      <c r="H102" s="3"/>
      <c r="I102" s="105">
        <f t="shared" si="1"/>
        <v>36476</v>
      </c>
      <c r="J102" s="104" t="s">
        <v>63</v>
      </c>
      <c r="K102" s="34">
        <f>ROUND(I102*L80,0)</f>
        <v>-29546</v>
      </c>
      <c r="L102" s="44" t="s">
        <v>62</v>
      </c>
      <c r="M102" s="61" t="s">
        <v>1102</v>
      </c>
      <c r="N102" s="17"/>
    </row>
    <row r="103" spans="2:14" customFormat="1" x14ac:dyDescent="0.35">
      <c r="B103" s="3" t="s">
        <v>34</v>
      </c>
      <c r="C103" s="3"/>
      <c r="F103" s="3"/>
      <c r="G103" s="3"/>
      <c r="H103" s="3"/>
      <c r="I103" s="105">
        <f t="shared" si="1"/>
        <v>24758</v>
      </c>
      <c r="J103" s="104" t="s">
        <v>63</v>
      </c>
      <c r="K103" s="34">
        <f>ROUND(I103*N79,0)</f>
        <v>-154985</v>
      </c>
      <c r="L103" s="44" t="s">
        <v>62</v>
      </c>
      <c r="M103" s="61" t="s">
        <v>1103</v>
      </c>
      <c r="N103" s="17"/>
    </row>
    <row r="104" spans="2:14" customFormat="1" x14ac:dyDescent="0.35">
      <c r="B104" s="3" t="s">
        <v>64</v>
      </c>
      <c r="C104" s="3"/>
      <c r="F104" s="3"/>
      <c r="G104" s="3"/>
      <c r="H104" s="3"/>
      <c r="I104" s="105">
        <f t="shared" si="1"/>
        <v>67386</v>
      </c>
      <c r="J104" s="104" t="s">
        <v>63</v>
      </c>
      <c r="K104" s="37">
        <f>ROUND(I104*N80,0)</f>
        <v>-421836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1146</v>
      </c>
      <c r="C105" s="3"/>
      <c r="F105" s="66"/>
      <c r="G105" s="824">
        <f>L54</f>
        <v>881220399</v>
      </c>
      <c r="H105" s="63" t="s">
        <v>31</v>
      </c>
      <c r="I105" s="900">
        <f>SUM(I97:I104)</f>
        <v>39340005</v>
      </c>
      <c r="J105" s="65" t="s">
        <v>63</v>
      </c>
      <c r="K105" s="103">
        <f>SUM(K97:K104)</f>
        <v>78771829</v>
      </c>
      <c r="L105" s="3" t="s">
        <v>1569</v>
      </c>
      <c r="M105" s="61" t="s">
        <v>1570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1571</v>
      </c>
      <c r="N106" s="17"/>
    </row>
    <row r="107" spans="2:14" customFormat="1" x14ac:dyDescent="0.35">
      <c r="F107" s="34"/>
      <c r="G107" s="34">
        <f>G105-K105</f>
        <v>802448570</v>
      </c>
      <c r="H107" s="63" t="s">
        <v>31</v>
      </c>
      <c r="I107" s="28">
        <f>I105</f>
        <v>39340005</v>
      </c>
      <c r="J107" s="65" t="s">
        <v>32</v>
      </c>
      <c r="K107" s="3"/>
      <c r="L107" s="3"/>
      <c r="M107" s="61" t="s">
        <v>1572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20.399999999999999</v>
      </c>
      <c r="J109" s="61" t="s">
        <v>1108</v>
      </c>
      <c r="K109" s="3"/>
      <c r="L109" s="3"/>
      <c r="M109" s="61" t="s">
        <v>1573</v>
      </c>
      <c r="N109" s="17"/>
    </row>
    <row r="110" spans="2:14" customFormat="1" ht="15" thickTop="1" x14ac:dyDescent="0.35"/>
    <row r="111" spans="2:14" customFormat="1" ht="15" thickBot="1" x14ac:dyDescent="0.4">
      <c r="B111" s="334" t="str">
        <f>CONCATENATE($A$4," at Proposed Demand Rates")</f>
        <v>SC9 Rate I at Proposed Demand Rates</v>
      </c>
    </row>
    <row r="112" spans="2:14" customFormat="1" ht="15.5" thickTop="1" thickBot="1" x14ac:dyDescent="0.4">
      <c r="C112" s="3" t="s">
        <v>5</v>
      </c>
      <c r="D112" s="1319">
        <f>$L$4</f>
        <v>2020</v>
      </c>
      <c r="E112" s="1319"/>
      <c r="F112" s="1319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173.95</v>
      </c>
      <c r="I114" s="61" t="s">
        <v>165</v>
      </c>
      <c r="J114" s="35">
        <f>J63</f>
        <v>138.94999999999999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134.47999999999999</v>
      </c>
      <c r="I115" s="61" t="s">
        <v>138</v>
      </c>
      <c r="J115" s="35">
        <f>J67</f>
        <v>99.53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13" t="s">
        <v>58</v>
      </c>
      <c r="I118" s="1314"/>
      <c r="J118" s="1315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 t="shared" ref="D120:F121" si="2">D63</f>
        <v>0</v>
      </c>
      <c r="E120" s="56" t="str">
        <f t="shared" si="2"/>
        <v>-</v>
      </c>
      <c r="F120" s="56">
        <f t="shared" si="2"/>
        <v>5</v>
      </c>
      <c r="G120" s="44"/>
      <c r="H120" s="97">
        <f>ROUND(H114*(1+$I$34),2)</f>
        <v>176.77</v>
      </c>
      <c r="I120" s="54" t="s">
        <v>1118</v>
      </c>
      <c r="J120" s="97">
        <f>ROUND(J114*(1+$I$34),2)</f>
        <v>141.21</v>
      </c>
      <c r="K120" s="54" t="s">
        <v>1120</v>
      </c>
      <c r="L120" s="94"/>
      <c r="M120" s="81">
        <f>ROUND(H120/H63-1,4)</f>
        <v>1.6199999999999999E-2</v>
      </c>
      <c r="N120" s="81">
        <f>ROUND(J120/J63-1,4)</f>
        <v>1.6299999999999999E-2</v>
      </c>
    </row>
    <row r="121" spans="3:14" customFormat="1" x14ac:dyDescent="0.35">
      <c r="C121" s="96"/>
      <c r="D121" s="56">
        <f t="shared" si="2"/>
        <v>5</v>
      </c>
      <c r="E121" s="56" t="str">
        <f t="shared" si="2"/>
        <v>-</v>
      </c>
      <c r="F121" s="56">
        <f t="shared" si="2"/>
        <v>100</v>
      </c>
      <c r="G121" s="44"/>
      <c r="H121" s="95">
        <f>$I$109+L75</f>
        <v>25.83</v>
      </c>
      <c r="I121" s="54" t="s">
        <v>1121</v>
      </c>
      <c r="J121" s="95">
        <f>$I$109+N75</f>
        <v>20.399999999999999</v>
      </c>
      <c r="K121" s="54" t="s">
        <v>1108</v>
      </c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100</v>
      </c>
      <c r="G122" s="44"/>
      <c r="H122" s="95">
        <f>$I$109+L76</f>
        <v>25.83</v>
      </c>
      <c r="I122" s="54" t="s">
        <v>1121</v>
      </c>
      <c r="J122" s="95">
        <f>$I$109+N76</f>
        <v>20.399999999999999</v>
      </c>
      <c r="K122" s="54" t="s">
        <v>1108</v>
      </c>
      <c r="L122" s="94"/>
      <c r="M122" s="81">
        <f>ROUND(H122/H65-1,4)</f>
        <v>1.6500000000000001E-2</v>
      </c>
      <c r="N122" s="81">
        <f>ROUND(J122/J65-1,4)</f>
        <v>1.6400000000000001E-2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 t="shared" ref="D124:F125" si="3">D120</f>
        <v>0</v>
      </c>
      <c r="E124" s="56" t="str">
        <f t="shared" si="3"/>
        <v>-</v>
      </c>
      <c r="F124" s="56">
        <f t="shared" si="3"/>
        <v>5</v>
      </c>
      <c r="G124" s="44"/>
      <c r="H124" s="97">
        <f>ROUND(H115*(1+$I$34),2)</f>
        <v>136.66</v>
      </c>
      <c r="I124" s="54" t="s">
        <v>1119</v>
      </c>
      <c r="J124" s="97">
        <f>ROUND(J115*(1+$I$34),2)</f>
        <v>101.15</v>
      </c>
      <c r="K124" s="54" t="s">
        <v>1123</v>
      </c>
      <c r="L124" s="94"/>
      <c r="M124" s="81">
        <f>ROUND(H124/H67-1,4)</f>
        <v>1.6199999999999999E-2</v>
      </c>
      <c r="N124" s="81">
        <f>ROUND(J124/J67-1,4)</f>
        <v>1.6299999999999999E-2</v>
      </c>
    </row>
    <row r="125" spans="3:14" customFormat="1" x14ac:dyDescent="0.35">
      <c r="C125" s="96"/>
      <c r="D125" s="56">
        <f t="shared" si="3"/>
        <v>5</v>
      </c>
      <c r="E125" s="56" t="str">
        <f t="shared" si="3"/>
        <v>-</v>
      </c>
      <c r="F125" s="56">
        <f t="shared" si="3"/>
        <v>100</v>
      </c>
      <c r="G125" s="44"/>
      <c r="H125" s="95">
        <f>$I$109+L79</f>
        <v>19.59</v>
      </c>
      <c r="I125" s="54" t="s">
        <v>1122</v>
      </c>
      <c r="J125" s="95">
        <f>$I$109+N79</f>
        <v>14.139999999999999</v>
      </c>
      <c r="K125" s="54" t="s">
        <v>1124</v>
      </c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100</v>
      </c>
      <c r="G126" s="44"/>
      <c r="H126" s="95">
        <f>$I$109+L80</f>
        <v>19.59</v>
      </c>
      <c r="I126" s="54" t="s">
        <v>1122</v>
      </c>
      <c r="J126" s="95">
        <f>$I$109+N80</f>
        <v>14.139999999999999</v>
      </c>
      <c r="K126" s="54" t="s">
        <v>1124</v>
      </c>
      <c r="L126" s="94"/>
      <c r="M126" s="81">
        <f>ROUND(H126/H69-1,4)</f>
        <v>1.66E-2</v>
      </c>
      <c r="N126" s="81">
        <f>ROUND(J126/J69-1,4)</f>
        <v>1.6500000000000001E-2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334" t="s">
        <v>1538</v>
      </c>
      <c r="B130" s="3"/>
      <c r="C130" s="3"/>
      <c r="D130" s="3"/>
      <c r="E130" s="3"/>
      <c r="F130" s="3"/>
      <c r="G130" s="3"/>
      <c r="H130" s="3"/>
      <c r="I130" s="3"/>
    </row>
    <row r="131" spans="1:15" customFormat="1" x14ac:dyDescent="0.35">
      <c r="A131" s="42"/>
      <c r="B131" s="3"/>
      <c r="C131" s="3"/>
      <c r="D131" s="3"/>
      <c r="E131" s="3"/>
      <c r="F131" s="3"/>
      <c r="G131" s="3"/>
      <c r="H131" s="3"/>
      <c r="I131" s="3"/>
    </row>
    <row r="132" spans="1:15" customFormat="1" x14ac:dyDescent="0.35">
      <c r="A132" s="42"/>
      <c r="B132" s="334" t="s">
        <v>55</v>
      </c>
      <c r="C132" s="410"/>
      <c r="D132" s="3"/>
      <c r="E132" s="3"/>
      <c r="F132" s="3"/>
      <c r="G132" s="3"/>
      <c r="H132" s="3"/>
      <c r="I132" s="3"/>
    </row>
    <row r="133" spans="1:15" customFormat="1" x14ac:dyDescent="0.35">
      <c r="A133" s="42"/>
      <c r="B133" s="41" t="str">
        <f>$A$4</f>
        <v>SC9 Rate I</v>
      </c>
      <c r="C133" s="3"/>
      <c r="D133" s="3"/>
      <c r="E133" s="3"/>
      <c r="F133" s="3"/>
      <c r="G133" s="3"/>
      <c r="H133" s="3"/>
      <c r="I133" s="3"/>
    </row>
    <row r="134" spans="1:15" customFormat="1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361013380</v>
      </c>
      <c r="J134" s="61" t="s">
        <v>50</v>
      </c>
      <c r="L134" s="3"/>
    </row>
    <row r="135" spans="1:15" customFormat="1" x14ac:dyDescent="0.35">
      <c r="A135" s="42"/>
      <c r="B135" s="3" t="str">
        <f>CONCATENATE("Less: ",$L$5," Energy Revenues to Demand at Current Rates Level")</f>
        <v>Less: Shift of 5%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18050669</v>
      </c>
      <c r="J135" s="61" t="s">
        <v>49</v>
      </c>
      <c r="L135" s="3"/>
    </row>
    <row r="136" spans="1:15" customFormat="1" x14ac:dyDescent="0.35">
      <c r="A136" s="42"/>
      <c r="B136" s="3"/>
      <c r="C136" s="3"/>
      <c r="D136" s="3"/>
      <c r="E136" s="3"/>
      <c r="F136" s="3"/>
      <c r="G136" s="3"/>
      <c r="H136" s="3"/>
      <c r="J136" s="3"/>
      <c r="L136" s="3"/>
    </row>
    <row r="137" spans="1:15" customFormat="1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42"/>
      <c r="B138" s="838" t="s">
        <v>52</v>
      </c>
      <c r="C138" s="3"/>
      <c r="D138" s="3"/>
      <c r="E138" s="3"/>
      <c r="F138" s="3"/>
      <c r="G138" s="3"/>
      <c r="H138" s="3"/>
      <c r="I138" s="32">
        <f>I134-I135</f>
        <v>342962711</v>
      </c>
      <c r="J138" s="61" t="s">
        <v>1126</v>
      </c>
      <c r="L138" s="3"/>
    </row>
    <row r="139" spans="1:15" customFormat="1" x14ac:dyDescent="0.35">
      <c r="A139" s="42"/>
      <c r="B139" s="3"/>
      <c r="C139" s="3"/>
      <c r="D139" s="3"/>
      <c r="E139" s="3"/>
      <c r="F139" s="3"/>
      <c r="G139" s="3"/>
      <c r="H139" s="3"/>
    </row>
    <row r="140" spans="1:15" customFormat="1" x14ac:dyDescent="0.35">
      <c r="A140" s="42"/>
      <c r="B140" s="3"/>
      <c r="C140" s="3"/>
      <c r="D140" s="3"/>
      <c r="E140" s="3"/>
      <c r="F140" s="3"/>
      <c r="G140" s="3"/>
      <c r="H140" s="3"/>
      <c r="I140" s="3"/>
    </row>
    <row r="141" spans="1:15" customFormat="1" ht="15" thickBot="1" x14ac:dyDescent="0.4"/>
    <row r="142" spans="1:15" customFormat="1" ht="15.5" thickTop="1" thickBot="1" x14ac:dyDescent="0.4">
      <c r="B142" s="41" t="str">
        <f>$A$4</f>
        <v>SC9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C144" s="3" t="s">
        <v>9</v>
      </c>
      <c r="D144" s="567">
        <v>0</v>
      </c>
      <c r="E144" s="829" t="s">
        <v>143</v>
      </c>
      <c r="F144" s="72">
        <v>15000</v>
      </c>
      <c r="H144" s="83">
        <f>G8</f>
        <v>2.2100000000000002E-2</v>
      </c>
      <c r="I144" s="61" t="s">
        <v>47</v>
      </c>
      <c r="J144" s="85">
        <f>G9</f>
        <v>2.2100000000000002E-2</v>
      </c>
      <c r="K144" s="61" t="s">
        <v>1790</v>
      </c>
      <c r="L144" s="930">
        <f>ROUND(H144/$J$144,2)</f>
        <v>1</v>
      </c>
      <c r="M144" s="61" t="s">
        <v>1793</v>
      </c>
      <c r="N144" s="84"/>
      <c r="O144" s="61" t="s">
        <v>1794</v>
      </c>
    </row>
    <row r="145" spans="2:15" customFormat="1" x14ac:dyDescent="0.35">
      <c r="C145" s="3"/>
      <c r="D145" s="3"/>
      <c r="E145" s="123" t="s">
        <v>141</v>
      </c>
      <c r="F145" s="28">
        <f>F144</f>
        <v>15000</v>
      </c>
      <c r="H145" s="27">
        <f>G8</f>
        <v>2.2100000000000002E-2</v>
      </c>
      <c r="I145" s="61" t="s">
        <v>53</v>
      </c>
      <c r="J145" s="27">
        <f>G9</f>
        <v>2.2100000000000002E-2</v>
      </c>
      <c r="K145" s="61" t="s">
        <v>1791</v>
      </c>
      <c r="L145" s="930">
        <f>ROUND(H145/$J$144,2)</f>
        <v>1</v>
      </c>
      <c r="M145" s="61" t="s">
        <v>1795</v>
      </c>
      <c r="N145" s="930">
        <f>ROUND(J145/$J$144,2)</f>
        <v>1</v>
      </c>
      <c r="O145" s="61" t="s">
        <v>1798</v>
      </c>
    </row>
    <row r="146" spans="2:15" customFormat="1" x14ac:dyDescent="0.35">
      <c r="C146" s="3" t="s">
        <v>8</v>
      </c>
      <c r="D146" s="121">
        <f>$D$144</f>
        <v>0</v>
      </c>
      <c r="E146" s="122" t="str">
        <f>$E$144</f>
        <v>-</v>
      </c>
      <c r="F146" s="220">
        <f>$F$144</f>
        <v>15000</v>
      </c>
      <c r="H146" s="83">
        <f>G14</f>
        <v>2.06E-2</v>
      </c>
      <c r="I146" s="61" t="s">
        <v>1127</v>
      </c>
      <c r="J146" s="83">
        <f>G15</f>
        <v>2.06E-2</v>
      </c>
      <c r="K146" s="61" t="s">
        <v>1130</v>
      </c>
      <c r="L146" s="930">
        <f>ROUND(H146/$J$144,2)</f>
        <v>0.93</v>
      </c>
      <c r="M146" s="61" t="s">
        <v>1796</v>
      </c>
      <c r="N146" s="930">
        <f>ROUND(J146/$J$144,2)</f>
        <v>0.93</v>
      </c>
      <c r="O146" s="61" t="s">
        <v>1799</v>
      </c>
    </row>
    <row r="147" spans="2:15" customFormat="1" x14ac:dyDescent="0.35">
      <c r="C147" s="3"/>
      <c r="D147" s="2"/>
      <c r="E147" s="122" t="str">
        <f>$E$145</f>
        <v>&gt;</v>
      </c>
      <c r="F147" s="220">
        <f>$F$145</f>
        <v>15000</v>
      </c>
      <c r="H147" s="27">
        <f>G14</f>
        <v>2.06E-2</v>
      </c>
      <c r="I147" s="61" t="s">
        <v>30</v>
      </c>
      <c r="J147" s="27">
        <f>G15</f>
        <v>2.06E-2</v>
      </c>
      <c r="K147" s="61" t="s">
        <v>1792</v>
      </c>
      <c r="L147" s="930">
        <f>ROUND(H147/$J$144,2)</f>
        <v>0.93</v>
      </c>
      <c r="M147" s="61" t="s">
        <v>1797</v>
      </c>
      <c r="N147" s="930">
        <f>ROUND(J147/$J$144,2)</f>
        <v>0.93</v>
      </c>
      <c r="O147" s="61" t="s">
        <v>1800</v>
      </c>
    </row>
    <row r="148" spans="2:15" customFormat="1" x14ac:dyDescent="0.35">
      <c r="C148" s="3" t="s">
        <v>9</v>
      </c>
      <c r="D148" s="121">
        <f>$D$144</f>
        <v>0</v>
      </c>
      <c r="E148" s="122" t="str">
        <f>$E$144</f>
        <v>-</v>
      </c>
      <c r="F148" s="220">
        <f>$F$144</f>
        <v>15000</v>
      </c>
      <c r="H148" s="36" t="str">
        <f>IF(L144=1,$J$148,CONCATENATE(L144," * ",$J$148))</f>
        <v>X</v>
      </c>
      <c r="J148" s="80" t="s">
        <v>32</v>
      </c>
      <c r="K148" s="3"/>
      <c r="L148" s="3"/>
      <c r="N148" s="3"/>
    </row>
    <row r="149" spans="2:15" customFormat="1" x14ac:dyDescent="0.35">
      <c r="C149" s="3"/>
      <c r="D149" s="2"/>
      <c r="E149" s="122" t="str">
        <f>$E$145</f>
        <v>&gt;</v>
      </c>
      <c r="F149" s="220">
        <f>$F$145</f>
        <v>15000</v>
      </c>
      <c r="H149" s="36" t="str">
        <f>IF(L145=1,$J$148,CONCATENATE(L145," * ",$J$148))</f>
        <v>X</v>
      </c>
      <c r="I149" s="3"/>
      <c r="J149" s="36" t="str">
        <f>IF(N145=1,$J$148,CONCATENATE(N145," * ",$J$148))</f>
        <v>X</v>
      </c>
      <c r="K149" s="3"/>
      <c r="L149" s="3"/>
      <c r="M149" s="3"/>
      <c r="N149" s="3"/>
    </row>
    <row r="150" spans="2:15" customFormat="1" x14ac:dyDescent="0.35">
      <c r="C150" s="3" t="s">
        <v>8</v>
      </c>
      <c r="D150" s="121">
        <f>$D$144</f>
        <v>0</v>
      </c>
      <c r="E150" s="122" t="str">
        <f>$E$144</f>
        <v>-</v>
      </c>
      <c r="F150" s="220">
        <f>$F$144</f>
        <v>15000</v>
      </c>
      <c r="H150" s="36" t="str">
        <f>IF(L146=1,$J$148,CONCATENATE(L146," * ",$J$148))</f>
        <v>0.93 * X</v>
      </c>
      <c r="I150" s="3"/>
      <c r="J150" s="36" t="str">
        <f>IF(N146=1,$J$148,CONCATENATE(N146," * ",$J$148))</f>
        <v>0.93 * X</v>
      </c>
      <c r="K150" s="3"/>
      <c r="L150" s="3"/>
      <c r="M150" s="17"/>
      <c r="N150" s="3"/>
    </row>
    <row r="151" spans="2:15" customFormat="1" x14ac:dyDescent="0.35">
      <c r="D151" s="2"/>
      <c r="E151" s="122" t="str">
        <f>$E$145</f>
        <v>&gt;</v>
      </c>
      <c r="F151" s="220">
        <f>$F$145</f>
        <v>15000</v>
      </c>
      <c r="H151" s="36" t="str">
        <f>IF(L147=1,$J$148,CONCATENATE(L147," * ",$J$148))</f>
        <v>0.93 * X</v>
      </c>
      <c r="I151" s="3"/>
      <c r="J151" s="36" t="str">
        <f>IF(N147=1,$J$148,CONCATENATE(N147," * ",$J$148))</f>
        <v>0.93 * X</v>
      </c>
      <c r="K151" s="3"/>
      <c r="L151" s="3"/>
      <c r="M151" s="3"/>
      <c r="N151" s="3"/>
    </row>
    <row r="152" spans="2:15" customFormat="1" x14ac:dyDescent="0.35">
      <c r="H152" s="3"/>
      <c r="I152" s="3"/>
      <c r="J152" s="3"/>
      <c r="K152" s="3"/>
      <c r="L152" s="3"/>
      <c r="M152" s="3"/>
      <c r="N152" s="3"/>
    </row>
    <row r="153" spans="2:15" customFormat="1" x14ac:dyDescent="0.35">
      <c r="B153" s="334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5" customFormat="1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5" customFormat="1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2:15" customFormat="1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5967559052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2:15" customFormat="1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10316378373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2:15" customFormat="1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18575845</v>
      </c>
      <c r="J158" s="36" t="s">
        <v>39</v>
      </c>
      <c r="K158" s="73" t="str">
        <f>CONCATENATE("[",H150,"]")</f>
        <v>[0.93 * X]</v>
      </c>
      <c r="L158" s="61" t="s">
        <v>1129</v>
      </c>
    </row>
    <row r="159" spans="2:15" customFormat="1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68">
        <f>$V$21</f>
        <v>36684491</v>
      </c>
      <c r="J159" s="36" t="s">
        <v>39</v>
      </c>
      <c r="K159" s="71" t="str">
        <f>CONCATENATE("[",J150,"]")</f>
        <v>[0.93 * X]</v>
      </c>
      <c r="L159" s="61" t="s">
        <v>1129</v>
      </c>
    </row>
    <row r="160" spans="2:15" x14ac:dyDescent="0.35">
      <c r="I160" s="43"/>
    </row>
    <row r="162" spans="1:12" customFormat="1" x14ac:dyDescent="0.35">
      <c r="A162" s="42"/>
      <c r="B162" s="1224" t="s">
        <v>472</v>
      </c>
      <c r="C162" s="2"/>
      <c r="D162" s="2"/>
      <c r="E162" s="2"/>
      <c r="F162" s="2"/>
      <c r="G162" s="2"/>
      <c r="H162" s="3"/>
    </row>
    <row r="163" spans="1:12" customFormat="1" x14ac:dyDescent="0.35">
      <c r="A163" s="42"/>
      <c r="B163" s="1225" t="str">
        <f>$A$4</f>
        <v>SC9 Rate I</v>
      </c>
      <c r="C163" s="2"/>
      <c r="D163" s="2"/>
      <c r="E163" s="2"/>
      <c r="F163" s="2"/>
      <c r="G163" s="2"/>
      <c r="I163" s="69" t="s">
        <v>44</v>
      </c>
    </row>
    <row r="164" spans="1:12" customFormat="1" x14ac:dyDescent="0.35">
      <c r="A164" s="42"/>
      <c r="B164" s="2" t="s">
        <v>2152</v>
      </c>
      <c r="C164" s="2"/>
      <c r="D164" s="2"/>
      <c r="E164" s="2"/>
      <c r="F164" s="2"/>
      <c r="G164" s="2"/>
      <c r="I164" s="68">
        <f>$V$6</f>
        <v>5967559052</v>
      </c>
      <c r="J164" s="65" t="s">
        <v>32</v>
      </c>
      <c r="K164" s="61" t="s">
        <v>1801</v>
      </c>
    </row>
    <row r="165" spans="1:12" customFormat="1" x14ac:dyDescent="0.35">
      <c r="A165" s="42"/>
      <c r="B165" s="2" t="s">
        <v>2153</v>
      </c>
      <c r="C165" s="2"/>
      <c r="D165" s="2"/>
      <c r="E165" s="2"/>
      <c r="F165" s="2"/>
      <c r="G165" s="2"/>
      <c r="I165" s="68">
        <f>$V$11</f>
        <v>10316378373</v>
      </c>
      <c r="J165" s="65" t="s">
        <v>32</v>
      </c>
      <c r="K165" s="61" t="s">
        <v>1802</v>
      </c>
    </row>
    <row r="166" spans="1:12" customFormat="1" x14ac:dyDescent="0.35">
      <c r="A166" s="42"/>
      <c r="B166" s="2" t="s">
        <v>2154</v>
      </c>
      <c r="C166" s="2"/>
      <c r="D166" s="2"/>
      <c r="E166" s="2"/>
      <c r="F166" s="2"/>
      <c r="G166" s="2"/>
      <c r="I166" s="68">
        <f>$V$16</f>
        <v>18575845</v>
      </c>
      <c r="J166" s="65" t="s">
        <v>32</v>
      </c>
      <c r="K166" s="61" t="s">
        <v>1803</v>
      </c>
    </row>
    <row r="167" spans="1:12" customFormat="1" x14ac:dyDescent="0.35">
      <c r="A167" s="42"/>
      <c r="B167" s="2" t="s">
        <v>2155</v>
      </c>
      <c r="C167" s="2"/>
      <c r="D167" s="2"/>
      <c r="E167" s="2"/>
      <c r="F167" s="2"/>
      <c r="G167" s="2"/>
      <c r="I167" s="67">
        <f>$V$21</f>
        <v>36684491</v>
      </c>
      <c r="J167" s="65" t="s">
        <v>32</v>
      </c>
      <c r="K167" s="61" t="s">
        <v>1804</v>
      </c>
    </row>
    <row r="168" spans="1:12" customFormat="1" x14ac:dyDescent="0.35">
      <c r="A168" s="42"/>
      <c r="B168" s="2" t="s">
        <v>2156</v>
      </c>
      <c r="C168" s="2"/>
      <c r="D168" s="2"/>
      <c r="E168" s="2"/>
      <c r="F168" s="1"/>
      <c r="G168" s="520">
        <f>I138</f>
        <v>342962711</v>
      </c>
      <c r="H168" s="63" t="s">
        <v>31</v>
      </c>
      <c r="I168" s="28">
        <f>SUM(I164:I167)</f>
        <v>16339197761</v>
      </c>
      <c r="J168" s="65" t="s">
        <v>32</v>
      </c>
      <c r="K168" s="61" t="s">
        <v>1805</v>
      </c>
    </row>
    <row r="169" spans="1:12" customFormat="1" x14ac:dyDescent="0.35">
      <c r="A169" s="42"/>
      <c r="B169" s="3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3"/>
      <c r="C170" s="3"/>
      <c r="D170" s="3"/>
      <c r="E170" s="3"/>
      <c r="G170" s="34">
        <f>G168</f>
        <v>342962711</v>
      </c>
      <c r="H170" s="63" t="s">
        <v>31</v>
      </c>
      <c r="I170" s="28">
        <f>I168</f>
        <v>16339197761</v>
      </c>
      <c r="J170" s="65" t="s">
        <v>32</v>
      </c>
      <c r="K170" s="61" t="s">
        <v>1806</v>
      </c>
    </row>
    <row r="171" spans="1:12" customFormat="1" ht="15" thickBot="1" x14ac:dyDescent="0.4">
      <c r="A171" s="42"/>
      <c r="B171" s="3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950">
        <f>ROUND(G170/I170,4)</f>
        <v>2.1000000000000001E-2</v>
      </c>
      <c r="J172" s="61" t="s">
        <v>1141</v>
      </c>
      <c r="K172" s="597" t="s">
        <v>1807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13" t="s">
        <v>29</v>
      </c>
      <c r="J175" s="1314"/>
      <c r="K175" s="1315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969"/>
      <c r="J177" s="52"/>
      <c r="K177" s="51"/>
      <c r="L177" s="48"/>
    </row>
    <row r="178" spans="1:17" x14ac:dyDescent="0.35">
      <c r="F178" s="50"/>
      <c r="G178" s="44" t="s">
        <v>9</v>
      </c>
      <c r="H178" s="44" t="str">
        <f>CONCATENATE(D144,E144,F144," kWhr")</f>
        <v>0-15000 kWhr</v>
      </c>
      <c r="I178" s="969">
        <f>ROUND($I$172*L144,4)</f>
        <v>2.1000000000000001E-2</v>
      </c>
      <c r="J178" s="54" t="s">
        <v>1808</v>
      </c>
      <c r="K178" s="971">
        <f>I172</f>
        <v>2.1000000000000001E-2</v>
      </c>
      <c r="L178" s="972" t="s">
        <v>1141</v>
      </c>
    </row>
    <row r="179" spans="1:17" x14ac:dyDescent="0.35">
      <c r="F179" s="50"/>
      <c r="G179" s="44"/>
      <c r="H179" s="44" t="str">
        <f>CONCATENATE(D145,E145,F145," kWhr")</f>
        <v>&gt;15000 kWhr</v>
      </c>
      <c r="I179" s="969">
        <f>ROUND($I$172*L145,4)</f>
        <v>2.1000000000000001E-2</v>
      </c>
      <c r="J179" s="54" t="s">
        <v>1809</v>
      </c>
      <c r="K179" s="969">
        <f>ROUND($I$172*N145,4)</f>
        <v>2.1000000000000001E-2</v>
      </c>
      <c r="L179" s="359" t="s">
        <v>1812</v>
      </c>
    </row>
    <row r="180" spans="1:17" x14ac:dyDescent="0.35">
      <c r="F180" s="50"/>
      <c r="G180" s="44" t="s">
        <v>8</v>
      </c>
      <c r="H180" s="44" t="str">
        <f>H178</f>
        <v>0-15000 kWhr</v>
      </c>
      <c r="I180" s="969">
        <f>ROUND($I$172*L146,4)</f>
        <v>1.95E-2</v>
      </c>
      <c r="J180" s="54" t="s">
        <v>1810</v>
      </c>
      <c r="K180" s="969">
        <f>ROUND($I$172*N146,4)</f>
        <v>1.95E-2</v>
      </c>
      <c r="L180" s="359" t="s">
        <v>1813</v>
      </c>
    </row>
    <row r="181" spans="1:17" ht="15" thickBot="1" x14ac:dyDescent="0.4">
      <c r="F181" s="47"/>
      <c r="G181" s="46"/>
      <c r="H181" s="46" t="str">
        <f>H179</f>
        <v>&gt;15000 kWhr</v>
      </c>
      <c r="I181" s="970">
        <f>ROUND($I$172*L147,4)</f>
        <v>1.95E-2</v>
      </c>
      <c r="J181" s="92" t="s">
        <v>1811</v>
      </c>
      <c r="K181" s="970">
        <f>ROUND($I$172*N147,4)</f>
        <v>1.95E-2</v>
      </c>
      <c r="L181" s="973" t="s">
        <v>1814</v>
      </c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334" t="s">
        <v>1539</v>
      </c>
    </row>
    <row r="184" spans="1:17" x14ac:dyDescent="0.35">
      <c r="A184" s="42"/>
    </row>
    <row r="185" spans="1:17" x14ac:dyDescent="0.35">
      <c r="A185" s="42"/>
      <c r="B185" s="41" t="str">
        <f>$A$4</f>
        <v>SC9 Rate I</v>
      </c>
    </row>
    <row r="186" spans="1:17" x14ac:dyDescent="0.35">
      <c r="A186" s="3"/>
      <c r="B186" s="407" t="s">
        <v>5</v>
      </c>
      <c r="D186" s="1304">
        <f>L4</f>
        <v>2020</v>
      </c>
      <c r="E186" s="1304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121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219" t="s">
        <v>14</v>
      </c>
      <c r="N188" s="3"/>
      <c r="O188" s="3"/>
      <c r="P188" s="2"/>
    </row>
    <row r="189" spans="1:17" x14ac:dyDescent="0.35">
      <c r="C189" s="835" t="s">
        <v>27</v>
      </c>
      <c r="D189" s="410"/>
      <c r="E189" s="410"/>
      <c r="F189" s="410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219" t="s">
        <v>6</v>
      </c>
      <c r="N189" s="3"/>
      <c r="O189" s="3"/>
      <c r="P189" s="2"/>
      <c r="Q189" s="2"/>
    </row>
    <row r="190" spans="1:17" x14ac:dyDescent="0.35">
      <c r="B190" s="3"/>
      <c r="C190" s="410" t="s">
        <v>9</v>
      </c>
      <c r="D190" s="272">
        <f>D63</f>
        <v>0</v>
      </c>
      <c r="E190" s="272" t="str">
        <f>E63</f>
        <v>-</v>
      </c>
      <c r="F190" s="272">
        <f>F63</f>
        <v>5</v>
      </c>
      <c r="G190" s="29">
        <f>T6</f>
        <v>24283.037279249718</v>
      </c>
      <c r="H190" s="3"/>
      <c r="I190" s="29">
        <f>U6</f>
        <v>2575135</v>
      </c>
      <c r="J190" s="28"/>
      <c r="K190" s="35">
        <f>H120</f>
        <v>176.77</v>
      </c>
      <c r="L190" s="3"/>
      <c r="M190" s="278">
        <f>ROUND(K190*(I190/F190),0)</f>
        <v>91041323</v>
      </c>
      <c r="N190" s="3"/>
      <c r="O190" s="3"/>
      <c r="P190" s="2"/>
      <c r="Q190" s="2"/>
    </row>
    <row r="191" spans="1:17" x14ac:dyDescent="0.35">
      <c r="B191" s="3"/>
      <c r="C191" s="410"/>
      <c r="D191" s="272">
        <f t="shared" ref="D191:F191" si="4">D64</f>
        <v>5</v>
      </c>
      <c r="E191" s="272" t="str">
        <f t="shared" si="4"/>
        <v>-</v>
      </c>
      <c r="F191" s="272">
        <f t="shared" si="4"/>
        <v>100</v>
      </c>
      <c r="G191" s="29">
        <f>T7</f>
        <v>463127.78306230035</v>
      </c>
      <c r="H191" s="3"/>
      <c r="I191" s="29">
        <f>U7</f>
        <v>10355085</v>
      </c>
      <c r="J191" s="28"/>
      <c r="K191" s="35">
        <f t="shared" ref="K191:K192" si="5">H121</f>
        <v>25.83</v>
      </c>
      <c r="L191" s="3"/>
      <c r="M191" s="278">
        <f>ROUND(K191*I191,0)</f>
        <v>267471846</v>
      </c>
      <c r="N191" s="3"/>
      <c r="O191" s="3"/>
      <c r="P191" s="2"/>
      <c r="Q191" s="2"/>
    </row>
    <row r="192" spans="1:17" x14ac:dyDescent="0.35">
      <c r="B192" s="3"/>
      <c r="C192" s="410"/>
      <c r="D192" s="272"/>
      <c r="E192" s="272" t="str">
        <f t="shared" ref="E192:F192" si="6">E65</f>
        <v>&gt;</v>
      </c>
      <c r="F192" s="272">
        <f t="shared" si="6"/>
        <v>100</v>
      </c>
      <c r="G192" s="38">
        <f>T8</f>
        <v>27616.179658449917</v>
      </c>
      <c r="H192" s="3"/>
      <c r="I192" s="38">
        <f>U8</f>
        <v>4265301</v>
      </c>
      <c r="J192" s="28"/>
      <c r="K192" s="35">
        <f t="shared" si="5"/>
        <v>25.83</v>
      </c>
      <c r="L192" s="3"/>
      <c r="M192" s="279">
        <f>ROUND(K192*I192,0)</f>
        <v>110172725</v>
      </c>
      <c r="N192" s="3"/>
      <c r="O192" s="3"/>
      <c r="P192" s="2"/>
      <c r="Q192" s="2"/>
    </row>
    <row r="193" spans="2:17" x14ac:dyDescent="0.35">
      <c r="B193" s="3"/>
      <c r="C193" s="410"/>
      <c r="D193" s="272"/>
      <c r="E193" s="272"/>
      <c r="F193" s="272"/>
      <c r="G193" s="28">
        <f>G190+G191+G192</f>
        <v>515026.99999999994</v>
      </c>
      <c r="H193" s="3"/>
      <c r="I193" s="28">
        <f>I190+I191+I192</f>
        <v>17195521</v>
      </c>
      <c r="J193" s="3"/>
      <c r="K193" s="35"/>
      <c r="L193" s="3"/>
      <c r="M193" s="277">
        <f>M190+M191+M192</f>
        <v>468685894</v>
      </c>
      <c r="N193" s="34"/>
      <c r="O193" s="36" t="s">
        <v>10</v>
      </c>
      <c r="P193" s="2"/>
      <c r="Q193" s="2"/>
    </row>
    <row r="194" spans="2:17" x14ac:dyDescent="0.35">
      <c r="B194" s="3"/>
      <c r="C194" s="410"/>
      <c r="D194" s="272"/>
      <c r="E194" s="272"/>
      <c r="F194" s="272"/>
      <c r="G194" s="28"/>
      <c r="H194" s="3"/>
      <c r="I194" s="28"/>
      <c r="J194" s="3"/>
      <c r="K194" s="35"/>
      <c r="L194" s="33" t="s">
        <v>22</v>
      </c>
      <c r="M194" s="277">
        <f>ROUND(M193*(O194-1),0)</f>
        <v>5586736</v>
      </c>
      <c r="N194" s="33" t="s">
        <v>23</v>
      </c>
      <c r="O194" s="108">
        <f>L10</f>
        <v>1.0119199999999999</v>
      </c>
      <c r="P194" s="2"/>
      <c r="Q194" s="2"/>
    </row>
    <row r="195" spans="2:17" x14ac:dyDescent="0.35">
      <c r="B195" s="3"/>
      <c r="C195" s="410"/>
      <c r="D195" s="272"/>
      <c r="E195" s="272"/>
      <c r="F195" s="272"/>
      <c r="G195" s="28"/>
      <c r="H195" s="3"/>
      <c r="I195" s="28"/>
      <c r="J195" s="3"/>
      <c r="K195" s="35"/>
      <c r="L195" s="33" t="s">
        <v>21</v>
      </c>
      <c r="M195" s="599">
        <f>M193+M194</f>
        <v>474272630</v>
      </c>
      <c r="N195" s="8"/>
      <c r="O195" s="3"/>
      <c r="P195" s="2"/>
      <c r="Q195" s="2"/>
    </row>
    <row r="196" spans="2:17" x14ac:dyDescent="0.35">
      <c r="B196" s="3"/>
      <c r="C196" s="410"/>
      <c r="D196" s="410"/>
      <c r="E196" s="410"/>
      <c r="F196" s="410"/>
      <c r="G196" s="3"/>
      <c r="H196" s="3"/>
      <c r="I196" s="3"/>
      <c r="J196" s="3"/>
      <c r="K196" s="3"/>
      <c r="L196" s="3"/>
      <c r="M196" s="2"/>
      <c r="N196" s="3"/>
      <c r="O196" s="3"/>
      <c r="P196" s="2"/>
      <c r="Q196" s="2"/>
    </row>
    <row r="197" spans="2:17" x14ac:dyDescent="0.35">
      <c r="B197" s="3"/>
      <c r="C197" s="410" t="s">
        <v>8</v>
      </c>
      <c r="D197" s="272">
        <f t="shared" ref="D197:F198" si="7">D190</f>
        <v>0</v>
      </c>
      <c r="E197" s="272" t="str">
        <f t="shared" si="7"/>
        <v>-</v>
      </c>
      <c r="F197" s="272">
        <f t="shared" si="7"/>
        <v>5</v>
      </c>
      <c r="G197" s="29">
        <f>T16</f>
        <v>0</v>
      </c>
      <c r="H197" s="3"/>
      <c r="I197" s="29">
        <f>U16</f>
        <v>900</v>
      </c>
      <c r="J197" s="28"/>
      <c r="K197" s="35">
        <f>H124</f>
        <v>136.66</v>
      </c>
      <c r="L197" s="3"/>
      <c r="M197" s="278">
        <f>ROUND(K197*(I197/F197),0)</f>
        <v>24599</v>
      </c>
      <c r="N197" s="3"/>
      <c r="O197" s="3"/>
      <c r="P197" s="2"/>
      <c r="Q197" s="2"/>
    </row>
    <row r="198" spans="2:17" x14ac:dyDescent="0.35">
      <c r="B198" s="3"/>
      <c r="C198" s="410"/>
      <c r="D198" s="272">
        <f t="shared" si="7"/>
        <v>5</v>
      </c>
      <c r="E198" s="272" t="str">
        <f t="shared" si="7"/>
        <v>-</v>
      </c>
      <c r="F198" s="272">
        <f t="shared" si="7"/>
        <v>100</v>
      </c>
      <c r="G198" s="29">
        <f>T17</f>
        <v>60.319148936170215</v>
      </c>
      <c r="H198" s="3"/>
      <c r="I198" s="29">
        <f>U17</f>
        <v>12963</v>
      </c>
      <c r="J198" s="28"/>
      <c r="K198" s="35">
        <f t="shared" ref="K198:K199" si="8">H125</f>
        <v>19.59</v>
      </c>
      <c r="L198" s="3"/>
      <c r="M198" s="278">
        <f>ROUND(K198*I198,0)</f>
        <v>253945</v>
      </c>
      <c r="N198" s="3"/>
      <c r="O198" s="3"/>
      <c r="P198" s="2"/>
      <c r="Q198" s="2"/>
    </row>
    <row r="199" spans="2:17" x14ac:dyDescent="0.35">
      <c r="B199" s="3"/>
      <c r="C199" s="410"/>
      <c r="D199" s="272"/>
      <c r="E199" s="272" t="str">
        <f>E192</f>
        <v>&gt;</v>
      </c>
      <c r="F199" s="272">
        <f>F192</f>
        <v>100</v>
      </c>
      <c r="G199" s="38">
        <f>T18</f>
        <v>119.68085106382979</v>
      </c>
      <c r="H199" s="3"/>
      <c r="I199" s="38">
        <f>U18</f>
        <v>36476</v>
      </c>
      <c r="J199" s="28"/>
      <c r="K199" s="35">
        <f t="shared" si="8"/>
        <v>19.59</v>
      </c>
      <c r="L199" s="3"/>
      <c r="M199" s="279">
        <f>ROUND(K199*I199,0)</f>
        <v>714565</v>
      </c>
      <c r="N199" s="3"/>
      <c r="O199" s="3"/>
      <c r="P199" s="2"/>
      <c r="Q199" s="2"/>
    </row>
    <row r="200" spans="2:17" x14ac:dyDescent="0.35">
      <c r="B200" s="3"/>
      <c r="C200" s="410"/>
      <c r="D200" s="272"/>
      <c r="E200" s="272"/>
      <c r="F200" s="272"/>
      <c r="G200" s="28">
        <f>G197+G198+G199</f>
        <v>180</v>
      </c>
      <c r="H200" s="3"/>
      <c r="I200" s="28">
        <f>I197+I198+I199</f>
        <v>50339</v>
      </c>
      <c r="J200" s="3"/>
      <c r="K200" s="35"/>
      <c r="L200" s="3"/>
      <c r="M200" s="277">
        <f>M197+M198+M199</f>
        <v>993109</v>
      </c>
      <c r="N200" s="3"/>
      <c r="O200" s="3"/>
      <c r="P200" s="2"/>
      <c r="Q200" s="2"/>
    </row>
    <row r="201" spans="2:17" x14ac:dyDescent="0.35">
      <c r="B201" s="3"/>
      <c r="C201" s="410"/>
      <c r="D201" s="272"/>
      <c r="E201" s="272"/>
      <c r="F201" s="272"/>
      <c r="G201" s="28"/>
      <c r="H201" s="3"/>
      <c r="I201" s="28"/>
      <c r="J201" s="3"/>
      <c r="K201" s="35"/>
      <c r="L201" s="33" t="s">
        <v>22</v>
      </c>
      <c r="M201" s="277">
        <f>ROUND(M200*(O194-1),0)</f>
        <v>11838</v>
      </c>
      <c r="N201" s="3"/>
      <c r="O201" s="3"/>
      <c r="P201" s="2"/>
      <c r="Q201" s="2"/>
    </row>
    <row r="202" spans="2:17" x14ac:dyDescent="0.35">
      <c r="B202" s="3"/>
      <c r="C202" s="410"/>
      <c r="D202" s="272"/>
      <c r="E202" s="272"/>
      <c r="F202" s="272"/>
      <c r="G202" s="28"/>
      <c r="H202" s="3"/>
      <c r="I202" s="28"/>
      <c r="J202" s="3"/>
      <c r="K202" s="35"/>
      <c r="L202" s="33" t="s">
        <v>21</v>
      </c>
      <c r="M202" s="599">
        <f>M200+M201</f>
        <v>1004947</v>
      </c>
      <c r="N202" s="8"/>
      <c r="O202" s="3"/>
      <c r="P202" s="2"/>
      <c r="Q202" s="2"/>
    </row>
    <row r="203" spans="2:17" x14ac:dyDescent="0.35">
      <c r="B203" s="3"/>
      <c r="C203" s="410"/>
      <c r="D203" s="410"/>
      <c r="E203" s="410"/>
      <c r="F203" s="410"/>
      <c r="G203" s="3"/>
      <c r="H203" s="3"/>
      <c r="I203" s="3"/>
      <c r="J203" s="3"/>
      <c r="K203" s="3"/>
      <c r="L203" s="3"/>
      <c r="M203" s="2"/>
      <c r="N203" s="3"/>
      <c r="O203" s="3"/>
      <c r="P203" s="2"/>
      <c r="Q203" s="2"/>
    </row>
    <row r="204" spans="2:17" x14ac:dyDescent="0.35">
      <c r="B204" s="3"/>
      <c r="C204" s="410"/>
      <c r="D204" s="410"/>
      <c r="E204" s="410"/>
      <c r="F204" s="410"/>
      <c r="G204" s="3"/>
      <c r="H204" s="3"/>
      <c r="I204" s="3"/>
      <c r="J204" s="3"/>
      <c r="K204" s="3"/>
      <c r="L204" s="3"/>
      <c r="M204" s="2"/>
      <c r="N204" s="3"/>
      <c r="O204" s="3"/>
      <c r="P204" s="2"/>
      <c r="Q204" s="2"/>
    </row>
    <row r="205" spans="2:17" x14ac:dyDescent="0.35">
      <c r="B205" s="3"/>
      <c r="C205" s="410"/>
      <c r="D205" s="410"/>
      <c r="E205" s="410"/>
      <c r="F205" s="410"/>
      <c r="G205" s="3"/>
      <c r="H205" s="3"/>
      <c r="I205" s="3"/>
      <c r="J205" s="3"/>
      <c r="K205" s="3"/>
      <c r="L205" s="3"/>
      <c r="M205" s="121" t="s">
        <v>7</v>
      </c>
      <c r="N205" s="17"/>
      <c r="O205" s="3"/>
      <c r="P205" s="2"/>
      <c r="Q205" s="2"/>
    </row>
    <row r="206" spans="2:17" x14ac:dyDescent="0.35">
      <c r="B206" s="3"/>
      <c r="C206" s="410"/>
      <c r="D206" s="410"/>
      <c r="E206" s="410"/>
      <c r="F206" s="410"/>
      <c r="G206" s="3"/>
      <c r="H206" s="3"/>
      <c r="I206" s="3"/>
      <c r="J206" s="3"/>
      <c r="K206" s="30" t="s">
        <v>15</v>
      </c>
      <c r="L206" s="3"/>
      <c r="M206" s="219" t="s">
        <v>14</v>
      </c>
      <c r="N206" s="17"/>
      <c r="O206" s="3"/>
      <c r="P206" s="2"/>
      <c r="Q206" s="2"/>
    </row>
    <row r="207" spans="2:17" x14ac:dyDescent="0.35">
      <c r="C207" s="835" t="s">
        <v>24</v>
      </c>
      <c r="D207" s="410"/>
      <c r="E207" s="410"/>
      <c r="F207" s="410"/>
      <c r="G207" s="3"/>
      <c r="H207" s="3"/>
      <c r="I207" s="3"/>
      <c r="J207" s="3"/>
      <c r="K207" s="30" t="s">
        <v>11</v>
      </c>
      <c r="L207" s="3"/>
      <c r="M207" s="219" t="s">
        <v>6</v>
      </c>
      <c r="N207" s="17"/>
      <c r="O207" s="3"/>
      <c r="P207" s="2"/>
      <c r="Q207" s="2"/>
    </row>
    <row r="208" spans="2:17" x14ac:dyDescent="0.35">
      <c r="B208" s="3"/>
      <c r="C208" s="410" t="s">
        <v>9</v>
      </c>
      <c r="D208" s="272">
        <f t="shared" ref="D208:F209" si="9">D190</f>
        <v>0</v>
      </c>
      <c r="E208" s="272" t="str">
        <f t="shared" si="9"/>
        <v>-</v>
      </c>
      <c r="F208" s="272">
        <f t="shared" si="9"/>
        <v>5</v>
      </c>
      <c r="G208" s="29">
        <f>T11</f>
        <v>68583.997485784668</v>
      </c>
      <c r="H208" s="3"/>
      <c r="I208" s="29">
        <f>U11</f>
        <v>5147035</v>
      </c>
      <c r="J208" s="28"/>
      <c r="K208" s="35">
        <f>J120</f>
        <v>141.21</v>
      </c>
      <c r="L208" s="3"/>
      <c r="M208" s="278">
        <f>ROUND(K208*(I208/F208),0)</f>
        <v>145362562</v>
      </c>
      <c r="N208" s="17"/>
      <c r="O208" s="3"/>
      <c r="P208" s="2"/>
      <c r="Q208" s="2"/>
    </row>
    <row r="209" spans="2:17" x14ac:dyDescent="0.35">
      <c r="B209" s="3"/>
      <c r="C209" s="410"/>
      <c r="D209" s="272">
        <f t="shared" si="9"/>
        <v>5</v>
      </c>
      <c r="E209" s="272" t="str">
        <f t="shared" si="9"/>
        <v>-</v>
      </c>
      <c r="F209" s="272">
        <f t="shared" si="9"/>
        <v>100</v>
      </c>
      <c r="G209" s="29">
        <f>T12</f>
        <v>914598.30826242268</v>
      </c>
      <c r="H209" s="3"/>
      <c r="I209" s="29">
        <f>U12</f>
        <v>18151598</v>
      </c>
      <c r="J209" s="28"/>
      <c r="K209" s="35">
        <f t="shared" ref="K209:K210" si="10">J121</f>
        <v>20.399999999999999</v>
      </c>
      <c r="L209" s="3"/>
      <c r="M209" s="278">
        <f>ROUND(K209*I209,0)</f>
        <v>370292599</v>
      </c>
      <c r="N209" s="17"/>
      <c r="O209" s="3"/>
      <c r="P209" s="2"/>
      <c r="Q209" s="2"/>
    </row>
    <row r="210" spans="2:17" x14ac:dyDescent="0.35">
      <c r="B210" s="3"/>
      <c r="C210" s="410"/>
      <c r="D210" s="272"/>
      <c r="E210" s="272" t="str">
        <f>E192</f>
        <v>&gt;</v>
      </c>
      <c r="F210" s="272">
        <f>F192</f>
        <v>100</v>
      </c>
      <c r="G210" s="38">
        <f>T13</f>
        <v>46224.694251792644</v>
      </c>
      <c r="H210" s="3"/>
      <c r="I210" s="38">
        <f>U13</f>
        <v>6426438</v>
      </c>
      <c r="J210" s="28"/>
      <c r="K210" s="35">
        <f t="shared" si="10"/>
        <v>20.399999999999999</v>
      </c>
      <c r="L210" s="3"/>
      <c r="M210" s="279">
        <f>ROUND(K210*I210,0)</f>
        <v>131099335</v>
      </c>
      <c r="N210" s="17"/>
      <c r="O210" s="3"/>
      <c r="P210" s="2"/>
      <c r="Q210" s="2"/>
    </row>
    <row r="211" spans="2:17" x14ac:dyDescent="0.35">
      <c r="B211" s="3"/>
      <c r="C211" s="410"/>
      <c r="D211" s="272"/>
      <c r="E211" s="272"/>
      <c r="F211" s="272"/>
      <c r="G211" s="28">
        <f>G208+G209+G210</f>
        <v>1029407</v>
      </c>
      <c r="H211" s="3"/>
      <c r="I211" s="28">
        <f>I208+I209+I210</f>
        <v>29725071</v>
      </c>
      <c r="J211" s="3"/>
      <c r="K211" s="35"/>
      <c r="L211" s="3"/>
      <c r="M211" s="277">
        <f>M208+M209+M210</f>
        <v>646754496</v>
      </c>
      <c r="N211" s="3"/>
      <c r="O211" s="36" t="s">
        <v>7</v>
      </c>
      <c r="P211" s="2"/>
      <c r="Q211" s="2"/>
    </row>
    <row r="212" spans="2:17" x14ac:dyDescent="0.35">
      <c r="B212" s="3"/>
      <c r="C212" s="410"/>
      <c r="D212" s="272"/>
      <c r="E212" s="272"/>
      <c r="F212" s="272"/>
      <c r="G212" s="28"/>
      <c r="H212" s="3"/>
      <c r="I212" s="28"/>
      <c r="J212" s="3"/>
      <c r="K212" s="35"/>
      <c r="L212" s="33" t="s">
        <v>22</v>
      </c>
      <c r="M212" s="277">
        <f>ROUND(M211*(O212-1),0)</f>
        <v>6900870</v>
      </c>
      <c r="N212" s="33" t="s">
        <v>23</v>
      </c>
      <c r="O212" s="108">
        <f>L11</f>
        <v>1.01067</v>
      </c>
      <c r="P212" s="2"/>
      <c r="Q212" s="2"/>
    </row>
    <row r="213" spans="2:17" x14ac:dyDescent="0.35">
      <c r="B213" s="3"/>
      <c r="C213" s="410"/>
      <c r="D213" s="272"/>
      <c r="E213" s="272"/>
      <c r="F213" s="272"/>
      <c r="G213" s="28"/>
      <c r="H213" s="3"/>
      <c r="I213" s="28"/>
      <c r="J213" s="3"/>
      <c r="K213" s="35"/>
      <c r="L213" s="33" t="s">
        <v>21</v>
      </c>
      <c r="M213" s="830">
        <f>M211+M212</f>
        <v>653655366</v>
      </c>
      <c r="N213" s="8"/>
      <c r="O213" s="3"/>
      <c r="P213" s="2"/>
      <c r="Q213" s="2"/>
    </row>
    <row r="214" spans="2:17" x14ac:dyDescent="0.35">
      <c r="B214" s="3"/>
      <c r="C214" s="410"/>
      <c r="D214" s="410"/>
      <c r="E214" s="410"/>
      <c r="F214" s="410"/>
      <c r="G214" s="3"/>
      <c r="H214" s="3"/>
      <c r="I214" s="3"/>
      <c r="J214" s="3"/>
      <c r="K214" s="3"/>
      <c r="L214" s="3"/>
      <c r="M214" s="392"/>
      <c r="N214" s="3"/>
      <c r="O214" s="3"/>
      <c r="P214" s="2"/>
      <c r="Q214" s="2"/>
    </row>
    <row r="215" spans="2:17" x14ac:dyDescent="0.35">
      <c r="B215" s="3"/>
      <c r="C215" s="410" t="s">
        <v>8</v>
      </c>
      <c r="D215" s="272">
        <f t="shared" ref="D215:F216" si="11">D190</f>
        <v>0</v>
      </c>
      <c r="E215" s="272" t="str">
        <f t="shared" si="11"/>
        <v>-</v>
      </c>
      <c r="F215" s="272">
        <f t="shared" si="11"/>
        <v>5</v>
      </c>
      <c r="G215" s="29">
        <f>T21</f>
        <v>1.9111111111111112</v>
      </c>
      <c r="H215" s="3"/>
      <c r="I215" s="29">
        <f>U21</f>
        <v>1720</v>
      </c>
      <c r="J215" s="28"/>
      <c r="K215" s="35">
        <f>J124</f>
        <v>101.15</v>
      </c>
      <c r="L215" s="3"/>
      <c r="M215" s="524">
        <f>ROUND(K215*(I215/F215),0)</f>
        <v>34796</v>
      </c>
      <c r="N215" s="17"/>
      <c r="O215" s="3"/>
      <c r="P215" s="2"/>
      <c r="Q215" s="2"/>
    </row>
    <row r="216" spans="2:17" x14ac:dyDescent="0.35">
      <c r="B216" s="3"/>
      <c r="C216" s="410"/>
      <c r="D216" s="272">
        <f t="shared" si="11"/>
        <v>5</v>
      </c>
      <c r="E216" s="272" t="str">
        <f t="shared" si="11"/>
        <v>-</v>
      </c>
      <c r="F216" s="272">
        <f t="shared" si="11"/>
        <v>100</v>
      </c>
      <c r="G216" s="29">
        <f>T22</f>
        <v>114.66666666666666</v>
      </c>
      <c r="H216" s="3"/>
      <c r="I216" s="29">
        <f>U22</f>
        <v>24758</v>
      </c>
      <c r="J216" s="28"/>
      <c r="K216" s="35">
        <f t="shared" ref="K216:K217" si="12">J125</f>
        <v>14.139999999999999</v>
      </c>
      <c r="L216" s="3"/>
      <c r="M216" s="524">
        <f>ROUND(K216*I216,0)</f>
        <v>350078</v>
      </c>
      <c r="N216" s="17"/>
      <c r="O216" s="3"/>
      <c r="P216" s="2"/>
      <c r="Q216" s="2"/>
    </row>
    <row r="217" spans="2:17" x14ac:dyDescent="0.35">
      <c r="B217" s="3"/>
      <c r="C217" s="410"/>
      <c r="D217" s="272"/>
      <c r="E217" s="272" t="str">
        <f>E192</f>
        <v>&gt;</v>
      </c>
      <c r="F217" s="272">
        <f>F192</f>
        <v>100</v>
      </c>
      <c r="G217" s="38">
        <f>T23</f>
        <v>227.42222222222222</v>
      </c>
      <c r="H217" s="3"/>
      <c r="I217" s="38">
        <f>U23</f>
        <v>67386</v>
      </c>
      <c r="J217" s="28"/>
      <c r="K217" s="35">
        <f t="shared" si="12"/>
        <v>14.139999999999999</v>
      </c>
      <c r="L217" s="3"/>
      <c r="M217" s="831">
        <f>ROUND(K217*I217,0)</f>
        <v>952838</v>
      </c>
      <c r="N217" s="17"/>
      <c r="O217" s="3"/>
      <c r="P217" s="2"/>
      <c r="Q217" s="2"/>
    </row>
    <row r="218" spans="2:17" x14ac:dyDescent="0.35">
      <c r="B218" s="3"/>
      <c r="C218" s="410"/>
      <c r="D218" s="272"/>
      <c r="E218" s="272"/>
      <c r="F218" s="272"/>
      <c r="G218" s="28">
        <f>G215+G216+G217</f>
        <v>344</v>
      </c>
      <c r="H218" s="3"/>
      <c r="I218" s="28">
        <f>I215+I216+I217</f>
        <v>93864</v>
      </c>
      <c r="J218" s="3"/>
      <c r="K218" s="35"/>
      <c r="L218" s="3"/>
      <c r="M218" s="832">
        <f>M215+M216+M217</f>
        <v>1337712</v>
      </c>
      <c r="N218" s="17"/>
      <c r="O218" s="3"/>
      <c r="P218" s="2"/>
      <c r="Q218" s="2"/>
    </row>
    <row r="219" spans="2:17" x14ac:dyDescent="0.35">
      <c r="B219" s="3"/>
      <c r="C219" s="410"/>
      <c r="D219" s="410"/>
      <c r="E219" s="410"/>
      <c r="F219" s="410"/>
      <c r="G219" s="3"/>
      <c r="H219" s="3"/>
      <c r="I219" s="3"/>
      <c r="J219" s="3"/>
      <c r="K219" s="3"/>
      <c r="L219" s="33" t="s">
        <v>22</v>
      </c>
      <c r="M219" s="832">
        <f>ROUND(M218*(O212-1),0)</f>
        <v>14273</v>
      </c>
      <c r="N219" s="17"/>
      <c r="O219" s="3"/>
      <c r="P219" s="2"/>
      <c r="Q219" s="2"/>
    </row>
    <row r="220" spans="2:17" x14ac:dyDescent="0.35">
      <c r="B220" s="3"/>
      <c r="C220" s="410"/>
      <c r="D220" s="410"/>
      <c r="E220" s="410"/>
      <c r="F220" s="410"/>
      <c r="G220" s="3"/>
      <c r="H220" s="3"/>
      <c r="I220" s="3"/>
      <c r="J220" s="3"/>
      <c r="K220" s="3"/>
      <c r="L220" s="33" t="s">
        <v>21</v>
      </c>
      <c r="M220" s="830">
        <f>M218+M219</f>
        <v>1351985</v>
      </c>
      <c r="N220" s="8"/>
      <c r="O220" s="3"/>
      <c r="P220" s="2"/>
      <c r="Q220" s="2"/>
    </row>
    <row r="221" spans="2:17" ht="15" thickBot="1" x14ac:dyDescent="0.4">
      <c r="B221" s="3"/>
      <c r="C221" s="410"/>
      <c r="D221" s="410"/>
      <c r="E221" s="410"/>
      <c r="F221" s="410"/>
      <c r="G221" s="3"/>
      <c r="H221" s="3"/>
      <c r="I221" s="3"/>
      <c r="J221" s="3"/>
      <c r="K221" s="3"/>
      <c r="L221" s="3"/>
      <c r="M221" s="392"/>
      <c r="N221" s="3"/>
      <c r="O221" s="3"/>
      <c r="P221" s="2"/>
      <c r="Q221" s="2"/>
    </row>
    <row r="222" spans="2:17" ht="15.5" thickTop="1" thickBot="1" x14ac:dyDescent="0.4">
      <c r="B222" s="3"/>
      <c r="C222" s="837" t="str">
        <f>CONCATENATE($A$4," - Total Annual Demand Charge Incl EDB:")</f>
        <v>SC9 Rate I - Total Annual Demand Charge Incl EDB:</v>
      </c>
      <c r="D222" s="410"/>
      <c r="E222" s="410"/>
      <c r="F222" s="410"/>
      <c r="G222" s="3"/>
      <c r="H222" s="3"/>
      <c r="I222" s="3"/>
      <c r="J222" s="3"/>
      <c r="K222" s="3"/>
      <c r="L222" s="3"/>
      <c r="M222" s="821">
        <f>M195+M202+M213+M220</f>
        <v>1130284928</v>
      </c>
      <c r="N222" s="17"/>
      <c r="O222" s="3"/>
      <c r="P222" s="2"/>
      <c r="Q222" s="2"/>
    </row>
    <row r="223" spans="2:17" ht="15" thickTop="1" x14ac:dyDescent="0.35">
      <c r="B223" s="3"/>
      <c r="C223" s="410"/>
      <c r="D223" s="410"/>
      <c r="E223" s="410"/>
      <c r="F223" s="410"/>
      <c r="G223" s="3"/>
      <c r="H223" s="3"/>
      <c r="I223" s="3"/>
      <c r="J223" s="3"/>
      <c r="K223" s="3"/>
      <c r="L223" s="3"/>
      <c r="M223" s="410"/>
      <c r="N223" s="17"/>
      <c r="O223" s="3"/>
      <c r="P223" s="2"/>
      <c r="Q223" s="2"/>
    </row>
    <row r="224" spans="2:17" x14ac:dyDescent="0.35">
      <c r="B224" s="3"/>
      <c r="C224" s="410"/>
      <c r="D224" s="410"/>
      <c r="E224" s="410"/>
      <c r="F224" s="410"/>
      <c r="G224" s="3"/>
      <c r="H224" s="3"/>
      <c r="I224" s="3"/>
      <c r="J224" s="3"/>
      <c r="K224" s="30" t="s">
        <v>15</v>
      </c>
      <c r="L224" s="3"/>
      <c r="M224" s="536" t="s">
        <v>14</v>
      </c>
      <c r="N224" s="17"/>
      <c r="O224" s="3"/>
      <c r="P224" s="2"/>
      <c r="Q224" s="2"/>
    </row>
    <row r="225" spans="2:17" x14ac:dyDescent="0.35">
      <c r="B225" s="3"/>
      <c r="C225" s="835" t="s">
        <v>13</v>
      </c>
      <c r="D225" s="410"/>
      <c r="E225" s="410"/>
      <c r="F225" s="410"/>
      <c r="G225" s="3"/>
      <c r="H225" s="3"/>
      <c r="I225" s="30" t="s">
        <v>12</v>
      </c>
      <c r="J225" s="3"/>
      <c r="K225" s="30" t="s">
        <v>11</v>
      </c>
      <c r="L225" s="3"/>
      <c r="M225" s="536" t="s">
        <v>6</v>
      </c>
      <c r="N225" s="17"/>
      <c r="O225" s="3"/>
      <c r="P225" s="2"/>
      <c r="Q225" s="2"/>
    </row>
    <row r="226" spans="2:17" x14ac:dyDescent="0.35">
      <c r="B226" s="3"/>
      <c r="C226" s="410" t="s">
        <v>9</v>
      </c>
      <c r="D226" s="410" t="s">
        <v>10</v>
      </c>
      <c r="E226" s="410"/>
      <c r="F226" s="410"/>
      <c r="G226" s="3"/>
      <c r="H226" s="3"/>
      <c r="I226" s="29">
        <f>V6</f>
        <v>5967559052</v>
      </c>
      <c r="J226" s="3"/>
      <c r="K226" s="27">
        <f>I178</f>
        <v>2.1000000000000001E-2</v>
      </c>
      <c r="L226" s="3"/>
      <c r="M226" s="825">
        <f>ROUND(I226*K226,0)</f>
        <v>125318740</v>
      </c>
      <c r="N226" s="17"/>
      <c r="O226" s="3"/>
      <c r="P226" s="2"/>
      <c r="Q226" s="2"/>
    </row>
    <row r="227" spans="2:17" x14ac:dyDescent="0.35">
      <c r="B227" s="3"/>
      <c r="C227" s="410"/>
      <c r="D227" s="410"/>
      <c r="E227" s="410"/>
      <c r="F227" s="410"/>
      <c r="G227" s="3"/>
      <c r="H227" s="3"/>
      <c r="I227" s="3"/>
      <c r="J227" s="3"/>
      <c r="K227" s="3"/>
      <c r="L227" s="3"/>
      <c r="M227" s="410"/>
      <c r="N227" s="3"/>
      <c r="O227" s="3"/>
      <c r="P227" s="2"/>
      <c r="Q227" s="2"/>
    </row>
    <row r="228" spans="2:17" x14ac:dyDescent="0.35">
      <c r="B228" s="3"/>
      <c r="C228" s="410" t="s">
        <v>8</v>
      </c>
      <c r="D228" s="410" t="s">
        <v>10</v>
      </c>
      <c r="E228" s="410"/>
      <c r="F228" s="410"/>
      <c r="G228" s="3"/>
      <c r="H228" s="3"/>
      <c r="I228" s="28">
        <f>V16</f>
        <v>18575845</v>
      </c>
      <c r="J228" s="3"/>
      <c r="K228" s="27">
        <f>I180</f>
        <v>1.95E-2</v>
      </c>
      <c r="L228" s="3"/>
      <c r="M228" s="825">
        <f>ROUND(I228*K228,0)</f>
        <v>362229</v>
      </c>
      <c r="N228" s="17"/>
      <c r="O228" s="3"/>
      <c r="P228" s="2"/>
      <c r="Q228" s="2"/>
    </row>
    <row r="229" spans="2:17" x14ac:dyDescent="0.35">
      <c r="B229" s="3"/>
      <c r="C229" s="410"/>
      <c r="D229" s="410"/>
      <c r="E229" s="410"/>
      <c r="F229" s="410"/>
      <c r="G229" s="3"/>
      <c r="H229" s="3"/>
      <c r="I229" s="3"/>
      <c r="J229" s="3"/>
      <c r="K229" s="3"/>
      <c r="L229" s="3"/>
      <c r="M229" s="410"/>
      <c r="N229" s="3"/>
      <c r="O229" s="3"/>
      <c r="P229" s="2"/>
      <c r="Q229" s="2"/>
    </row>
    <row r="230" spans="2:17" x14ac:dyDescent="0.35">
      <c r="B230" s="3"/>
      <c r="C230" s="410" t="s">
        <v>9</v>
      </c>
      <c r="D230" s="410" t="s">
        <v>7</v>
      </c>
      <c r="E230" s="410"/>
      <c r="F230" s="410"/>
      <c r="G230" s="3"/>
      <c r="H230" s="3"/>
      <c r="I230" s="28">
        <f>V11</f>
        <v>10316378373</v>
      </c>
      <c r="J230" s="3"/>
      <c r="K230" s="27">
        <f>K178</f>
        <v>2.1000000000000001E-2</v>
      </c>
      <c r="L230" s="3"/>
      <c r="M230" s="825">
        <f>ROUND(I230*K230,0)</f>
        <v>216643946</v>
      </c>
      <c r="N230" s="17"/>
      <c r="O230" s="3"/>
      <c r="P230" s="2"/>
      <c r="Q230" s="2"/>
    </row>
    <row r="231" spans="2:17" x14ac:dyDescent="0.35">
      <c r="B231" s="3"/>
      <c r="C231" s="410"/>
      <c r="D231" s="410"/>
      <c r="E231" s="410"/>
      <c r="F231" s="410"/>
      <c r="G231" s="3"/>
      <c r="H231" s="3"/>
      <c r="I231" s="3"/>
      <c r="J231" s="3"/>
      <c r="K231" s="3"/>
      <c r="L231" s="3"/>
      <c r="M231" s="410"/>
      <c r="N231" s="3"/>
      <c r="O231" s="3"/>
      <c r="P231" s="2"/>
      <c r="Q231" s="2"/>
    </row>
    <row r="232" spans="2:17" x14ac:dyDescent="0.35">
      <c r="B232" s="3"/>
      <c r="C232" s="410" t="s">
        <v>8</v>
      </c>
      <c r="D232" s="410" t="s">
        <v>7</v>
      </c>
      <c r="E232" s="410"/>
      <c r="F232" s="410"/>
      <c r="G232" s="3"/>
      <c r="H232" s="3"/>
      <c r="I232" s="28">
        <f>V21</f>
        <v>36684491</v>
      </c>
      <c r="J232" s="3"/>
      <c r="K232" s="27">
        <f>K180</f>
        <v>1.95E-2</v>
      </c>
      <c r="L232" s="3"/>
      <c r="M232" s="825">
        <f>ROUND(I232*K232,0)</f>
        <v>715348</v>
      </c>
      <c r="N232" s="17"/>
      <c r="O232" s="3"/>
      <c r="P232" s="2"/>
      <c r="Q232" s="2"/>
    </row>
    <row r="233" spans="2:17" ht="15" thickBot="1" x14ac:dyDescent="0.4">
      <c r="B233" s="3"/>
      <c r="C233" s="410"/>
      <c r="D233" s="410"/>
      <c r="E233" s="410"/>
      <c r="F233" s="410"/>
      <c r="G233" s="3"/>
      <c r="H233" s="3"/>
      <c r="I233" s="3"/>
      <c r="J233" s="3"/>
      <c r="K233" s="3"/>
      <c r="L233" s="3"/>
      <c r="M233" s="410"/>
      <c r="N233" s="17"/>
      <c r="O233" s="3"/>
      <c r="P233" s="2"/>
      <c r="Q233" s="2"/>
    </row>
    <row r="234" spans="2:17" ht="15.5" thickTop="1" thickBot="1" x14ac:dyDescent="0.4">
      <c r="B234" s="3"/>
      <c r="C234" s="837" t="str">
        <f>CONCATENATE($A$4," - Total Annual Energy Charge:")</f>
        <v>SC9 Rate I - Total Annual Energy Charge:</v>
      </c>
      <c r="D234" s="410"/>
      <c r="E234" s="410"/>
      <c r="F234" s="410"/>
      <c r="G234" s="3"/>
      <c r="H234" s="3"/>
      <c r="I234" s="3"/>
      <c r="J234" s="3"/>
      <c r="K234" s="3"/>
      <c r="L234" s="3"/>
      <c r="M234" s="821">
        <f>M226+M228+M230+M232</f>
        <v>343040263</v>
      </c>
      <c r="N234" s="17"/>
      <c r="O234" s="3"/>
      <c r="P234" s="2"/>
      <c r="Q234" s="2"/>
    </row>
    <row r="235" spans="2:17" ht="15.5" thickTop="1" thickBot="1" x14ac:dyDescent="0.4">
      <c r="B235" s="3"/>
      <c r="C235" s="410"/>
      <c r="D235" s="410"/>
      <c r="E235" s="410"/>
      <c r="F235" s="410"/>
      <c r="G235" s="3"/>
      <c r="H235" s="3"/>
      <c r="I235" s="3"/>
      <c r="J235" s="3"/>
      <c r="K235" s="3"/>
      <c r="L235" s="3"/>
      <c r="M235" s="410"/>
      <c r="N235" s="17"/>
      <c r="O235" s="3"/>
      <c r="P235" s="2"/>
      <c r="Q235" s="2"/>
    </row>
    <row r="236" spans="2:17" ht="15.5" thickTop="1" thickBot="1" x14ac:dyDescent="0.4">
      <c r="B236" s="3"/>
      <c r="C236" s="837" t="str">
        <f>CONCATENATE($A$4," - Total Charge Price-Out at Proposed Rates:")</f>
        <v>SC9 Rate I - Total Charge Price-Out at Proposed Rates:</v>
      </c>
      <c r="D236" s="410"/>
      <c r="E236" s="410"/>
      <c r="F236" s="410"/>
      <c r="G236" s="3"/>
      <c r="H236" s="3"/>
      <c r="I236" s="3"/>
      <c r="J236" s="3"/>
      <c r="K236" s="3"/>
      <c r="L236" s="3"/>
      <c r="M236" s="821">
        <f>M222+M234</f>
        <v>1473325191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10"/>
      <c r="N237" s="17"/>
      <c r="O237" s="3"/>
      <c r="P237" s="2"/>
      <c r="Q237" s="2"/>
    </row>
    <row r="238" spans="2:17" x14ac:dyDescent="0.35">
      <c r="B238" s="3"/>
      <c r="C238" s="815" t="str">
        <f>$A$4</f>
        <v>SC9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05">
        <f>L4</f>
        <v>2020</v>
      </c>
      <c r="E239" s="1305"/>
      <c r="F239" s="1305"/>
      <c r="G239" s="10"/>
      <c r="H239" s="10"/>
      <c r="I239" s="10"/>
      <c r="J239" s="10"/>
      <c r="K239" s="10"/>
      <c r="L239" s="10"/>
      <c r="M239" s="13"/>
      <c r="N239" s="557"/>
      <c r="O239" s="2"/>
      <c r="P239" s="2"/>
      <c r="Q239" s="2"/>
    </row>
    <row r="240" spans="2:17" x14ac:dyDescent="0.35">
      <c r="B240" s="3"/>
      <c r="C240" s="699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1473325191</v>
      </c>
      <c r="N240" s="557"/>
      <c r="O240" s="2"/>
      <c r="P240" s="2"/>
      <c r="Q240" s="2"/>
    </row>
    <row r="241" spans="1:17" x14ac:dyDescent="0.35">
      <c r="B241" s="3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470"/>
      <c r="N241" s="557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471"/>
      <c r="N242" s="557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1473325191</v>
      </c>
      <c r="N243" s="557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7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828">
        <f>L19</f>
        <v>1473027897</v>
      </c>
      <c r="N245" s="557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297294</v>
      </c>
      <c r="N246" s="557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2.0182509822497252E-4</v>
      </c>
      <c r="N247" s="557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25" header="0.3" footer="0.05"/>
  <pageSetup scale="45" orientation="landscape" r:id="rId1"/>
  <headerFooter>
    <oddFooter>&amp;C&amp;F (Tab: &amp;A)&amp;RPage &amp;P / &amp;N</oddFooter>
  </headerFooter>
  <rowBreaks count="3" manualBreakCount="3">
    <brk id="81" max="16383" man="1"/>
    <brk id="161" max="16383" man="1"/>
    <brk id="23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V253"/>
  <sheetViews>
    <sheetView topLeftCell="A19" workbookViewId="0">
      <selection activeCell="J12" sqref="J12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5" style="1" customWidth="1"/>
    <col min="17" max="17" width="10.7265625" style="1" customWidth="1"/>
    <col min="18" max="19" width="10.7265625" customWidth="1"/>
    <col min="20" max="22" width="13.26953125" customWidth="1"/>
    <col min="25" max="26" width="11.7265625" customWidth="1"/>
    <col min="27" max="27" width="16.81640625" customWidth="1"/>
  </cols>
  <sheetData>
    <row r="1" spans="1:22" ht="18.5" x14ac:dyDescent="0.45">
      <c r="A1" s="189" t="s">
        <v>830</v>
      </c>
    </row>
    <row r="3" spans="1:22" outlineLevel="1" x14ac:dyDescent="0.35">
      <c r="A3" s="70" t="s">
        <v>158</v>
      </c>
      <c r="B3" s="70"/>
      <c r="C3" s="3"/>
      <c r="D3" s="180"/>
      <c r="E3" s="180"/>
      <c r="F3" s="180"/>
      <c r="G3" s="180"/>
      <c r="H3" s="180"/>
      <c r="I3" s="180"/>
      <c r="K3" s="33" t="s">
        <v>150</v>
      </c>
      <c r="L3" s="806">
        <f>'8B.)ED Shift_RedesignRateSum'!$D$3</f>
        <v>2019</v>
      </c>
      <c r="M3" s="3"/>
      <c r="P3" s="192" t="str">
        <f>$A$4</f>
        <v>SC12 Rate I</v>
      </c>
      <c r="Q3" s="2"/>
      <c r="R3" s="3"/>
      <c r="S3" s="3"/>
      <c r="T3" s="3"/>
      <c r="U3" s="3"/>
      <c r="V3" s="3"/>
    </row>
    <row r="4" spans="1:22" outlineLevel="1" x14ac:dyDescent="0.35">
      <c r="A4" s="182" t="s">
        <v>157</v>
      </c>
      <c r="B4" s="182"/>
      <c r="C4" s="3"/>
      <c r="D4" s="3"/>
      <c r="E4" s="3"/>
      <c r="F4" s="3"/>
      <c r="G4" s="3"/>
      <c r="H4" s="3"/>
      <c r="K4" s="33" t="s">
        <v>5</v>
      </c>
      <c r="L4" s="806">
        <f>'8B.)ED Shift_RedesignRateSum'!$D$4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180"/>
      <c r="B5" s="180"/>
      <c r="C5" s="180"/>
      <c r="D5" s="3"/>
      <c r="E5" s="3"/>
      <c r="F5" s="3"/>
      <c r="G5" s="3"/>
      <c r="H5" s="3"/>
      <c r="K5" s="33" t="s">
        <v>145</v>
      </c>
      <c r="L5" s="806" t="str">
        <f>CONCATENATE("Shift of ",$L$8*100,"%")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7">
        <f>'8B.)ED Shift_RedesignRateSum'!E83</f>
        <v>2019</v>
      </c>
      <c r="H6" s="291" t="s">
        <v>309</v>
      </c>
      <c r="K6" s="33" t="s">
        <v>1428</v>
      </c>
      <c r="L6" s="806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I)'!$E$161</f>
        <v>5</v>
      </c>
      <c r="T6" s="386">
        <f>'[2]4C.)HY_DemandRatePxOut(Rate I)'!$L$165</f>
        <v>161</v>
      </c>
      <c r="U6" s="386">
        <f>'[2]4C.)HY_DemandRatePxOut(Rate I)'!$N$165</f>
        <v>4560</v>
      </c>
      <c r="V6" s="386">
        <f>'[2]4B.)HY_EnergyRatePxOut(Rate I)'!$M$272</f>
        <v>39321291</v>
      </c>
    </row>
    <row r="7" spans="1:22" ht="15" outlineLevel="1" thickBot="1" x14ac:dyDescent="0.4">
      <c r="A7" s="3"/>
      <c r="B7" s="3"/>
      <c r="C7" s="3"/>
      <c r="D7" s="3"/>
      <c r="E7" s="3"/>
      <c r="F7" s="3"/>
      <c r="G7" s="265" t="s">
        <v>170</v>
      </c>
      <c r="H7" s="265" t="s">
        <v>142</v>
      </c>
      <c r="K7" s="33"/>
      <c r="L7" s="118" t="str">
        <f>A4</f>
        <v>SC12 Rate I</v>
      </c>
      <c r="M7" s="3"/>
      <c r="P7" s="170" t="s">
        <v>114</v>
      </c>
      <c r="Q7" s="159"/>
      <c r="R7" s="158" t="s">
        <v>141</v>
      </c>
      <c r="S7" s="159">
        <f>S6</f>
        <v>5</v>
      </c>
      <c r="T7" s="387">
        <f>'[2]4C.)HY_DemandRatePxOut(Rate I)'!$L$166</f>
        <v>751</v>
      </c>
      <c r="U7" s="387">
        <f>'[2]4C.)HY_DemandRatePxOut(Rate I)'!$N$166</f>
        <v>88600</v>
      </c>
      <c r="V7" s="387">
        <f>'[2]4B.)HY_EnergyRatePxOut(Rate I)'!$M$273</f>
        <v>0</v>
      </c>
    </row>
    <row r="8" spans="1:22" ht="15.5" outlineLevel="1" thickTop="1" thickBot="1" x14ac:dyDescent="0.4">
      <c r="A8" s="3" t="s">
        <v>355</v>
      </c>
      <c r="B8" s="3"/>
      <c r="C8" s="3"/>
      <c r="D8" s="3"/>
      <c r="E8" s="3"/>
      <c r="F8" s="3"/>
      <c r="G8" s="309">
        <f>'8B.)ED Shift_RedesignRateSum'!E85</f>
        <v>1.8100000000000002E-2</v>
      </c>
      <c r="H8" s="512">
        <f>I178</f>
        <v>1.72E-2</v>
      </c>
      <c r="K8" s="33" t="s">
        <v>1437</v>
      </c>
      <c r="L8" s="688">
        <f>'8B.)ED Shift_RedesignRateSum'!$D$5</f>
        <v>0.05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356</v>
      </c>
      <c r="B9" s="3"/>
      <c r="C9" s="3"/>
      <c r="D9" s="3"/>
      <c r="E9" s="3"/>
      <c r="F9" s="3"/>
      <c r="G9" s="310">
        <f>'8B.)ED Shift_RedesignRateSum'!E86</f>
        <v>1.8100000000000002E-2</v>
      </c>
      <c r="H9" s="513">
        <f>K178</f>
        <v>1.72E-2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912</v>
      </c>
      <c r="U9" s="151">
        <f>SUM(U6:U8)</f>
        <v>93160</v>
      </c>
      <c r="V9" s="151">
        <f>SUM(V6:V8)</f>
        <v>39321291</v>
      </c>
    </row>
    <row r="10" spans="1:22" ht="15" outlineLevel="1" thickTop="1" x14ac:dyDescent="0.35">
      <c r="A10" s="3" t="s">
        <v>357</v>
      </c>
      <c r="B10" s="3"/>
      <c r="C10" s="3"/>
      <c r="D10" s="3"/>
      <c r="E10" s="3"/>
      <c r="F10" s="3"/>
      <c r="G10" s="310">
        <f>'8B.)ED Shift_RedesignRateSum'!E87</f>
        <v>183.98</v>
      </c>
      <c r="H10" s="513">
        <f>H120</f>
        <v>187.11</v>
      </c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358</v>
      </c>
      <c r="B11" s="3"/>
      <c r="C11" s="3"/>
      <c r="D11" s="3"/>
      <c r="E11" s="3"/>
      <c r="F11" s="3"/>
      <c r="G11" s="310">
        <f>'8B.)ED Shift_RedesignRateSum'!E88</f>
        <v>33.269999999999996</v>
      </c>
      <c r="H11" s="513">
        <f>H122</f>
        <v>33.840000000000003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735">
        <f>'[2]4C.)HY_DemandRatePxOut(Rate I)'!$L$161</f>
        <v>210</v>
      </c>
      <c r="U11" s="735">
        <f>'[2]4C.)HY_DemandRatePxOut(Rate I)'!$N$161</f>
        <v>9120</v>
      </c>
      <c r="V11" s="735">
        <f>'[2]4B.)HY_EnergyRatePxOut(Rate I)'!$M$267</f>
        <v>115292046</v>
      </c>
    </row>
    <row r="12" spans="1:22" outlineLevel="1" x14ac:dyDescent="0.35">
      <c r="A12" s="3" t="s">
        <v>359</v>
      </c>
      <c r="B12" s="3"/>
      <c r="C12" s="3"/>
      <c r="D12" s="3"/>
      <c r="E12" s="3"/>
      <c r="F12" s="3"/>
      <c r="G12" s="310">
        <f>'8B.)ED Shift_RedesignRateSum'!E89</f>
        <v>103.3</v>
      </c>
      <c r="H12" s="513">
        <f>J120</f>
        <v>105.06</v>
      </c>
      <c r="K12" s="367"/>
      <c r="P12" s="160" t="s">
        <v>113</v>
      </c>
      <c r="Q12" s="159"/>
      <c r="R12" s="158" t="str">
        <f>$R$7</f>
        <v>&gt;</v>
      </c>
      <c r="S12" s="157">
        <f>$S$7</f>
        <v>5</v>
      </c>
      <c r="T12" s="733">
        <f>'[2]4C.)HY_DemandRatePxOut(Rate I)'!$L$162</f>
        <v>1614</v>
      </c>
      <c r="U12" s="733">
        <f>'[2]4C.)HY_DemandRatePxOut(Rate I)'!$N$162</f>
        <v>258373</v>
      </c>
      <c r="V12" s="733">
        <f>'[2]4B.)HY_EnergyRatePxOut(Rate I)'!$M$268</f>
        <v>0</v>
      </c>
    </row>
    <row r="13" spans="1:22" ht="15" outlineLevel="1" thickBot="1" x14ac:dyDescent="0.4">
      <c r="A13" s="3" t="s">
        <v>360</v>
      </c>
      <c r="B13" s="3"/>
      <c r="C13" s="3"/>
      <c r="D13" s="3"/>
      <c r="E13" s="3"/>
      <c r="F13" s="3"/>
      <c r="G13" s="310">
        <f>'8B.)ED Shift_RedesignRateSum'!E90</f>
        <v>18.66</v>
      </c>
      <c r="H13" s="513">
        <f>J122</f>
        <v>18.98</v>
      </c>
      <c r="I13" s="3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361</v>
      </c>
      <c r="B14" s="3"/>
      <c r="C14" s="3"/>
      <c r="D14" s="3"/>
      <c r="E14" s="3"/>
      <c r="F14" s="3"/>
      <c r="G14" s="310">
        <f>'8B.)ED Shift_RedesignRateSum'!E91</f>
        <v>1.8100000000000002E-2</v>
      </c>
      <c r="H14" s="513">
        <f>I180</f>
        <v>1.72E-2</v>
      </c>
      <c r="K14" s="367"/>
      <c r="P14" s="2"/>
      <c r="Q14" s="2"/>
      <c r="R14" s="3"/>
      <c r="S14" s="3"/>
      <c r="T14" s="151">
        <f>SUM(T11:T13)</f>
        <v>1824</v>
      </c>
      <c r="U14" s="151">
        <f>SUM(U11:U13)</f>
        <v>267493</v>
      </c>
      <c r="V14" s="151">
        <f>SUM(V11:V13)</f>
        <v>115292046</v>
      </c>
    </row>
    <row r="15" spans="1:22" ht="15" outlineLevel="1" thickTop="1" x14ac:dyDescent="0.35">
      <c r="A15" s="3" t="s">
        <v>362</v>
      </c>
      <c r="B15" s="3"/>
      <c r="C15" s="3"/>
      <c r="D15" s="3"/>
      <c r="E15" s="3"/>
      <c r="F15" s="3"/>
      <c r="G15" s="310">
        <f>'8B.)ED Shift_RedesignRateSum'!E92</f>
        <v>1.8100000000000002E-2</v>
      </c>
      <c r="H15" s="513">
        <f>K180</f>
        <v>1.72E-2</v>
      </c>
      <c r="K15" s="33" t="s">
        <v>131</v>
      </c>
      <c r="L15" s="245">
        <f>'8A.)HY_ED RevShifting'!$E$36</f>
        <v>8215762</v>
      </c>
      <c r="M15" s="245">
        <f>'8A.)HY_ED RevShifting'!$D$36</f>
        <v>8125171</v>
      </c>
      <c r="N15" s="134"/>
    </row>
    <row r="16" spans="1:22" outlineLevel="1" x14ac:dyDescent="0.35">
      <c r="A16" s="3" t="s">
        <v>363</v>
      </c>
      <c r="B16" s="3"/>
      <c r="C16" s="3"/>
      <c r="D16" s="3"/>
      <c r="E16" s="3"/>
      <c r="F16" s="3"/>
      <c r="G16" s="310">
        <f>'8B.)ED Shift_RedesignRateSum'!E93</f>
        <v>137.57</v>
      </c>
      <c r="H16" s="513">
        <f>H124</f>
        <v>139.91</v>
      </c>
      <c r="K16" s="33" t="s">
        <v>129</v>
      </c>
      <c r="L16" s="245">
        <f>'8A.)HY_ED RevShifting'!$E$40</f>
        <v>2798501</v>
      </c>
      <c r="M16" s="245">
        <f>'8A.)HY_ED RevShifting'!$D$40</f>
        <v>2798501</v>
      </c>
      <c r="N16" s="134"/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3" t="s">
        <v>364</v>
      </c>
      <c r="B17" s="3"/>
      <c r="C17" s="3"/>
      <c r="D17" s="3"/>
      <c r="E17" s="3"/>
      <c r="F17" s="3"/>
      <c r="G17" s="310">
        <f>'8B.)ED Shift_RedesignRateSum'!E94</f>
        <v>24.86</v>
      </c>
      <c r="H17" s="513">
        <f>H126</f>
        <v>25.29</v>
      </c>
      <c r="K17" s="33" t="s">
        <v>130</v>
      </c>
      <c r="L17" s="245">
        <f>HLOOKUP($L$8,'8A.)HY_ED RevShifting'!$B$6:$M$43,'8A.)HY_ED RevShifting'!$B$37,0)</f>
        <v>139925</v>
      </c>
      <c r="M17" s="134">
        <f>ROUND(L17/$L$9,0)</f>
        <v>138392</v>
      </c>
      <c r="N17" s="134"/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3" t="s">
        <v>365</v>
      </c>
      <c r="B18" s="3"/>
      <c r="C18" s="3"/>
      <c r="D18" s="3"/>
      <c r="E18" s="3"/>
      <c r="F18" s="3"/>
      <c r="G18" s="310">
        <f>'8B.)ED Shift_RedesignRateSum'!E95</f>
        <v>57.05</v>
      </c>
      <c r="H18" s="513">
        <f>J124</f>
        <v>58.02</v>
      </c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366</v>
      </c>
      <c r="B19" s="3"/>
      <c r="C19" s="3"/>
      <c r="D19" s="3"/>
      <c r="E19" s="3"/>
      <c r="F19" s="3"/>
      <c r="G19" s="311">
        <f>'8B.)ED Shift_RedesignRateSum'!E96</f>
        <v>10.27</v>
      </c>
      <c r="H19" s="514">
        <f>J126</f>
        <v>10.450000000000001</v>
      </c>
      <c r="K19" s="33" t="str">
        <f>CONCATENATE(A4," - Demand &amp; Energy Rev:")</f>
        <v>SC12 Rate I - Demand &amp; Energy Rev:</v>
      </c>
      <c r="L19" s="308">
        <f>L15+L16</f>
        <v>11014263</v>
      </c>
      <c r="M19" s="143"/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/>
    <row r="21" spans="1:22" outlineLevel="1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407" t="s">
        <v>1537</v>
      </c>
      <c r="B28" s="147"/>
      <c r="C28" s="131"/>
      <c r="D28" s="131"/>
      <c r="E28" s="131"/>
      <c r="F28" s="131"/>
    </row>
    <row r="29" spans="1:22" x14ac:dyDescent="0.35">
      <c r="A29" s="131"/>
      <c r="B29" s="131"/>
      <c r="C29" s="131"/>
      <c r="D29" s="131"/>
      <c r="E29" s="131"/>
      <c r="F29" s="131"/>
      <c r="P29"/>
    </row>
    <row r="30" spans="1:22" x14ac:dyDescent="0.35">
      <c r="B30" s="41" t="str">
        <f>$A$4</f>
        <v>SC12 Rate I</v>
      </c>
      <c r="C30" s="133" t="s">
        <v>1874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819">
        <f>M15</f>
        <v>8125171</v>
      </c>
      <c r="J32" s="136" t="s">
        <v>79</v>
      </c>
      <c r="P32"/>
      <c r="Q32" s="142"/>
    </row>
    <row r="33" spans="1:17" x14ac:dyDescent="0.35">
      <c r="C33" t="s">
        <v>88</v>
      </c>
      <c r="I33" s="819">
        <f>M17</f>
        <v>138392</v>
      </c>
      <c r="J33" s="136" t="s">
        <v>78</v>
      </c>
      <c r="P33"/>
      <c r="Q33" s="142"/>
    </row>
    <row r="34" spans="1:17" x14ac:dyDescent="0.35">
      <c r="C34" s="818" t="s">
        <v>1789</v>
      </c>
      <c r="D34" s="75"/>
      <c r="E34" s="75"/>
      <c r="F34" s="75"/>
      <c r="I34" s="812">
        <f>ROUND(I33/I32,6)</f>
        <v>1.7033E-2</v>
      </c>
      <c r="J34" s="136" t="s">
        <v>1083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SC12 Rate I</v>
      </c>
      <c r="C37" t="s">
        <v>114</v>
      </c>
      <c r="G37" s="515">
        <f>$T$9</f>
        <v>912</v>
      </c>
      <c r="H37" s="516">
        <f>G10</f>
        <v>183.98</v>
      </c>
      <c r="I37" s="134">
        <f>ROUND(G37*H37,0)</f>
        <v>167790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1824</v>
      </c>
      <c r="H38" s="516">
        <f>G12</f>
        <v>103.3</v>
      </c>
      <c r="I38" s="134">
        <f>ROUND(G38*H38,0)</f>
        <v>188419</v>
      </c>
      <c r="J38" s="136" t="s">
        <v>1086</v>
      </c>
      <c r="L38" s="822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137.57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57.05</v>
      </c>
      <c r="I40" s="134">
        <f>ROUND(G40*H40,0)</f>
        <v>0</v>
      </c>
      <c r="J40" s="136" t="s">
        <v>1088</v>
      </c>
      <c r="L40" s="633" t="s">
        <v>135</v>
      </c>
    </row>
    <row r="41" spans="1:17" x14ac:dyDescent="0.35">
      <c r="C41" t="s">
        <v>110</v>
      </c>
      <c r="I41" s="820">
        <f>SUM(I37:I40)</f>
        <v>356209</v>
      </c>
      <c r="J41" s="136" t="s">
        <v>1084</v>
      </c>
      <c r="L41" s="541">
        <f>ROUND(I41*$L$38,0)</f>
        <v>360156</v>
      </c>
      <c r="M41" s="136" t="s">
        <v>1265</v>
      </c>
    </row>
    <row r="42" spans="1:17" ht="15" thickBot="1" x14ac:dyDescent="0.4">
      <c r="C42" t="s">
        <v>1113</v>
      </c>
      <c r="I42" s="812">
        <f>I34</f>
        <v>1.7033E-2</v>
      </c>
      <c r="J42" s="136" t="s">
        <v>1089</v>
      </c>
      <c r="L42" s="1"/>
    </row>
    <row r="43" spans="1:17" ht="15.5" thickTop="1" thickBot="1" x14ac:dyDescent="0.4">
      <c r="C43" t="s">
        <v>304</v>
      </c>
      <c r="I43" s="813">
        <f>ROUND(I41*(1+I42),0)</f>
        <v>362276</v>
      </c>
      <c r="J43" s="136" t="s">
        <v>1747</v>
      </c>
      <c r="L43" s="541">
        <f>ROUND(I43*$L$38,0)</f>
        <v>366290</v>
      </c>
      <c r="M43" s="136" t="s">
        <v>1266</v>
      </c>
    </row>
    <row r="44" spans="1:17" ht="15.5" thickTop="1" thickBot="1" x14ac:dyDescent="0.4">
      <c r="C44" t="s">
        <v>1109</v>
      </c>
      <c r="I44" s="766"/>
      <c r="J44" s="596" t="s">
        <v>1111</v>
      </c>
      <c r="L44" s="1"/>
    </row>
    <row r="45" spans="1:17" ht="15.5" thickTop="1" thickBot="1" x14ac:dyDescent="0.4">
      <c r="C45" t="s">
        <v>305</v>
      </c>
      <c r="I45" s="813">
        <f>ROUND(I43*(1+I44),0)</f>
        <v>362276</v>
      </c>
      <c r="J45" s="136" t="s">
        <v>1112</v>
      </c>
      <c r="L45" s="634">
        <f>ROUND(I45*$L$38,0)</f>
        <v>366290</v>
      </c>
      <c r="M45" s="136" t="s">
        <v>1267</v>
      </c>
    </row>
    <row r="46" spans="1:17" ht="15" thickTop="1" x14ac:dyDescent="0.35"/>
    <row r="48" spans="1:17" x14ac:dyDescent="0.35">
      <c r="A48" s="407" t="s">
        <v>1875</v>
      </c>
    </row>
    <row r="50" spans="1:17" x14ac:dyDescent="0.35">
      <c r="B50" s="41" t="str">
        <f>$A$4</f>
        <v>SC12 Rate I</v>
      </c>
      <c r="C50" s="133" t="s">
        <v>1876</v>
      </c>
      <c r="D50" s="133"/>
      <c r="E50" s="133"/>
      <c r="F50" s="133"/>
      <c r="P50"/>
      <c r="Q50"/>
    </row>
    <row r="51" spans="1:17" x14ac:dyDescent="0.35">
      <c r="C51" s="1" t="s">
        <v>119</v>
      </c>
      <c r="D51" s="1"/>
      <c r="E51" s="1"/>
      <c r="F51" s="1"/>
      <c r="G51" s="1"/>
      <c r="H51" s="1"/>
      <c r="I51" s="1"/>
      <c r="J51" s="1"/>
      <c r="K51" s="1"/>
      <c r="L51" s="541">
        <f>L15</f>
        <v>8215762</v>
      </c>
      <c r="M51" s="61" t="s">
        <v>1268</v>
      </c>
      <c r="P51"/>
      <c r="Q51"/>
    </row>
    <row r="52" spans="1:17" x14ac:dyDescent="0.35">
      <c r="C52" s="1" t="s">
        <v>118</v>
      </c>
      <c r="D52" s="1"/>
      <c r="E52" s="1"/>
      <c r="F52" s="1"/>
      <c r="G52" s="1"/>
      <c r="H52" s="1"/>
      <c r="I52" s="1"/>
      <c r="J52" s="1"/>
      <c r="K52" s="1"/>
      <c r="L52" s="370">
        <f>L17</f>
        <v>139925</v>
      </c>
      <c r="M52" s="61" t="s">
        <v>1269</v>
      </c>
      <c r="P52"/>
      <c r="Q52"/>
    </row>
    <row r="53" spans="1:17" ht="15" thickBot="1" x14ac:dyDescent="0.4">
      <c r="C53" s="1" t="s">
        <v>1271</v>
      </c>
      <c r="D53" s="1"/>
      <c r="E53" s="1"/>
      <c r="F53" s="1"/>
      <c r="G53" s="1"/>
      <c r="H53" s="1"/>
      <c r="I53" s="1"/>
      <c r="J53" s="1"/>
      <c r="K53" s="1"/>
      <c r="L53" s="370">
        <f>L45</f>
        <v>366290</v>
      </c>
      <c r="M53" s="61" t="s">
        <v>1264</v>
      </c>
      <c r="P53"/>
      <c r="Q53"/>
    </row>
    <row r="54" spans="1:17" ht="15.5" thickTop="1" thickBot="1" x14ac:dyDescent="0.4">
      <c r="C54" s="181" t="s">
        <v>1262</v>
      </c>
      <c r="D54" s="181"/>
      <c r="E54" s="181"/>
      <c r="F54" s="181"/>
      <c r="G54" s="1"/>
      <c r="H54" s="1"/>
      <c r="I54" s="1"/>
      <c r="J54" s="1"/>
      <c r="K54" s="1"/>
      <c r="L54" s="635">
        <f>ROUND((L51+L52-L53)/$L$38,0)</f>
        <v>7901845</v>
      </c>
      <c r="M54" s="61" t="s">
        <v>1270</v>
      </c>
      <c r="P54"/>
      <c r="Q54"/>
    </row>
    <row r="55" spans="1:17" ht="15" thickTop="1" x14ac:dyDescent="0.35">
      <c r="C55" s="1"/>
      <c r="D55" s="1"/>
      <c r="E55" s="1"/>
      <c r="F55" s="1"/>
      <c r="G55" s="1"/>
      <c r="H55" s="1"/>
      <c r="I55" s="1"/>
      <c r="J55" s="1"/>
      <c r="K55" s="1"/>
      <c r="L55" s="811"/>
      <c r="P55"/>
      <c r="Q55"/>
    </row>
    <row r="56" spans="1:17" x14ac:dyDescent="0.35">
      <c r="C56" s="75" t="s">
        <v>1877</v>
      </c>
      <c r="D56" s="181"/>
      <c r="E56" s="181"/>
      <c r="F56" s="181"/>
      <c r="G56" s="1"/>
      <c r="H56" s="1"/>
      <c r="I56" s="1"/>
      <c r="J56" s="1"/>
      <c r="K56" s="1"/>
      <c r="L56" s="812">
        <f>I34</f>
        <v>1.7033E-2</v>
      </c>
      <c r="M56" s="594" t="s">
        <v>1089</v>
      </c>
      <c r="P56"/>
      <c r="Q56"/>
    </row>
    <row r="57" spans="1:17" x14ac:dyDescent="0.35">
      <c r="C57" s="1"/>
      <c r="D57" s="1"/>
      <c r="E57" s="1"/>
      <c r="F57" s="1"/>
      <c r="G57" s="1"/>
      <c r="H57" s="1"/>
      <c r="I57" s="1"/>
      <c r="J57" s="1"/>
      <c r="K57" s="1"/>
      <c r="L57" s="406"/>
    </row>
    <row r="59" spans="1:17" x14ac:dyDescent="0.35">
      <c r="A59" s="407" t="s">
        <v>1536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SC12 Rate I</v>
      </c>
      <c r="C61" s="3"/>
      <c r="D61" s="3"/>
      <c r="E61" s="3"/>
      <c r="F61" s="3"/>
      <c r="G61" s="3"/>
      <c r="H61" s="1316" t="s">
        <v>82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567">
        <f>Q6</f>
        <v>0</v>
      </c>
      <c r="E63" s="123" t="str">
        <f>R6</f>
        <v>-</v>
      </c>
      <c r="F63" s="567">
        <f>S6</f>
        <v>5</v>
      </c>
      <c r="G63" s="123"/>
      <c r="H63" s="35">
        <f>G10</f>
        <v>183.98</v>
      </c>
      <c r="I63" s="136" t="s">
        <v>165</v>
      </c>
      <c r="J63" s="35">
        <f>G12</f>
        <v>103.3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D64" s="3"/>
      <c r="E64" s="123"/>
      <c r="F64" s="108"/>
      <c r="G64" s="36"/>
      <c r="H64" s="35"/>
      <c r="I64" s="136"/>
      <c r="J64" s="35"/>
      <c r="K64" s="136"/>
      <c r="L64" s="3"/>
      <c r="M64" s="17"/>
      <c r="N64" s="3"/>
      <c r="P64"/>
      <c r="Q64"/>
    </row>
    <row r="65" spans="2:17" x14ac:dyDescent="0.35">
      <c r="B65" s="3"/>
      <c r="C65" s="3"/>
      <c r="D65" s="3"/>
      <c r="E65" s="123" t="str">
        <f>R7</f>
        <v>&gt;</v>
      </c>
      <c r="F65" s="567">
        <f>S7</f>
        <v>5</v>
      </c>
      <c r="G65" s="36"/>
      <c r="H65" s="120">
        <f>G11</f>
        <v>33.269999999999996</v>
      </c>
      <c r="I65" s="136" t="s">
        <v>166</v>
      </c>
      <c r="J65" s="124">
        <f>G13</f>
        <v>18.66</v>
      </c>
      <c r="K65" s="136" t="s">
        <v>229</v>
      </c>
      <c r="L65" s="27">
        <f>H65-J$65</f>
        <v>14.609999999999996</v>
      </c>
      <c r="M65" s="61" t="s">
        <v>1092</v>
      </c>
      <c r="N65" s="112"/>
      <c r="P65"/>
      <c r="Q65"/>
    </row>
    <row r="66" spans="2:17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  <c r="P66"/>
      <c r="Q66"/>
    </row>
    <row r="67" spans="2:17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137.57</v>
      </c>
      <c r="I67" s="136" t="s">
        <v>138</v>
      </c>
      <c r="J67" s="35">
        <f>G18</f>
        <v>57.05</v>
      </c>
      <c r="K67" s="136" t="s">
        <v>1090</v>
      </c>
      <c r="L67" s="3"/>
      <c r="M67" s="109"/>
      <c r="N67" s="3"/>
      <c r="P67"/>
      <c r="Q67"/>
    </row>
    <row r="68" spans="2:17" x14ac:dyDescent="0.35">
      <c r="B68" s="3"/>
      <c r="C68" s="3"/>
      <c r="D68" s="121"/>
      <c r="E68" s="122"/>
      <c r="F68" s="121"/>
      <c r="G68" s="36"/>
      <c r="H68" s="35"/>
      <c r="I68" s="136"/>
      <c r="J68" s="35"/>
      <c r="K68" s="136"/>
      <c r="L68" s="3"/>
      <c r="M68" s="17"/>
      <c r="N68" s="3"/>
      <c r="P68"/>
      <c r="Q68"/>
    </row>
    <row r="69" spans="2:17" x14ac:dyDescent="0.35">
      <c r="B69" s="3"/>
      <c r="C69" s="3"/>
      <c r="D69" s="2"/>
      <c r="E69" s="122" t="str">
        <f>E65</f>
        <v>&gt;</v>
      </c>
      <c r="F69" s="121">
        <f>F65</f>
        <v>5</v>
      </c>
      <c r="G69" s="36"/>
      <c r="H69" s="120">
        <f>G17</f>
        <v>24.86</v>
      </c>
      <c r="I69" s="136" t="s">
        <v>101</v>
      </c>
      <c r="J69" s="120">
        <f>G19</f>
        <v>10.27</v>
      </c>
      <c r="K69" s="136" t="s">
        <v>1091</v>
      </c>
      <c r="L69" s="27">
        <f>H69-J$65</f>
        <v>6.1999999999999993</v>
      </c>
      <c r="M69" s="61" t="s">
        <v>1093</v>
      </c>
      <c r="N69" s="27">
        <f>J69-J$65</f>
        <v>-8.39</v>
      </c>
      <c r="O69" s="61" t="s">
        <v>1094</v>
      </c>
      <c r="P69"/>
      <c r="Q69"/>
    </row>
    <row r="71" spans="2:17" ht="15" thickBot="1" x14ac:dyDescent="0.4">
      <c r="P71"/>
      <c r="Q71"/>
    </row>
    <row r="72" spans="2:17" ht="15.5" thickTop="1" thickBot="1" x14ac:dyDescent="0.4">
      <c r="B72" s="119" t="s">
        <v>77</v>
      </c>
      <c r="L72" s="1307" t="s">
        <v>76</v>
      </c>
      <c r="M72" s="1308"/>
      <c r="N72" s="1309"/>
      <c r="P72"/>
      <c r="Q72"/>
    </row>
    <row r="73" spans="2:17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  <c r="P73"/>
      <c r="Q73"/>
    </row>
    <row r="74" spans="2:17" x14ac:dyDescent="0.35">
      <c r="B74" s="3"/>
      <c r="G74" s="117"/>
      <c r="H74" s="116"/>
      <c r="K74" t="str">
        <f>B63</f>
        <v>Low Tension (LT)</v>
      </c>
      <c r="L74" s="3"/>
      <c r="M74" s="17"/>
      <c r="N74" s="3"/>
      <c r="P74"/>
      <c r="Q74"/>
    </row>
    <row r="75" spans="2:17" x14ac:dyDescent="0.35">
      <c r="B75" s="3" t="s">
        <v>75</v>
      </c>
      <c r="G75" s="114" t="str">
        <f>CONCATENATE("X + ",L76)</f>
        <v>X + 14.86</v>
      </c>
      <c r="H75" s="115" t="s">
        <v>32</v>
      </c>
      <c r="L75" s="3"/>
      <c r="M75" s="17"/>
      <c r="N75" s="3"/>
      <c r="P75"/>
      <c r="Q75"/>
    </row>
    <row r="76" spans="2:17" x14ac:dyDescent="0.35">
      <c r="B76" s="3"/>
      <c r="G76" s="114"/>
      <c r="H76" s="113"/>
      <c r="L76" s="27">
        <f>ROUND(L65*(1+$L$56),2)</f>
        <v>14.86</v>
      </c>
      <c r="M76" s="61" t="s">
        <v>1096</v>
      </c>
      <c r="N76" s="112"/>
      <c r="O76" s="61" t="s">
        <v>1095</v>
      </c>
      <c r="P76"/>
      <c r="Q76"/>
    </row>
    <row r="77" spans="2:17" ht="15" thickBot="1" x14ac:dyDescent="0.4">
      <c r="B77" s="3" t="s">
        <v>73</v>
      </c>
      <c r="G77" s="111" t="str">
        <f>CONCATENATE("X + ",L80)</f>
        <v>X + 6.31</v>
      </c>
      <c r="H77" s="110" t="str">
        <f>CONCATENATE("X + ",N80)</f>
        <v>X + -8.53</v>
      </c>
      <c r="L77" s="27"/>
      <c r="M77" s="109"/>
      <c r="N77" s="109"/>
      <c r="P77"/>
      <c r="Q77"/>
    </row>
    <row r="78" spans="2:17" x14ac:dyDescent="0.35">
      <c r="K78" t="str">
        <f>B67</f>
        <v>High Tension (HT)</v>
      </c>
      <c r="L78" s="3"/>
      <c r="M78" s="109"/>
      <c r="N78" s="3"/>
      <c r="P78"/>
      <c r="Q78"/>
    </row>
    <row r="79" spans="2:17" x14ac:dyDescent="0.35">
      <c r="L79" s="3"/>
      <c r="M79" s="17"/>
      <c r="N79" s="3"/>
      <c r="P79"/>
      <c r="Q79"/>
    </row>
    <row r="80" spans="2:17" x14ac:dyDescent="0.35">
      <c r="L80" s="27">
        <f>ROUND(L69*(1+$L$56),2)</f>
        <v>6.31</v>
      </c>
      <c r="M80" s="61" t="s">
        <v>1097</v>
      </c>
      <c r="N80" s="27">
        <f>ROUND(N69*(1+$L$56),2)</f>
        <v>-8.5299999999999994</v>
      </c>
      <c r="O80" s="61" t="s">
        <v>1099</v>
      </c>
      <c r="P80"/>
      <c r="Q80"/>
    </row>
    <row r="81" spans="2:17" x14ac:dyDescent="0.35">
      <c r="L81" s="27"/>
      <c r="M81" s="61"/>
      <c r="N81" s="27"/>
      <c r="O81" s="61"/>
      <c r="P81"/>
      <c r="Q81"/>
    </row>
    <row r="82" spans="2:17" x14ac:dyDescent="0.35">
      <c r="B82" s="334" t="s">
        <v>70</v>
      </c>
      <c r="P82"/>
      <c r="Q82"/>
    </row>
    <row r="83" spans="2:17" x14ac:dyDescent="0.35">
      <c r="B83" s="41" t="str">
        <f>$A$4</f>
        <v>SC12 Rate I</v>
      </c>
      <c r="P83"/>
      <c r="Q83"/>
    </row>
    <row r="84" spans="2:17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  <c r="P84"/>
      <c r="Q84"/>
    </row>
    <row r="85" spans="2:17" x14ac:dyDescent="0.35">
      <c r="B85" s="3"/>
      <c r="C85" s="70"/>
      <c r="D85" s="70"/>
      <c r="E85" s="3"/>
      <c r="F85" s="3"/>
      <c r="G85" s="108"/>
      <c r="I85" s="72"/>
      <c r="J85" s="36"/>
      <c r="K85" s="74"/>
      <c r="P85"/>
      <c r="Q85"/>
    </row>
    <row r="86" spans="2:17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&gt;5 kW</v>
      </c>
      <c r="I86" s="72">
        <f>U7</f>
        <v>88600</v>
      </c>
      <c r="J86" s="36" t="s">
        <v>39</v>
      </c>
      <c r="K86" s="107" t="str">
        <f>CONCATENATE("[",G75,"]")</f>
        <v>[X + 14.86]</v>
      </c>
      <c r="L86" s="61" t="s">
        <v>1114</v>
      </c>
      <c r="P86"/>
      <c r="Q86"/>
    </row>
    <row r="87" spans="2:17" x14ac:dyDescent="0.35">
      <c r="B87" s="3"/>
      <c r="C87" s="3"/>
      <c r="D87" s="3"/>
      <c r="E87" s="3"/>
      <c r="F87" s="3"/>
      <c r="G87" s="3"/>
      <c r="I87" s="72"/>
      <c r="J87" s="36"/>
      <c r="K87" s="73"/>
      <c r="L87" s="61"/>
      <c r="P87"/>
      <c r="Q87"/>
    </row>
    <row r="88" spans="2:17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&gt;5 kW</v>
      </c>
      <c r="I88" s="72">
        <f>U12</f>
        <v>258373</v>
      </c>
      <c r="J88" s="36" t="s">
        <v>39</v>
      </c>
      <c r="K88" s="73" t="str">
        <f>CONCATENATE("[",H75,"]")</f>
        <v>[X]</v>
      </c>
      <c r="L88" s="61" t="s">
        <v>1117</v>
      </c>
      <c r="P88"/>
      <c r="Q88"/>
    </row>
    <row r="89" spans="2:17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  <c r="P89"/>
      <c r="Q89"/>
    </row>
    <row r="90" spans="2:17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&gt;5 kW</v>
      </c>
      <c r="I90" s="72">
        <f>U17</f>
        <v>0</v>
      </c>
      <c r="J90" s="36" t="s">
        <v>39</v>
      </c>
      <c r="K90" s="73" t="str">
        <f>CONCATENATE("[",G77,"]")</f>
        <v>[X + 6.31]</v>
      </c>
      <c r="L90" s="61" t="s">
        <v>1115</v>
      </c>
      <c r="P90"/>
      <c r="Q90"/>
    </row>
    <row r="91" spans="2:17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  <c r="P91"/>
      <c r="Q91"/>
    </row>
    <row r="92" spans="2:17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&gt;5 kW</v>
      </c>
      <c r="I92" s="67">
        <f>U22</f>
        <v>0</v>
      </c>
      <c r="J92" s="36" t="s">
        <v>39</v>
      </c>
      <c r="K92" s="71" t="str">
        <f>CONCATENATE("[",H77,"]")</f>
        <v>[X + -8.53]</v>
      </c>
      <c r="L92" s="61" t="s">
        <v>1116</v>
      </c>
      <c r="P92"/>
      <c r="Q92"/>
    </row>
    <row r="93" spans="2:17" x14ac:dyDescent="0.35">
      <c r="I93" s="366">
        <f>SUM(I86:I92)</f>
        <v>346973</v>
      </c>
      <c r="J93" s="61" t="s">
        <v>1568</v>
      </c>
    </row>
    <row r="95" spans="2:17" x14ac:dyDescent="0.35">
      <c r="B95" s="70" t="s">
        <v>38</v>
      </c>
      <c r="P95"/>
      <c r="Q95"/>
    </row>
    <row r="96" spans="2:17" x14ac:dyDescent="0.35">
      <c r="B96" s="41" t="str">
        <f>$A$4</f>
        <v>SC12 Rate I</v>
      </c>
      <c r="F96" s="3"/>
      <c r="G96" s="3"/>
      <c r="H96" s="3"/>
      <c r="I96" s="69" t="s">
        <v>25</v>
      </c>
      <c r="J96" s="3"/>
      <c r="K96" s="566"/>
      <c r="L96" s="3"/>
      <c r="M96" s="3"/>
      <c r="N96" s="17"/>
      <c r="P96"/>
      <c r="Q96"/>
    </row>
    <row r="97" spans="2:17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  <c r="P97"/>
      <c r="Q97"/>
    </row>
    <row r="98" spans="2:17" x14ac:dyDescent="0.35">
      <c r="B98" s="3" t="s">
        <v>37</v>
      </c>
      <c r="C98" s="3"/>
      <c r="F98" s="3"/>
      <c r="G98" s="3"/>
      <c r="H98" s="3"/>
      <c r="I98" s="105">
        <f t="shared" ref="I98:I104" si="0">I86</f>
        <v>88600</v>
      </c>
      <c r="J98" s="65" t="s">
        <v>63</v>
      </c>
      <c r="K98" s="34">
        <f>ROUND(I98*L76,0)</f>
        <v>1316596</v>
      </c>
      <c r="L98" s="3" t="s">
        <v>62</v>
      </c>
      <c r="M98" s="61" t="s">
        <v>1100</v>
      </c>
      <c r="N98" s="17"/>
      <c r="P98"/>
      <c r="Q98"/>
    </row>
    <row r="99" spans="2:17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  <c r="P99"/>
      <c r="Q99"/>
    </row>
    <row r="100" spans="2:17" x14ac:dyDescent="0.35">
      <c r="B100" s="3" t="s">
        <v>36</v>
      </c>
      <c r="C100" s="3"/>
      <c r="F100" s="3"/>
      <c r="G100" s="3"/>
      <c r="H100" s="3"/>
      <c r="I100" s="105">
        <f t="shared" si="0"/>
        <v>258373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  <c r="P100"/>
      <c r="Q100"/>
    </row>
    <row r="101" spans="2:17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  <c r="P101"/>
      <c r="Q101"/>
    </row>
    <row r="102" spans="2:17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  <c r="P102"/>
      <c r="Q102"/>
    </row>
    <row r="103" spans="2:17" x14ac:dyDescent="0.35">
      <c r="B103" s="3"/>
      <c r="C103" s="3"/>
      <c r="F103" s="3"/>
      <c r="G103" s="3"/>
      <c r="H103" s="3"/>
      <c r="I103" s="105"/>
      <c r="J103" s="65"/>
      <c r="K103" s="34"/>
      <c r="L103" s="3"/>
      <c r="M103" s="17"/>
      <c r="N103" s="17"/>
      <c r="P103"/>
      <c r="Q103"/>
    </row>
    <row r="104" spans="2:17" x14ac:dyDescent="0.35">
      <c r="B104" s="3" t="s">
        <v>34</v>
      </c>
      <c r="C104" s="3"/>
      <c r="F104" s="3"/>
      <c r="G104" s="3"/>
      <c r="H104" s="3"/>
      <c r="I104" s="351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  <c r="P104"/>
      <c r="Q104"/>
    </row>
    <row r="105" spans="2:17" x14ac:dyDescent="0.35">
      <c r="B105" s="3" t="s">
        <v>33</v>
      </c>
      <c r="C105" s="3" t="s">
        <v>33</v>
      </c>
      <c r="F105" s="66"/>
      <c r="G105" s="824">
        <f>L54</f>
        <v>7901845</v>
      </c>
      <c r="H105" s="63" t="s">
        <v>31</v>
      </c>
      <c r="I105" s="28">
        <f>SUM(I97:I104)</f>
        <v>346973</v>
      </c>
      <c r="J105" s="65" t="s">
        <v>63</v>
      </c>
      <c r="K105" s="103">
        <f>SUM(K97:K104)</f>
        <v>1316596</v>
      </c>
      <c r="L105" s="3" t="s">
        <v>1569</v>
      </c>
      <c r="M105" s="61" t="s">
        <v>1570</v>
      </c>
      <c r="N105" s="17"/>
      <c r="P105"/>
      <c r="Q105"/>
    </row>
    <row r="106" spans="2:17" x14ac:dyDescent="0.35">
      <c r="F106" s="3"/>
      <c r="G106" s="3"/>
      <c r="H106" s="3"/>
      <c r="I106" s="3"/>
      <c r="J106" s="3"/>
      <c r="K106" s="3"/>
      <c r="L106" s="3"/>
      <c r="M106" s="61" t="s">
        <v>1571</v>
      </c>
      <c r="N106" s="17"/>
      <c r="P106"/>
      <c r="Q106"/>
    </row>
    <row r="107" spans="2:17" x14ac:dyDescent="0.35">
      <c r="F107" s="34"/>
      <c r="G107" s="34">
        <f>G105-K105</f>
        <v>6585249</v>
      </c>
      <c r="H107" s="63" t="s">
        <v>31</v>
      </c>
      <c r="I107" s="28">
        <f>I105</f>
        <v>346973</v>
      </c>
      <c r="J107" s="65" t="s">
        <v>32</v>
      </c>
      <c r="K107" s="3"/>
      <c r="L107" s="3"/>
      <c r="M107" s="61" t="s">
        <v>1572</v>
      </c>
      <c r="N107" s="17"/>
      <c r="P107"/>
      <c r="Q107"/>
    </row>
    <row r="108" spans="2:17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  <c r="P108"/>
      <c r="Q108"/>
    </row>
    <row r="109" spans="2:17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18.98</v>
      </c>
      <c r="J109" s="61" t="s">
        <v>1108</v>
      </c>
      <c r="K109" s="3"/>
      <c r="L109" s="3"/>
      <c r="M109" s="61" t="s">
        <v>1573</v>
      </c>
      <c r="N109" s="17"/>
      <c r="P109"/>
      <c r="Q109"/>
    </row>
    <row r="110" spans="2:17" ht="15" thickTop="1" x14ac:dyDescent="0.35">
      <c r="P110"/>
      <c r="Q110"/>
    </row>
    <row r="111" spans="2:17" ht="15" thickBot="1" x14ac:dyDescent="0.4">
      <c r="B111" s="42" t="str">
        <f>CONCATENATE($A$4," at Proposed Demand Rates")</f>
        <v>SC12 Rate I at Proposed Demand Rates</v>
      </c>
      <c r="P111"/>
      <c r="Q111"/>
    </row>
    <row r="112" spans="2:17" ht="15.5" thickTop="1" thickBot="1" x14ac:dyDescent="0.4">
      <c r="C112" s="3" t="s">
        <v>5</v>
      </c>
      <c r="D112" s="1319">
        <f>$L$4</f>
        <v>2020</v>
      </c>
      <c r="E112" s="1319"/>
      <c r="F112" s="1319"/>
      <c r="G112" s="3"/>
      <c r="H112" s="1307" t="s">
        <v>59</v>
      </c>
      <c r="I112" s="1308"/>
      <c r="J112" s="1309"/>
      <c r="K112" s="3"/>
      <c r="L112" s="3"/>
      <c r="M112" s="3"/>
      <c r="N112" s="3"/>
      <c r="P112"/>
      <c r="Q112"/>
    </row>
    <row r="113" spans="3:17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  <c r="P113"/>
      <c r="Q113"/>
    </row>
    <row r="114" spans="3:17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183.98</v>
      </c>
      <c r="I114" s="61" t="s">
        <v>165</v>
      </c>
      <c r="J114" s="35">
        <f>J63</f>
        <v>103.3</v>
      </c>
      <c r="K114" s="61" t="s">
        <v>100</v>
      </c>
      <c r="L114" s="3"/>
      <c r="M114" s="3"/>
      <c r="N114" s="3"/>
      <c r="P114"/>
      <c r="Q114"/>
    </row>
    <row r="115" spans="3:17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137.57</v>
      </c>
      <c r="I115" s="61" t="s">
        <v>138</v>
      </c>
      <c r="J115" s="35">
        <f>J67</f>
        <v>57.05</v>
      </c>
      <c r="K115" s="61" t="s">
        <v>1090</v>
      </c>
      <c r="L115" s="3"/>
      <c r="M115" s="3"/>
      <c r="N115" s="3"/>
      <c r="P115"/>
      <c r="Q115"/>
    </row>
    <row r="116" spans="3:17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/>
      <c r="Q116"/>
    </row>
    <row r="117" spans="3:17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  <c r="P117"/>
      <c r="Q117"/>
    </row>
    <row r="118" spans="3:17" ht="15.5" thickTop="1" thickBot="1" x14ac:dyDescent="0.4">
      <c r="C118" s="96"/>
      <c r="D118" s="44"/>
      <c r="E118" s="44"/>
      <c r="F118" s="44"/>
      <c r="G118" s="44"/>
      <c r="H118" s="1313" t="s">
        <v>58</v>
      </c>
      <c r="I118" s="1314"/>
      <c r="J118" s="1315"/>
      <c r="K118" s="44"/>
      <c r="L118" s="94"/>
      <c r="M118" s="1308" t="s">
        <v>57</v>
      </c>
      <c r="N118" s="1309"/>
      <c r="P118"/>
      <c r="Q118"/>
    </row>
    <row r="119" spans="3:17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  <c r="P119"/>
      <c r="Q119"/>
    </row>
    <row r="120" spans="3:17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5</v>
      </c>
      <c r="G120" s="44"/>
      <c r="H120" s="97">
        <f>ROUND(H114*(1+$I$34),2)</f>
        <v>187.11</v>
      </c>
      <c r="I120" s="54" t="s">
        <v>1118</v>
      </c>
      <c r="J120" s="97">
        <f>ROUND(J114*(1+$I$34),2)</f>
        <v>105.06</v>
      </c>
      <c r="K120" s="54" t="s">
        <v>1120</v>
      </c>
      <c r="L120" s="94"/>
      <c r="M120" s="81">
        <f>ROUND(H120/H63-1,4)</f>
        <v>1.7000000000000001E-2</v>
      </c>
      <c r="N120" s="81">
        <f>ROUND(J120/J63-1,4)</f>
        <v>1.7000000000000001E-2</v>
      </c>
      <c r="P120"/>
      <c r="Q120"/>
    </row>
    <row r="121" spans="3:17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  <c r="P121"/>
      <c r="Q121"/>
    </row>
    <row r="122" spans="3:17" x14ac:dyDescent="0.35">
      <c r="C122" s="96"/>
      <c r="D122" s="44"/>
      <c r="E122" s="56" t="str">
        <f>E65</f>
        <v>&gt;</v>
      </c>
      <c r="F122" s="56">
        <f>F65</f>
        <v>5</v>
      </c>
      <c r="G122" s="44"/>
      <c r="H122" s="95">
        <f>$I$109+L76</f>
        <v>33.840000000000003</v>
      </c>
      <c r="I122" s="54" t="s">
        <v>1121</v>
      </c>
      <c r="J122" s="95">
        <f>$I$109+N76</f>
        <v>18.98</v>
      </c>
      <c r="K122" s="54" t="s">
        <v>1108</v>
      </c>
      <c r="L122" s="94"/>
      <c r="M122" s="81">
        <f>ROUND(H122/H65-1,4)</f>
        <v>1.7100000000000001E-2</v>
      </c>
      <c r="N122" s="81">
        <f>ROUND(J122/J65-1,4)</f>
        <v>1.7100000000000001E-2</v>
      </c>
      <c r="P122"/>
      <c r="Q122"/>
    </row>
    <row r="123" spans="3:17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  <c r="P123"/>
      <c r="Q123"/>
    </row>
    <row r="124" spans="3:17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5</v>
      </c>
      <c r="G124" s="44"/>
      <c r="H124" s="97">
        <f>ROUND(H115*(1+$I$34),2)</f>
        <v>139.91</v>
      </c>
      <c r="I124" s="54" t="s">
        <v>1119</v>
      </c>
      <c r="J124" s="97">
        <f>ROUND(J115*(1+$I$34),2)</f>
        <v>58.02</v>
      </c>
      <c r="K124" s="54" t="s">
        <v>1123</v>
      </c>
      <c r="L124" s="94"/>
      <c r="M124" s="81">
        <f>ROUND(H124/H67-1,4)</f>
        <v>1.7000000000000001E-2</v>
      </c>
      <c r="N124" s="81">
        <f>ROUND(J124/J67-1,4)</f>
        <v>1.7000000000000001E-2</v>
      </c>
      <c r="P124"/>
      <c r="Q124"/>
    </row>
    <row r="125" spans="3:17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  <c r="P125"/>
      <c r="Q125"/>
    </row>
    <row r="126" spans="3:17" x14ac:dyDescent="0.35">
      <c r="C126" s="96"/>
      <c r="D126" s="56"/>
      <c r="E126" s="56" t="str">
        <f>E122</f>
        <v>&gt;</v>
      </c>
      <c r="F126" s="56">
        <f>F122</f>
        <v>5</v>
      </c>
      <c r="G126" s="44"/>
      <c r="H126" s="95">
        <f>$I$109+L80</f>
        <v>25.29</v>
      </c>
      <c r="I126" s="54" t="s">
        <v>1122</v>
      </c>
      <c r="J126" s="95">
        <f>$I$109+N80</f>
        <v>10.450000000000001</v>
      </c>
      <c r="K126" s="54" t="s">
        <v>1124</v>
      </c>
      <c r="L126" s="94"/>
      <c r="M126" s="81">
        <f>ROUND(H126/H69-1,4)</f>
        <v>1.7299999999999999E-2</v>
      </c>
      <c r="N126" s="81">
        <f>ROUND(J126/J69-1,4)</f>
        <v>1.7500000000000002E-2</v>
      </c>
      <c r="P126"/>
      <c r="Q126"/>
    </row>
    <row r="127" spans="3:17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  <c r="P127"/>
      <c r="Q127"/>
    </row>
    <row r="130" spans="1:17" x14ac:dyDescent="0.35">
      <c r="A130" s="334" t="s">
        <v>1538</v>
      </c>
      <c r="B130" s="3"/>
      <c r="C130" s="3"/>
      <c r="D130" s="3"/>
      <c r="E130" s="3"/>
      <c r="F130" s="3"/>
      <c r="G130" s="3"/>
      <c r="H130" s="3"/>
      <c r="I130" s="3"/>
      <c r="P130"/>
      <c r="Q130"/>
    </row>
    <row r="131" spans="1:17" x14ac:dyDescent="0.35">
      <c r="A131" s="42"/>
      <c r="B131" s="3"/>
      <c r="C131" s="3"/>
      <c r="D131" s="3"/>
      <c r="E131" s="3"/>
      <c r="F131" s="3"/>
      <c r="G131" s="3"/>
      <c r="H131" s="3"/>
      <c r="I131" s="3"/>
      <c r="P131"/>
      <c r="Q131"/>
    </row>
    <row r="132" spans="1:17" x14ac:dyDescent="0.35">
      <c r="A132" s="42"/>
      <c r="B132" s="334" t="s">
        <v>55</v>
      </c>
      <c r="C132" s="410"/>
      <c r="D132" s="410"/>
      <c r="E132" s="3"/>
      <c r="F132" s="3"/>
      <c r="G132" s="3"/>
      <c r="H132" s="3"/>
      <c r="I132" s="3"/>
      <c r="P132"/>
      <c r="Q132"/>
    </row>
    <row r="133" spans="1:17" x14ac:dyDescent="0.35">
      <c r="A133" s="42"/>
      <c r="B133" s="41" t="str">
        <f>$A$4</f>
        <v>SC12 Rate I</v>
      </c>
      <c r="C133" s="3"/>
      <c r="D133" s="3"/>
      <c r="E133" s="3"/>
      <c r="F133" s="3"/>
      <c r="G133" s="3"/>
      <c r="H133" s="3"/>
      <c r="I133" s="3"/>
      <c r="P133"/>
      <c r="Q133"/>
    </row>
    <row r="134" spans="1:17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2798501</v>
      </c>
      <c r="J134" s="61" t="s">
        <v>50</v>
      </c>
      <c r="L134" s="3"/>
      <c r="P134"/>
      <c r="Q134"/>
    </row>
    <row r="135" spans="1:17" x14ac:dyDescent="0.35">
      <c r="A135" s="42"/>
      <c r="B135" s="3" t="str">
        <f>CONCATENATE("Less: ",$L$5," Energy Revenues to Demand at Current Rates Level")</f>
        <v>Less: Shift of 5%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139925</v>
      </c>
      <c r="J135" s="61" t="s">
        <v>49</v>
      </c>
      <c r="L135" s="3"/>
      <c r="P135"/>
      <c r="Q135"/>
    </row>
    <row r="136" spans="1:17" x14ac:dyDescent="0.35">
      <c r="A136" s="42"/>
      <c r="B136" s="410"/>
      <c r="C136" s="410"/>
      <c r="D136" s="410"/>
      <c r="E136" s="3"/>
      <c r="F136" s="3"/>
      <c r="G136" s="3"/>
      <c r="H136" s="3"/>
      <c r="J136" s="3"/>
      <c r="L136" s="3"/>
      <c r="P136"/>
      <c r="Q136"/>
    </row>
    <row r="137" spans="1:17" x14ac:dyDescent="0.35">
      <c r="A137" s="42"/>
      <c r="B137" s="410"/>
      <c r="C137" s="410"/>
      <c r="D137" s="410"/>
      <c r="E137" s="3"/>
      <c r="F137" s="3"/>
      <c r="G137" s="3"/>
      <c r="H137" s="3"/>
      <c r="I137" s="3"/>
      <c r="J137" s="3"/>
      <c r="L137" s="3"/>
      <c r="P137"/>
      <c r="Q137"/>
    </row>
    <row r="138" spans="1:17" x14ac:dyDescent="0.35">
      <c r="A138" s="42"/>
      <c r="B138" s="838" t="s">
        <v>52</v>
      </c>
      <c r="C138" s="410"/>
      <c r="D138" s="410"/>
      <c r="E138" s="3"/>
      <c r="F138" s="3"/>
      <c r="G138" s="3"/>
      <c r="H138" s="3"/>
      <c r="I138" s="32">
        <f>I134-I135</f>
        <v>2658576</v>
      </c>
      <c r="J138" s="61" t="s">
        <v>1126</v>
      </c>
      <c r="L138" s="3"/>
      <c r="P138"/>
      <c r="Q138"/>
    </row>
    <row r="139" spans="1:17" x14ac:dyDescent="0.35">
      <c r="A139" s="42"/>
      <c r="B139" s="3"/>
      <c r="C139" s="3"/>
      <c r="D139" s="3"/>
      <c r="E139" s="3"/>
      <c r="F139" s="3"/>
      <c r="G139" s="3"/>
      <c r="H139" s="3"/>
      <c r="P139"/>
      <c r="Q139"/>
    </row>
    <row r="140" spans="1:17" x14ac:dyDescent="0.35">
      <c r="A140" s="42"/>
      <c r="B140" s="3"/>
      <c r="C140" s="3"/>
      <c r="D140" s="3"/>
      <c r="E140" s="3"/>
      <c r="F140" s="3"/>
      <c r="G140" s="3"/>
      <c r="H140" s="3"/>
      <c r="I140" s="3"/>
      <c r="P140"/>
      <c r="Q140"/>
    </row>
    <row r="141" spans="1:17" ht="15" thickBot="1" x14ac:dyDescent="0.4">
      <c r="P141"/>
      <c r="Q141"/>
    </row>
    <row r="142" spans="1:17" ht="15.5" thickTop="1" thickBot="1" x14ac:dyDescent="0.4">
      <c r="B142" s="41" t="str">
        <f>$A$4</f>
        <v>SC12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  <c r="P142"/>
      <c r="Q142"/>
    </row>
    <row r="143" spans="1:17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  <c r="P143"/>
      <c r="Q143"/>
    </row>
    <row r="144" spans="1:17" x14ac:dyDescent="0.35">
      <c r="C144" s="3" t="s">
        <v>9</v>
      </c>
      <c r="H144" s="521">
        <f>G8</f>
        <v>1.8100000000000002E-2</v>
      </c>
      <c r="I144" s="61" t="s">
        <v>47</v>
      </c>
      <c r="J144" s="521">
        <f>G9</f>
        <v>1.8100000000000002E-2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  <c r="P144"/>
      <c r="Q144"/>
    </row>
    <row r="145" spans="2:17" x14ac:dyDescent="0.35">
      <c r="C145" s="3"/>
      <c r="D145" s="3"/>
      <c r="E145" s="3"/>
      <c r="F145" s="3"/>
      <c r="H145" s="3"/>
      <c r="I145" s="61"/>
      <c r="J145" s="3"/>
      <c r="K145" s="61"/>
      <c r="L145" s="82"/>
      <c r="M145" s="61"/>
      <c r="N145" s="82"/>
      <c r="P145"/>
      <c r="Q145"/>
    </row>
    <row r="146" spans="2:17" x14ac:dyDescent="0.35">
      <c r="C146" s="3" t="s">
        <v>8</v>
      </c>
      <c r="H146" s="521">
        <f>G14</f>
        <v>1.8100000000000002E-2</v>
      </c>
      <c r="I146" s="61" t="s">
        <v>53</v>
      </c>
      <c r="J146" s="521">
        <f>G15</f>
        <v>1.8100000000000002E-2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  <c r="P146"/>
      <c r="Q146"/>
    </row>
    <row r="147" spans="2:17" x14ac:dyDescent="0.35"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  <c r="P147"/>
      <c r="Q147"/>
    </row>
    <row r="148" spans="2:17" x14ac:dyDescent="0.35">
      <c r="C148" s="3" t="s">
        <v>9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  <c r="P148"/>
      <c r="Q148"/>
    </row>
    <row r="149" spans="2:17" x14ac:dyDescent="0.35"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  <c r="P149"/>
      <c r="Q149"/>
    </row>
    <row r="150" spans="2:17" x14ac:dyDescent="0.35">
      <c r="C150" s="3" t="s">
        <v>8</v>
      </c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  <c r="P150"/>
      <c r="Q150"/>
    </row>
    <row r="151" spans="2:17" x14ac:dyDescent="0.35">
      <c r="H151" s="3"/>
      <c r="I151" s="3"/>
      <c r="J151" s="3"/>
      <c r="K151" s="3"/>
      <c r="L151" s="3"/>
      <c r="M151" s="3"/>
      <c r="N151" s="3"/>
      <c r="P151"/>
      <c r="Q151"/>
    </row>
    <row r="152" spans="2:17" x14ac:dyDescent="0.35">
      <c r="H152" s="3"/>
      <c r="I152" s="3"/>
      <c r="J152" s="3"/>
      <c r="K152" s="3"/>
      <c r="L152" s="3"/>
      <c r="M152" s="3"/>
      <c r="N152" s="3"/>
      <c r="P152"/>
      <c r="Q152"/>
    </row>
    <row r="153" spans="2:17" x14ac:dyDescent="0.35">
      <c r="B153" s="334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/>
      <c r="Q153"/>
    </row>
    <row r="154" spans="2:17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/>
      <c r="Q154"/>
    </row>
    <row r="155" spans="2:17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  <c r="P155"/>
      <c r="Q155"/>
    </row>
    <row r="156" spans="2:17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39321291</v>
      </c>
      <c r="J156" s="36" t="s">
        <v>39</v>
      </c>
      <c r="K156" s="74" t="str">
        <f>CONCATENATE("[",$H$148,"]")</f>
        <v>[X]</v>
      </c>
      <c r="L156" s="61" t="s">
        <v>1129</v>
      </c>
      <c r="P156"/>
      <c r="Q156"/>
    </row>
    <row r="157" spans="2:17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115292046</v>
      </c>
      <c r="J157" s="36" t="s">
        <v>39</v>
      </c>
      <c r="K157" s="73" t="str">
        <f>CONCATENATE("[",$J$148,"]")</f>
        <v>[X]</v>
      </c>
      <c r="L157" s="61" t="s">
        <v>1129</v>
      </c>
      <c r="P157"/>
      <c r="Q157"/>
    </row>
    <row r="158" spans="2:17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  <c r="P158"/>
      <c r="Q158"/>
    </row>
    <row r="159" spans="2:17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  <c r="P159"/>
      <c r="Q159"/>
    </row>
    <row r="162" spans="1:17" x14ac:dyDescent="0.35">
      <c r="A162" s="42"/>
      <c r="B162" s="70" t="s">
        <v>38</v>
      </c>
      <c r="C162" s="3"/>
      <c r="D162" s="3"/>
      <c r="E162" s="3"/>
      <c r="F162" s="3"/>
      <c r="G162" s="3"/>
      <c r="H162" s="3"/>
      <c r="P162"/>
      <c r="Q162"/>
    </row>
    <row r="163" spans="1:17" x14ac:dyDescent="0.35">
      <c r="A163" s="42"/>
      <c r="B163" s="1225" t="str">
        <f>$A$4</f>
        <v>SC12 Rate I</v>
      </c>
      <c r="C163" s="2"/>
      <c r="D163" s="2"/>
      <c r="E163" s="2"/>
      <c r="F163" s="2"/>
      <c r="G163" s="3"/>
      <c r="I163" s="69" t="s">
        <v>44</v>
      </c>
      <c r="P163"/>
      <c r="Q163"/>
    </row>
    <row r="164" spans="1:17" x14ac:dyDescent="0.35">
      <c r="A164" s="42"/>
      <c r="B164" s="2" t="s">
        <v>2152</v>
      </c>
      <c r="C164" s="2"/>
      <c r="D164" s="2"/>
      <c r="E164" s="2"/>
      <c r="F164" s="2"/>
      <c r="G164" s="3"/>
      <c r="I164" s="68">
        <f>$V$6</f>
        <v>39321291</v>
      </c>
      <c r="J164" s="65" t="s">
        <v>32</v>
      </c>
      <c r="K164" s="61" t="s">
        <v>1815</v>
      </c>
      <c r="P164"/>
      <c r="Q164"/>
    </row>
    <row r="165" spans="1:17" x14ac:dyDescent="0.35">
      <c r="A165" s="42"/>
      <c r="B165" s="2" t="s">
        <v>2153</v>
      </c>
      <c r="C165" s="2"/>
      <c r="D165" s="2"/>
      <c r="E165" s="2"/>
      <c r="F165" s="2"/>
      <c r="G165" s="3"/>
      <c r="I165" s="68">
        <f>$V$11</f>
        <v>115292046</v>
      </c>
      <c r="J165" s="65" t="s">
        <v>32</v>
      </c>
      <c r="K165" s="61" t="s">
        <v>1816</v>
      </c>
      <c r="P165"/>
      <c r="Q165"/>
    </row>
    <row r="166" spans="1:17" x14ac:dyDescent="0.35">
      <c r="A166" s="42"/>
      <c r="B166" s="2" t="s">
        <v>2154</v>
      </c>
      <c r="C166" s="2"/>
      <c r="D166" s="2"/>
      <c r="E166" s="2"/>
      <c r="F166" s="2"/>
      <c r="G166" s="3"/>
      <c r="I166" s="68">
        <f>$V$16</f>
        <v>0</v>
      </c>
      <c r="J166" s="65" t="s">
        <v>32</v>
      </c>
      <c r="K166" s="61" t="s">
        <v>1817</v>
      </c>
      <c r="P166"/>
      <c r="Q166"/>
    </row>
    <row r="167" spans="1:17" x14ac:dyDescent="0.35">
      <c r="A167" s="42"/>
      <c r="B167" s="2" t="s">
        <v>2155</v>
      </c>
      <c r="C167" s="2"/>
      <c r="D167" s="2"/>
      <c r="E167" s="2"/>
      <c r="F167" s="2"/>
      <c r="G167" s="3"/>
      <c r="I167" s="67">
        <f>$V$21</f>
        <v>0</v>
      </c>
      <c r="J167" s="65" t="s">
        <v>32</v>
      </c>
      <c r="K167" s="61" t="s">
        <v>1818</v>
      </c>
      <c r="P167"/>
      <c r="Q167"/>
    </row>
    <row r="168" spans="1:17" x14ac:dyDescent="0.35">
      <c r="A168" s="42"/>
      <c r="B168" s="2" t="s">
        <v>2156</v>
      </c>
      <c r="C168" s="2"/>
      <c r="D168" s="2"/>
      <c r="E168" s="2"/>
      <c r="F168" s="1"/>
      <c r="G168" s="66">
        <f>I138</f>
        <v>2658576</v>
      </c>
      <c r="H168" s="63" t="s">
        <v>31</v>
      </c>
      <c r="I168" s="28">
        <f>SUM(I164:I167)</f>
        <v>154613337</v>
      </c>
      <c r="J168" s="65" t="s">
        <v>32</v>
      </c>
      <c r="K168" s="61" t="s">
        <v>1139</v>
      </c>
      <c r="P168"/>
      <c r="Q168"/>
    </row>
    <row r="169" spans="1:17" x14ac:dyDescent="0.35">
      <c r="A169" s="42"/>
      <c r="B169" s="3"/>
      <c r="C169" s="3"/>
      <c r="D169" s="3"/>
      <c r="E169" s="3"/>
      <c r="G169" s="3"/>
      <c r="H169" s="3"/>
      <c r="I169" s="3"/>
      <c r="J169" s="3"/>
      <c r="P169"/>
      <c r="Q169"/>
    </row>
    <row r="170" spans="1:17" x14ac:dyDescent="0.35">
      <c r="A170" s="42"/>
      <c r="B170" s="3"/>
      <c r="C170" s="3"/>
      <c r="D170" s="3"/>
      <c r="E170" s="3"/>
      <c r="G170" s="34">
        <f>G168</f>
        <v>2658576</v>
      </c>
      <c r="H170" s="63" t="s">
        <v>31</v>
      </c>
      <c r="I170" s="28">
        <f>I168</f>
        <v>154613337</v>
      </c>
      <c r="J170" s="65" t="s">
        <v>32</v>
      </c>
      <c r="K170" s="61" t="s">
        <v>1138</v>
      </c>
      <c r="P170"/>
      <c r="Q170"/>
    </row>
    <row r="171" spans="1:17" ht="15" thickBot="1" x14ac:dyDescent="0.4">
      <c r="A171" s="42"/>
      <c r="B171" s="3"/>
      <c r="C171" s="3"/>
      <c r="D171" s="3"/>
      <c r="E171" s="3"/>
      <c r="G171" s="3"/>
      <c r="H171" s="3"/>
      <c r="I171" s="3"/>
      <c r="P171"/>
      <c r="Q171"/>
    </row>
    <row r="172" spans="1:17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950">
        <f>ROUND(G170/I170,4)</f>
        <v>1.72E-2</v>
      </c>
      <c r="J172" s="61" t="s">
        <v>1141</v>
      </c>
      <c r="K172" s="597" t="s">
        <v>1140</v>
      </c>
      <c r="P172"/>
      <c r="Q172"/>
    </row>
    <row r="173" spans="1:17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  <c r="P173"/>
      <c r="Q173"/>
    </row>
    <row r="174" spans="1:17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  <c r="P174"/>
      <c r="Q174"/>
    </row>
    <row r="175" spans="1:17" ht="15.5" thickTop="1" thickBot="1" x14ac:dyDescent="0.4">
      <c r="F175" s="50"/>
      <c r="G175" s="44"/>
      <c r="H175" s="44"/>
      <c r="I175" s="1313" t="s">
        <v>29</v>
      </c>
      <c r="J175" s="1314"/>
      <c r="K175" s="1315"/>
      <c r="L175" s="48"/>
      <c r="P175"/>
      <c r="Q175"/>
    </row>
    <row r="176" spans="1:17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  <c r="P176"/>
      <c r="Q176"/>
    </row>
    <row r="177" spans="1:17" x14ac:dyDescent="0.35">
      <c r="F177" s="50"/>
      <c r="G177" s="44"/>
      <c r="H177" s="44"/>
      <c r="I177" s="969"/>
      <c r="J177" s="974"/>
      <c r="K177" s="969"/>
      <c r="L177" s="48"/>
    </row>
    <row r="178" spans="1:17" x14ac:dyDescent="0.35">
      <c r="F178" s="50"/>
      <c r="G178" s="44" t="s">
        <v>9</v>
      </c>
      <c r="H178" s="44"/>
      <c r="I178" s="969">
        <f>ROUND($I$172*L144,4)</f>
        <v>1.72E-2</v>
      </c>
      <c r="J178" s="975" t="s">
        <v>1143</v>
      </c>
      <c r="K178" s="971">
        <f>I172</f>
        <v>1.72E-2</v>
      </c>
      <c r="L178" s="598" t="s">
        <v>1141</v>
      </c>
    </row>
    <row r="179" spans="1:17" x14ac:dyDescent="0.35">
      <c r="F179" s="50"/>
      <c r="G179" s="44"/>
      <c r="H179" s="44"/>
      <c r="I179" s="969"/>
      <c r="J179" s="974"/>
      <c r="K179" s="969"/>
      <c r="L179" s="48"/>
    </row>
    <row r="180" spans="1:17" x14ac:dyDescent="0.35">
      <c r="F180" s="50"/>
      <c r="G180" s="44" t="s">
        <v>8</v>
      </c>
      <c r="H180" s="44"/>
      <c r="I180" s="969">
        <f>ROUND($I$172*L146,4)</f>
        <v>1.72E-2</v>
      </c>
      <c r="J180" s="975" t="s">
        <v>1144</v>
      </c>
      <c r="K180" s="969">
        <f>ROUND($I$172*N146,4)</f>
        <v>1.72E-2</v>
      </c>
      <c r="L180" s="598" t="s">
        <v>1145</v>
      </c>
    </row>
    <row r="181" spans="1:17" ht="15" thickBot="1" x14ac:dyDescent="0.4">
      <c r="F181" s="47"/>
      <c r="G181" s="46"/>
      <c r="H181" s="46"/>
      <c r="I181" s="976"/>
      <c r="J181" s="976"/>
      <c r="K181" s="97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334" t="s">
        <v>1539</v>
      </c>
    </row>
    <row r="184" spans="1:17" x14ac:dyDescent="0.35">
      <c r="A184" s="42"/>
    </row>
    <row r="185" spans="1:17" x14ac:dyDescent="0.35">
      <c r="A185" s="42"/>
      <c r="B185" s="41" t="str">
        <f>$A$4</f>
        <v>SC12 Rate I</v>
      </c>
    </row>
    <row r="186" spans="1:17" x14ac:dyDescent="0.35">
      <c r="A186" s="3"/>
      <c r="B186" s="407" t="s">
        <v>5</v>
      </c>
      <c r="D186" s="1304">
        <f>L4</f>
        <v>2020</v>
      </c>
      <c r="E186" s="1304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835" t="s">
        <v>27</v>
      </c>
      <c r="D189" s="410"/>
      <c r="E189" s="410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410" t="s">
        <v>9</v>
      </c>
      <c r="D190" s="272">
        <f>D63</f>
        <v>0</v>
      </c>
      <c r="E190" s="272" t="str">
        <f>E63</f>
        <v>-</v>
      </c>
      <c r="F190" s="36">
        <f>F63</f>
        <v>5</v>
      </c>
      <c r="G190" s="29">
        <f>T6</f>
        <v>161</v>
      </c>
      <c r="H190" s="3"/>
      <c r="I190" s="29">
        <f>U6</f>
        <v>4560</v>
      </c>
      <c r="J190" s="3"/>
      <c r="K190" s="35">
        <f>H120</f>
        <v>187.11</v>
      </c>
      <c r="L190" s="3"/>
      <c r="M190" s="524">
        <f>ROUND(K190*(I190/F190),0)</f>
        <v>170644</v>
      </c>
      <c r="N190" s="3"/>
      <c r="O190" s="3"/>
      <c r="P190" s="2"/>
      <c r="Q190" s="2"/>
    </row>
    <row r="191" spans="1:17" x14ac:dyDescent="0.35">
      <c r="B191" s="3"/>
      <c r="C191" s="410"/>
      <c r="D191" s="272"/>
      <c r="E191" s="272" t="str">
        <f>E$65</f>
        <v>&gt;</v>
      </c>
      <c r="F191" s="36">
        <f>F$65</f>
        <v>5</v>
      </c>
      <c r="G191" s="29">
        <f>T7</f>
        <v>751</v>
      </c>
      <c r="H191" s="3"/>
      <c r="I191" s="29">
        <f>U7</f>
        <v>88600</v>
      </c>
      <c r="J191" s="3"/>
      <c r="K191" s="35">
        <f>H122</f>
        <v>33.840000000000003</v>
      </c>
      <c r="L191" s="3"/>
      <c r="M191" s="26">
        <f>ROUND(K191*I191,0)</f>
        <v>2998224</v>
      </c>
      <c r="N191" s="3"/>
      <c r="O191" s="3"/>
      <c r="P191" s="2"/>
      <c r="Q191" s="2"/>
    </row>
    <row r="192" spans="1:17" x14ac:dyDescent="0.35">
      <c r="B192" s="3"/>
      <c r="C192" s="410"/>
      <c r="D192" s="272"/>
      <c r="E192" s="272"/>
      <c r="F192" s="36"/>
      <c r="G192" s="38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410"/>
      <c r="D193" s="272"/>
      <c r="E193" s="272"/>
      <c r="F193" s="36"/>
      <c r="G193" s="28">
        <f>G190+G191+G192</f>
        <v>912</v>
      </c>
      <c r="H193" s="3"/>
      <c r="I193" s="28">
        <f>I190+I191+I192</f>
        <v>93160</v>
      </c>
      <c r="J193" s="3"/>
      <c r="K193" s="35"/>
      <c r="L193" s="3"/>
      <c r="M193" s="34">
        <f>M190+M191+M192</f>
        <v>3168868</v>
      </c>
      <c r="N193" s="34"/>
      <c r="O193" s="36" t="s">
        <v>10</v>
      </c>
      <c r="P193" s="2"/>
      <c r="Q193" s="2"/>
    </row>
    <row r="194" spans="2:17" x14ac:dyDescent="0.35">
      <c r="B194" s="3"/>
      <c r="C194" s="410"/>
      <c r="D194" s="272"/>
      <c r="E194" s="272"/>
      <c r="F194" s="36"/>
      <c r="G194" s="28"/>
      <c r="H194" s="3"/>
      <c r="I194" s="28"/>
      <c r="J194" s="3"/>
      <c r="K194" s="35"/>
      <c r="L194" s="33" t="s">
        <v>22</v>
      </c>
      <c r="M194" s="34">
        <f>ROUND(M193*(O194-1),0)</f>
        <v>37773</v>
      </c>
      <c r="N194" s="33" t="s">
        <v>23</v>
      </c>
      <c r="O194" s="108">
        <f>L10</f>
        <v>1.0119199999999999</v>
      </c>
      <c r="P194" s="2"/>
      <c r="Q194" s="2"/>
    </row>
    <row r="195" spans="2:17" x14ac:dyDescent="0.35">
      <c r="B195" s="3"/>
      <c r="C195" s="410"/>
      <c r="D195" s="272"/>
      <c r="E195" s="272"/>
      <c r="F195" s="36"/>
      <c r="G195" s="28"/>
      <c r="H195" s="3"/>
      <c r="I195" s="28"/>
      <c r="J195" s="3"/>
      <c r="K195" s="35"/>
      <c r="L195" s="33" t="s">
        <v>21</v>
      </c>
      <c r="M195" s="32">
        <f>M193+M194</f>
        <v>3206641</v>
      </c>
      <c r="N195" s="8"/>
      <c r="O195" s="3"/>
      <c r="P195" s="2"/>
      <c r="Q195" s="2"/>
    </row>
    <row r="196" spans="2:17" x14ac:dyDescent="0.35">
      <c r="B196" s="3"/>
      <c r="C196" s="410"/>
      <c r="D196" s="410"/>
      <c r="E196" s="4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410" t="s">
        <v>8</v>
      </c>
      <c r="D197" s="272">
        <f>D190</f>
        <v>0</v>
      </c>
      <c r="E197" s="272" t="str">
        <f>E190</f>
        <v>-</v>
      </c>
      <c r="F197" s="36">
        <f>F190</f>
        <v>5</v>
      </c>
      <c r="G197" s="29">
        <f>T16</f>
        <v>0</v>
      </c>
      <c r="H197" s="3"/>
      <c r="I197" s="29">
        <f>U16</f>
        <v>0</v>
      </c>
      <c r="J197" s="3"/>
      <c r="K197" s="35">
        <f>H124</f>
        <v>139.91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410"/>
      <c r="D198" s="272"/>
      <c r="E198" s="272" t="str">
        <f>E191</f>
        <v>&gt;</v>
      </c>
      <c r="F198" s="36">
        <f>F191</f>
        <v>5</v>
      </c>
      <c r="G198" s="29">
        <f>T17</f>
        <v>0</v>
      </c>
      <c r="H198" s="3"/>
      <c r="I198" s="29">
        <f>U17</f>
        <v>0</v>
      </c>
      <c r="J198" s="3"/>
      <c r="K198" s="35">
        <f>H126</f>
        <v>25.29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410"/>
      <c r="D199" s="272"/>
      <c r="E199" s="272"/>
      <c r="F199" s="36"/>
      <c r="G199" s="38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410"/>
      <c r="D200" s="272"/>
      <c r="E200" s="272"/>
      <c r="F200" s="36"/>
      <c r="G200" s="28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410"/>
      <c r="D201" s="272"/>
      <c r="E201" s="272"/>
      <c r="F201" s="36"/>
      <c r="G201" s="28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410"/>
      <c r="D202" s="272"/>
      <c r="E202" s="272"/>
      <c r="F202" s="36"/>
      <c r="G202" s="28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410"/>
      <c r="D203" s="410"/>
      <c r="E203" s="4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410"/>
      <c r="D204" s="410"/>
      <c r="E204" s="4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410"/>
      <c r="D205" s="410"/>
      <c r="E205" s="410"/>
      <c r="F205" s="3"/>
      <c r="G205" s="3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410"/>
      <c r="D206" s="410"/>
      <c r="E206" s="410"/>
      <c r="F206" s="3"/>
      <c r="G206" s="3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835" t="s">
        <v>24</v>
      </c>
      <c r="D207" s="410"/>
      <c r="E207" s="410"/>
      <c r="F207" s="3"/>
      <c r="G207" s="3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410" t="s">
        <v>9</v>
      </c>
      <c r="D208" s="272">
        <f>D190</f>
        <v>0</v>
      </c>
      <c r="E208" s="272" t="str">
        <f>E190</f>
        <v>-</v>
      </c>
      <c r="F208" s="36">
        <f>F190</f>
        <v>5</v>
      </c>
      <c r="G208" s="29">
        <f>T11</f>
        <v>210</v>
      </c>
      <c r="H208" s="3"/>
      <c r="I208" s="29">
        <f>U11</f>
        <v>9120</v>
      </c>
      <c r="J208" s="3"/>
      <c r="K208" s="35">
        <f>J120</f>
        <v>105.06</v>
      </c>
      <c r="L208" s="3"/>
      <c r="M208" s="524">
        <f>ROUND(K208*(I208/F208),0)</f>
        <v>191629</v>
      </c>
      <c r="N208" s="17"/>
      <c r="O208" s="3"/>
      <c r="P208" s="2"/>
      <c r="Q208" s="2"/>
    </row>
    <row r="209" spans="2:17" x14ac:dyDescent="0.35">
      <c r="B209" s="3"/>
      <c r="C209" s="410"/>
      <c r="D209" s="272"/>
      <c r="E209" s="272" t="str">
        <f>E191</f>
        <v>&gt;</v>
      </c>
      <c r="F209" s="36">
        <f>F191</f>
        <v>5</v>
      </c>
      <c r="G209" s="29">
        <f>T12</f>
        <v>1614</v>
      </c>
      <c r="H209" s="3"/>
      <c r="I209" s="29">
        <f>U12</f>
        <v>258373</v>
      </c>
      <c r="J209" s="3"/>
      <c r="K209" s="35">
        <f>J122</f>
        <v>18.98</v>
      </c>
      <c r="L209" s="3"/>
      <c r="M209" s="26">
        <f>ROUND(K209*I209,0)</f>
        <v>4903920</v>
      </c>
      <c r="N209" s="17"/>
      <c r="O209" s="3"/>
      <c r="P209" s="2"/>
      <c r="Q209" s="2"/>
    </row>
    <row r="210" spans="2:17" x14ac:dyDescent="0.35">
      <c r="B210" s="3"/>
      <c r="C210" s="3"/>
      <c r="D210" s="36"/>
      <c r="E210" s="36"/>
      <c r="F210" s="36"/>
      <c r="G210" s="38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3"/>
      <c r="D211" s="36"/>
      <c r="E211" s="36"/>
      <c r="F211" s="36"/>
      <c r="G211" s="28">
        <f>G208+G209+G210</f>
        <v>1824</v>
      </c>
      <c r="H211" s="3"/>
      <c r="I211" s="28">
        <f>I208+I209+I210</f>
        <v>267493</v>
      </c>
      <c r="J211" s="3"/>
      <c r="K211" s="35"/>
      <c r="L211" s="3"/>
      <c r="M211" s="34">
        <f>M208+M209+M210</f>
        <v>5095549</v>
      </c>
      <c r="N211" s="3"/>
      <c r="O211" s="36" t="s">
        <v>7</v>
      </c>
      <c r="P211" s="2"/>
      <c r="Q211" s="2"/>
    </row>
    <row r="212" spans="2:17" x14ac:dyDescent="0.35">
      <c r="B212" s="3"/>
      <c r="C212" s="3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34">
        <f>ROUND(M211*(O212-1),0)</f>
        <v>54370</v>
      </c>
      <c r="N212" s="33" t="s">
        <v>23</v>
      </c>
      <c r="O212" s="108">
        <f>L11</f>
        <v>1.01067</v>
      </c>
      <c r="P212" s="2"/>
      <c r="Q212" s="2"/>
    </row>
    <row r="213" spans="2:17" x14ac:dyDescent="0.35">
      <c r="B213" s="3"/>
      <c r="C213" s="3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32">
        <f>M211+M212</f>
        <v>5149919</v>
      </c>
      <c r="N213" s="8"/>
      <c r="O213" s="3"/>
      <c r="P213" s="2"/>
      <c r="Q213" s="2"/>
    </row>
    <row r="214" spans="2:1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3" t="s">
        <v>8</v>
      </c>
      <c r="D215" s="36">
        <f>D190</f>
        <v>0</v>
      </c>
      <c r="E215" s="36" t="str">
        <f>E190</f>
        <v>-</v>
      </c>
      <c r="F215" s="36">
        <f>F190</f>
        <v>5</v>
      </c>
      <c r="G215" s="29">
        <f>T21</f>
        <v>0</v>
      </c>
      <c r="H215" s="3"/>
      <c r="I215" s="29">
        <f>U21</f>
        <v>0</v>
      </c>
      <c r="J215" s="3"/>
      <c r="K215" s="35">
        <f>J124</f>
        <v>58.02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3"/>
      <c r="D216" s="36"/>
      <c r="E216" s="36" t="str">
        <f>E191</f>
        <v>&gt;</v>
      </c>
      <c r="F216" s="36">
        <f>F191</f>
        <v>5</v>
      </c>
      <c r="G216" s="29">
        <f>T22</f>
        <v>0</v>
      </c>
      <c r="H216" s="3"/>
      <c r="I216" s="29">
        <f>U22</f>
        <v>0</v>
      </c>
      <c r="J216" s="3"/>
      <c r="K216" s="35">
        <f>J126</f>
        <v>10.450000000000001</v>
      </c>
      <c r="L216" s="3"/>
      <c r="M216" s="825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3"/>
      <c r="D217" s="36"/>
      <c r="E217" s="36"/>
      <c r="F217" s="36"/>
      <c r="G217" s="38">
        <f>T23</f>
        <v>0</v>
      </c>
      <c r="H217" s="3"/>
      <c r="I217" s="38">
        <f>U23</f>
        <v>0</v>
      </c>
      <c r="J217" s="3"/>
      <c r="K217" s="35"/>
      <c r="L217" s="3"/>
      <c r="M217" s="826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3"/>
      <c r="D218" s="36"/>
      <c r="E218" s="36"/>
      <c r="F218" s="36"/>
      <c r="G218" s="28">
        <f>G215+G216+G217</f>
        <v>0</v>
      </c>
      <c r="H218" s="3"/>
      <c r="I218" s="28">
        <f>I215+I216+I217</f>
        <v>0</v>
      </c>
      <c r="J218" s="3"/>
      <c r="K218" s="35"/>
      <c r="L218" s="3"/>
      <c r="M218" s="823">
        <f>M215+M216+M217</f>
        <v>0</v>
      </c>
      <c r="N218" s="17"/>
      <c r="O218" s="3"/>
      <c r="P218" s="2"/>
      <c r="Q218" s="2"/>
    </row>
    <row r="219" spans="2:1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823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827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10"/>
      <c r="N221" s="3"/>
      <c r="O221" s="3"/>
      <c r="P221" s="2"/>
      <c r="Q221" s="2"/>
    </row>
    <row r="222" spans="2:17" ht="15.5" thickTop="1" thickBot="1" x14ac:dyDescent="0.4">
      <c r="B222" s="3"/>
      <c r="C222" s="837" t="str">
        <f>CONCATENATE($A$4," - Total Annual Demand Charge Incl EDB:")</f>
        <v>SC12 Rate I - Total Annual Demand Charge Incl EDB:</v>
      </c>
      <c r="D222" s="410"/>
      <c r="E222" s="410"/>
      <c r="F222" s="410"/>
      <c r="G222" s="410"/>
      <c r="H222" s="410"/>
      <c r="I222" s="3"/>
      <c r="J222" s="3"/>
      <c r="K222" s="3"/>
      <c r="L222" s="3"/>
      <c r="M222" s="821">
        <f>M195+M202+M213+M220</f>
        <v>8356560</v>
      </c>
      <c r="N222" s="17"/>
      <c r="O222" s="3"/>
      <c r="P222" s="2"/>
      <c r="Q222" s="2"/>
    </row>
    <row r="223" spans="2:17" ht="15" thickTop="1" x14ac:dyDescent="0.35">
      <c r="B223" s="3"/>
      <c r="C223" s="410"/>
      <c r="D223" s="410"/>
      <c r="E223" s="410"/>
      <c r="F223" s="410"/>
      <c r="G223" s="410"/>
      <c r="H223" s="410"/>
      <c r="I223" s="3"/>
      <c r="J223" s="3"/>
      <c r="K223" s="3"/>
      <c r="L223" s="3"/>
      <c r="M223" s="410"/>
      <c r="N223" s="17"/>
      <c r="O223" s="3"/>
      <c r="P223" s="2"/>
      <c r="Q223" s="2"/>
    </row>
    <row r="224" spans="2:17" x14ac:dyDescent="0.35">
      <c r="B224" s="3"/>
      <c r="C224" s="410"/>
      <c r="D224" s="410"/>
      <c r="E224" s="410"/>
      <c r="F224" s="410"/>
      <c r="G224" s="410"/>
      <c r="H224" s="410"/>
      <c r="I224" s="3"/>
      <c r="J224" s="3"/>
      <c r="K224" s="30" t="s">
        <v>15</v>
      </c>
      <c r="L224" s="3"/>
      <c r="M224" s="536" t="s">
        <v>14</v>
      </c>
      <c r="N224" s="17"/>
      <c r="O224" s="3"/>
      <c r="P224" s="2"/>
      <c r="Q224" s="2"/>
    </row>
    <row r="225" spans="2:17" x14ac:dyDescent="0.35">
      <c r="B225" s="3"/>
      <c r="C225" s="835" t="s">
        <v>13</v>
      </c>
      <c r="D225" s="410"/>
      <c r="E225" s="410"/>
      <c r="F225" s="410"/>
      <c r="G225" s="410"/>
      <c r="H225" s="410"/>
      <c r="I225" s="30" t="s">
        <v>12</v>
      </c>
      <c r="J225" s="3"/>
      <c r="K225" s="30" t="s">
        <v>11</v>
      </c>
      <c r="L225" s="3"/>
      <c r="M225" s="834" t="s">
        <v>6</v>
      </c>
      <c r="N225" s="17"/>
      <c r="O225" s="3"/>
      <c r="P225" s="2"/>
      <c r="Q225" s="2"/>
    </row>
    <row r="226" spans="2:17" x14ac:dyDescent="0.35">
      <c r="B226" s="3"/>
      <c r="C226" s="410" t="s">
        <v>9</v>
      </c>
      <c r="D226" s="410" t="s">
        <v>10</v>
      </c>
      <c r="E226" s="410"/>
      <c r="F226" s="410"/>
      <c r="G226" s="410"/>
      <c r="H226" s="410"/>
      <c r="I226" s="29">
        <f>V6</f>
        <v>39321291</v>
      </c>
      <c r="J226" s="3"/>
      <c r="K226" s="27">
        <f>I178</f>
        <v>1.72E-2</v>
      </c>
      <c r="L226" s="3"/>
      <c r="M226" s="524">
        <f>ROUND(I226*K226,0)</f>
        <v>676326</v>
      </c>
      <c r="N226" s="17"/>
      <c r="O226" s="3"/>
      <c r="P226" s="2"/>
      <c r="Q226" s="2"/>
    </row>
    <row r="227" spans="2:17" x14ac:dyDescent="0.35">
      <c r="B227" s="3"/>
      <c r="C227" s="410"/>
      <c r="D227" s="410"/>
      <c r="E227" s="410"/>
      <c r="F227" s="410"/>
      <c r="G227" s="410"/>
      <c r="H227" s="410"/>
      <c r="I227" s="3"/>
      <c r="J227" s="3"/>
      <c r="K227" s="3"/>
      <c r="L227" s="3"/>
      <c r="M227" s="392"/>
      <c r="N227" s="3"/>
      <c r="O227" s="3"/>
      <c r="P227" s="2"/>
      <c r="Q227" s="2"/>
    </row>
    <row r="228" spans="2:17" x14ac:dyDescent="0.35">
      <c r="B228" s="3"/>
      <c r="C228" s="410" t="s">
        <v>8</v>
      </c>
      <c r="D228" s="410" t="s">
        <v>10</v>
      </c>
      <c r="E228" s="410"/>
      <c r="F228" s="410"/>
      <c r="G228" s="410"/>
      <c r="H228" s="410"/>
      <c r="I228" s="28">
        <f>V16</f>
        <v>0</v>
      </c>
      <c r="J228" s="3"/>
      <c r="K228" s="27">
        <f>I180</f>
        <v>1.72E-2</v>
      </c>
      <c r="L228" s="3"/>
      <c r="M228" s="524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410"/>
      <c r="D229" s="410"/>
      <c r="E229" s="410"/>
      <c r="F229" s="410"/>
      <c r="G229" s="410"/>
      <c r="H229" s="410"/>
      <c r="I229" s="3"/>
      <c r="J229" s="3"/>
      <c r="K229" s="3"/>
      <c r="L229" s="3"/>
      <c r="M229" s="392"/>
      <c r="N229" s="3"/>
      <c r="O229" s="3"/>
      <c r="P229" s="2"/>
      <c r="Q229" s="2"/>
    </row>
    <row r="230" spans="2:17" x14ac:dyDescent="0.35">
      <c r="B230" s="3"/>
      <c r="C230" s="410" t="s">
        <v>9</v>
      </c>
      <c r="D230" s="410" t="s">
        <v>7</v>
      </c>
      <c r="E230" s="410"/>
      <c r="F230" s="410"/>
      <c r="G230" s="410"/>
      <c r="H230" s="410"/>
      <c r="I230" s="28">
        <f>V11</f>
        <v>115292046</v>
      </c>
      <c r="J230" s="3"/>
      <c r="K230" s="27">
        <f>K178</f>
        <v>1.72E-2</v>
      </c>
      <c r="L230" s="3"/>
      <c r="M230" s="524">
        <f>ROUND(I230*K230,0)</f>
        <v>1983023</v>
      </c>
      <c r="N230" s="17"/>
      <c r="O230" s="3"/>
      <c r="P230" s="2"/>
      <c r="Q230" s="2"/>
    </row>
    <row r="231" spans="2:17" x14ac:dyDescent="0.35">
      <c r="B231" s="3"/>
      <c r="C231" s="410"/>
      <c r="D231" s="410"/>
      <c r="E231" s="410"/>
      <c r="F231" s="410"/>
      <c r="G231" s="410"/>
      <c r="H231" s="410"/>
      <c r="I231" s="3"/>
      <c r="J231" s="3"/>
      <c r="K231" s="3"/>
      <c r="L231" s="3"/>
      <c r="M231" s="392"/>
      <c r="N231" s="3"/>
      <c r="O231" s="3"/>
      <c r="P231" s="2"/>
      <c r="Q231" s="2"/>
    </row>
    <row r="232" spans="2:17" x14ac:dyDescent="0.35">
      <c r="B232" s="3"/>
      <c r="C232" s="410" t="s">
        <v>8</v>
      </c>
      <c r="D232" s="410" t="s">
        <v>7</v>
      </c>
      <c r="E232" s="410"/>
      <c r="F232" s="410"/>
      <c r="G232" s="410"/>
      <c r="H232" s="410"/>
      <c r="I232" s="28">
        <f>V21</f>
        <v>0</v>
      </c>
      <c r="J232" s="3"/>
      <c r="K232" s="27">
        <f>K180</f>
        <v>1.72E-2</v>
      </c>
      <c r="L232" s="3"/>
      <c r="M232" s="524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410"/>
      <c r="D233" s="410"/>
      <c r="E233" s="410"/>
      <c r="F233" s="410"/>
      <c r="G233" s="410"/>
      <c r="H233" s="410"/>
      <c r="I233" s="3"/>
      <c r="J233" s="3"/>
      <c r="K233" s="3"/>
      <c r="L233" s="3"/>
      <c r="M233" s="392"/>
      <c r="N233" s="17"/>
      <c r="O233" s="3"/>
      <c r="P233" s="2"/>
      <c r="Q233" s="2"/>
    </row>
    <row r="234" spans="2:17" ht="15.5" thickTop="1" thickBot="1" x14ac:dyDescent="0.4">
      <c r="B234" s="3"/>
      <c r="C234" s="837" t="str">
        <f>CONCATENATE($A$4," - Total Annual Energy Charge:")</f>
        <v>SC12 Rate I - Total Annual Energy Charge:</v>
      </c>
      <c r="D234" s="410"/>
      <c r="E234" s="410"/>
      <c r="F234" s="410"/>
      <c r="G234" s="410"/>
      <c r="H234" s="410"/>
      <c r="I234" s="3"/>
      <c r="J234" s="3"/>
      <c r="K234" s="3"/>
      <c r="L234" s="3"/>
      <c r="M234" s="821">
        <f>M226+M228+M230+M232</f>
        <v>2659349</v>
      </c>
      <c r="N234" s="17"/>
      <c r="O234" s="3"/>
      <c r="P234" s="2"/>
      <c r="Q234" s="2"/>
    </row>
    <row r="235" spans="2:17" ht="15.5" thickTop="1" thickBot="1" x14ac:dyDescent="0.4">
      <c r="B235" s="3"/>
      <c r="C235" s="410"/>
      <c r="D235" s="410"/>
      <c r="E235" s="410"/>
      <c r="F235" s="410"/>
      <c r="G235" s="410"/>
      <c r="H235" s="410"/>
      <c r="I235" s="3"/>
      <c r="J235" s="3"/>
      <c r="K235" s="3"/>
      <c r="L235" s="3"/>
      <c r="M235" s="410"/>
      <c r="N235" s="17"/>
      <c r="O235" s="3"/>
      <c r="P235" s="2"/>
      <c r="Q235" s="2"/>
    </row>
    <row r="236" spans="2:17" ht="15.5" thickTop="1" thickBot="1" x14ac:dyDescent="0.4">
      <c r="B236" s="3"/>
      <c r="C236" s="837" t="str">
        <f>CONCATENATE($A$4," - Total Charge Price-Out at Proposed Rates:")</f>
        <v>SC12 Rate I - Total Charge Price-Out at Proposed Rates:</v>
      </c>
      <c r="D236" s="410"/>
      <c r="E236" s="410"/>
      <c r="F236" s="410"/>
      <c r="G236" s="410"/>
      <c r="H236" s="410"/>
      <c r="I236" s="3"/>
      <c r="J236" s="3"/>
      <c r="K236" s="3"/>
      <c r="L236" s="3"/>
      <c r="M236" s="821">
        <f>M222+M234</f>
        <v>11015909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10"/>
      <c r="N237" s="17"/>
      <c r="O237" s="3"/>
      <c r="P237" s="2"/>
      <c r="Q237" s="2"/>
    </row>
    <row r="238" spans="2:17" x14ac:dyDescent="0.35">
      <c r="B238" s="3"/>
      <c r="C238" s="815" t="str">
        <f>$A$4</f>
        <v>SC12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05">
        <f>L4</f>
        <v>2020</v>
      </c>
      <c r="E239" s="1305"/>
      <c r="F239" s="1305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699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11015909</v>
      </c>
      <c r="N240" s="558"/>
      <c r="O240" s="2"/>
      <c r="P240" s="2"/>
      <c r="Q240" s="2"/>
    </row>
    <row r="241" spans="1:17" x14ac:dyDescent="0.35">
      <c r="B241" s="3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470"/>
      <c r="N241" s="558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471"/>
      <c r="N242" s="558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11015909</v>
      </c>
      <c r="N243" s="558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8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828">
        <f>L19</f>
        <v>11014263</v>
      </c>
      <c r="N245" s="558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1646</v>
      </c>
      <c r="N246" s="558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1.4944259093874201E-4</v>
      </c>
      <c r="N247" s="558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25" header="0.3" footer="0.05"/>
  <pageSetup scale="45" orientation="landscape" r:id="rId1"/>
  <headerFooter>
    <oddFooter>&amp;C&amp;F (Tab: &amp;A)&amp;RPage &amp;P / &amp;N</oddFooter>
  </headerFooter>
  <rowBreaks count="3" manualBreakCount="3">
    <brk id="81" max="16383" man="1"/>
    <brk id="161" max="16383" man="1"/>
    <brk id="237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1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>
    <tabColor rgb="FFFFFF00"/>
  </sheetPr>
  <dimension ref="A1:G237"/>
  <sheetViews>
    <sheetView topLeftCell="A203" workbookViewId="0">
      <selection activeCell="G221" sqref="G221"/>
    </sheetView>
  </sheetViews>
  <sheetFormatPr defaultRowHeight="14.5" outlineLevelRow="1" outlineLevelCol="1" x14ac:dyDescent="0.35"/>
  <cols>
    <col min="1" max="1" width="9" customWidth="1" outlineLevel="1"/>
    <col min="2" max="2" width="3.453125" customWidth="1"/>
    <col min="3" max="3" width="38.453125" customWidth="1"/>
    <col min="4" max="4" width="17.7265625" customWidth="1"/>
    <col min="5" max="5" width="15.54296875" customWidth="1"/>
    <col min="6" max="6" width="14.26953125" style="425" customWidth="1"/>
    <col min="7" max="7" width="51.1796875" customWidth="1"/>
    <col min="8" max="11" width="14.26953125" customWidth="1"/>
    <col min="12" max="12" width="7.7265625" customWidth="1"/>
    <col min="13" max="14" width="14.26953125" customWidth="1"/>
  </cols>
  <sheetData>
    <row r="1" spans="1:7" ht="15.5" x14ac:dyDescent="0.35">
      <c r="C1" s="438" t="s">
        <v>2296</v>
      </c>
      <c r="E1" s="143"/>
    </row>
    <row r="2" spans="1:7" x14ac:dyDescent="0.35">
      <c r="C2" s="407" t="str">
        <f>CONCATENATE("- Redesign Rates - High Tension &amp; Low Tension Shifting - Based on ",FIXED($D$4*100,0),"% Criteria of H/L Tension Differentials Between Current Rates &amp; ECOS Study Costs")</f>
        <v>- Redesign Rates - High Tension &amp; Low Tension Shifting - Based on 5% Criteria of H/L Tension Differentials Between Current Rates &amp; ECOS Study Costs</v>
      </c>
    </row>
    <row r="3" spans="1:7" x14ac:dyDescent="0.35">
      <c r="C3" s="446"/>
      <c r="D3" s="1"/>
      <c r="E3" s="1071" t="s">
        <v>2150</v>
      </c>
      <c r="F3" s="833">
        <f>'[1]A1.)RatesInput'!$I$4</f>
        <v>2020</v>
      </c>
      <c r="G3" s="1" t="str">
        <f>'[1]A1.)RatesInput'!$I$2</f>
        <v>RY1</v>
      </c>
    </row>
    <row r="4" spans="1:7" x14ac:dyDescent="0.35">
      <c r="C4" s="753" t="s">
        <v>1540</v>
      </c>
      <c r="D4" s="859">
        <f>'[1]A1.)RatesInput'!$I$99</f>
        <v>0.05</v>
      </c>
      <c r="E4" s="1072" t="s">
        <v>296</v>
      </c>
      <c r="F4" s="833">
        <f>'[1]A1.)RatesInput'!$G$4</f>
        <v>2019</v>
      </c>
    </row>
    <row r="5" spans="1:7" ht="15" thickBot="1" x14ac:dyDescent="0.4">
      <c r="C5" s="753" t="s">
        <v>1080</v>
      </c>
      <c r="D5" s="859">
        <f>'[1]A1.)RatesInput'!$E$99</f>
        <v>0.05</v>
      </c>
      <c r="E5" s="1072" t="s">
        <v>297</v>
      </c>
      <c r="F5" s="833">
        <f>'[1]A1.)RatesInput'!$G$3</f>
        <v>2017</v>
      </c>
    </row>
    <row r="6" spans="1:7" ht="15" thickBot="1" x14ac:dyDescent="0.4">
      <c r="A6" s="486" t="str">
        <f>'9B.)HL_RedesignRateComp'!O17</f>
        <v>N</v>
      </c>
      <c r="B6" s="407" t="s">
        <v>533</v>
      </c>
      <c r="C6" s="857" t="s">
        <v>529</v>
      </c>
      <c r="D6" s="400" t="str">
        <f>CONCATENATE('9G.)HL_RedgnRate_SC8_II'!$A$2," ",'9G.)HL_RedgnRate_SC8_II'!$A$3," ",'9G.)HL_RedgnRate_SC8_II'!$A$4)</f>
        <v>SC8 Rate II TODL</v>
      </c>
      <c r="E6" s="436"/>
    </row>
    <row r="7" spans="1:7" x14ac:dyDescent="0.35">
      <c r="A7" s="486"/>
      <c r="B7" s="406"/>
      <c r="C7" s="857" t="s">
        <v>528</v>
      </c>
      <c r="D7" s="372" t="s">
        <v>1336</v>
      </c>
    </row>
    <row r="8" spans="1:7" x14ac:dyDescent="0.35">
      <c r="A8" s="486"/>
      <c r="B8" s="406"/>
      <c r="C8" s="406"/>
    </row>
    <row r="9" spans="1:7" x14ac:dyDescent="0.35">
      <c r="A9" s="486"/>
      <c r="B9" s="406"/>
      <c r="C9" s="857" t="s">
        <v>527</v>
      </c>
      <c r="D9" s="428" t="s">
        <v>170</v>
      </c>
      <c r="E9" s="428" t="s">
        <v>142</v>
      </c>
      <c r="F9" s="428" t="s">
        <v>526</v>
      </c>
    </row>
    <row r="10" spans="1:7" x14ac:dyDescent="0.35">
      <c r="A10" s="486"/>
      <c r="B10" s="406"/>
      <c r="C10" s="406"/>
      <c r="D10" s="845" t="s">
        <v>1308</v>
      </c>
      <c r="E10" s="296"/>
    </row>
    <row r="11" spans="1:7" x14ac:dyDescent="0.35">
      <c r="A11" s="486"/>
      <c r="B11" s="406"/>
      <c r="C11" s="464" t="s">
        <v>876</v>
      </c>
      <c r="D11" s="643">
        <f>IF(ISNUMBER(VLOOKUP($C11,'[1]A1.)RatesInput'!$B$195:$L$281,HLOOKUP(D$10,'[1]A1.)RatesInput'!$D$195:$L$281,3,0),0)),VLOOKUP($C11,'[1]A1.)RatesInput'!$B$195:$L$281,HLOOKUP(D$10,'[1]A1.)RatesInput'!$D$195:$L$281,3,0),0),0)</f>
        <v>0</v>
      </c>
      <c r="E11" s="643">
        <f>IF($A$6="Y",'9G.)HL_RedgnRate_SC8_II'!$G$16,D11)</f>
        <v>0</v>
      </c>
      <c r="F11" s="1091" t="str">
        <f t="shared" ref="F11:F16" si="0">IF(ISNUMBER(E11/D11-1),E11/D11-1,"")</f>
        <v/>
      </c>
    </row>
    <row r="12" spans="1:7" x14ac:dyDescent="0.35">
      <c r="A12" s="486"/>
      <c r="B12" s="406"/>
      <c r="C12" s="464" t="s">
        <v>877</v>
      </c>
      <c r="D12" s="645">
        <f>IF(ISNUMBER(VLOOKUP($C12,'[1]A1.)RatesInput'!$B$195:$L$281,HLOOKUP(D$10,'[1]A1.)RatesInput'!$D$195:$L$281,3,0),0)),VLOOKUP($C12,'[1]A1.)RatesInput'!$B$195:$L$281,HLOOKUP(D$10,'[1]A1.)RatesInput'!$D$195:$L$281,3,0),0),0)</f>
        <v>15.98</v>
      </c>
      <c r="E12" s="645">
        <f>IF($A$6="Y",'9G.)HL_RedgnRate_SC8_II'!$G$17,D12)</f>
        <v>15.98</v>
      </c>
      <c r="F12" s="1092">
        <f t="shared" si="0"/>
        <v>0</v>
      </c>
    </row>
    <row r="13" spans="1:7" x14ac:dyDescent="0.35">
      <c r="A13" s="486"/>
      <c r="B13" s="406"/>
      <c r="C13" s="464" t="s">
        <v>878</v>
      </c>
      <c r="D13" s="645">
        <f>IF(ISNUMBER(VLOOKUP($C13,'[1]A1.)RatesInput'!$B$195:$L$281,HLOOKUP(D$10,'[1]A1.)RatesInput'!$D$195:$L$281,3,0),0)),VLOOKUP($C13,'[1]A1.)RatesInput'!$B$195:$L$281,HLOOKUP(D$10,'[1]A1.)RatesInput'!$D$195:$L$281,3,0),0),0)</f>
        <v>3.74</v>
      </c>
      <c r="E13" s="645">
        <f>IF($A$6="Y",'9G.)HL_RedgnRate_SC8_II'!$G$18,D13)</f>
        <v>3.74</v>
      </c>
      <c r="F13" s="1092">
        <f t="shared" si="0"/>
        <v>0</v>
      </c>
    </row>
    <row r="14" spans="1:7" x14ac:dyDescent="0.35">
      <c r="A14" s="486"/>
      <c r="B14" s="406"/>
      <c r="C14" s="464" t="s">
        <v>879</v>
      </c>
      <c r="D14" s="645">
        <f>IF(ISNUMBER(VLOOKUP($C14,'[1]A1.)RatesInput'!$B$195:$L$281,HLOOKUP(D$10,'[1]A1.)RatesInput'!$D$195:$L$281,3,0),0)),VLOOKUP($C14,'[1]A1.)RatesInput'!$B$195:$L$281,HLOOKUP(D$10,'[1]A1.)RatesInput'!$D$195:$L$281,3,0),0),0)</f>
        <v>9.06</v>
      </c>
      <c r="E14" s="645">
        <f>IF($A$6="Y",'9G.)HL_RedgnRate_SC8_II'!$G$19,D14)</f>
        <v>9.06</v>
      </c>
      <c r="F14" s="1092">
        <f t="shared" si="0"/>
        <v>0</v>
      </c>
    </row>
    <row r="15" spans="1:7" x14ac:dyDescent="0.35">
      <c r="A15" s="486"/>
      <c r="B15" s="406"/>
      <c r="C15" s="464" t="s">
        <v>880</v>
      </c>
      <c r="D15" s="645">
        <f>IF(ISNUMBER(VLOOKUP($C15,'[1]A1.)RatesInput'!$B$195:$L$281,HLOOKUP(D$10,'[1]A1.)RatesInput'!$D$195:$L$281,3,0),0)),VLOOKUP($C15,'[1]A1.)RatesInput'!$B$195:$L$281,HLOOKUP(D$10,'[1]A1.)RatesInput'!$D$195:$L$281,3,0),0),0)</f>
        <v>21.84</v>
      </c>
      <c r="E15" s="645">
        <f>IF($A$6="Y",'9G.)HL_RedgnRate_SC8_II'!$G$20,D15)</f>
        <v>21.84</v>
      </c>
      <c r="F15" s="1092">
        <f t="shared" si="0"/>
        <v>0</v>
      </c>
    </row>
    <row r="16" spans="1:7" x14ac:dyDescent="0.35">
      <c r="A16" s="486"/>
      <c r="B16" s="406"/>
      <c r="C16" s="464" t="s">
        <v>881</v>
      </c>
      <c r="D16" s="644">
        <f>IF(ISNUMBER(VLOOKUP($C16,'[1]A1.)RatesInput'!$B$195:$L$281,HLOOKUP(D$10,'[1]A1.)RatesInput'!$D$195:$L$281,3,0),0)),VLOOKUP($C16,'[1]A1.)RatesInput'!$B$195:$L$281,HLOOKUP(D$10,'[1]A1.)RatesInput'!$D$195:$L$281,3,0),0),0)</f>
        <v>17.740000000000002</v>
      </c>
      <c r="E16" s="644">
        <f>IF($A$6="Y",'9G.)HL_RedgnRate_SC8_II'!$G$21,D16)</f>
        <v>17.740000000000002</v>
      </c>
      <c r="F16" s="1093">
        <f t="shared" si="0"/>
        <v>0</v>
      </c>
    </row>
    <row r="17" spans="1:6" x14ac:dyDescent="0.35">
      <c r="A17" s="486"/>
      <c r="C17" s="1"/>
      <c r="D17" s="1"/>
      <c r="E17" s="1"/>
      <c r="F17" s="1090"/>
    </row>
    <row r="18" spans="1:6" hidden="1" outlineLevel="1" x14ac:dyDescent="0.35">
      <c r="A18" s="486"/>
      <c r="B18" s="694"/>
      <c r="C18" s="1" t="s">
        <v>525</v>
      </c>
      <c r="D18" s="1094">
        <f>'9G.)HL_RedgnRate_SC8_II'!$L$40</f>
        <v>0.71</v>
      </c>
      <c r="E18" s="1"/>
      <c r="F18" s="1090"/>
    </row>
    <row r="19" spans="1:6" hidden="1" outlineLevel="1" x14ac:dyDescent="0.35">
      <c r="A19" s="486"/>
      <c r="B19" s="694"/>
      <c r="C19" s="1" t="s">
        <v>524</v>
      </c>
      <c r="D19" s="1094">
        <f>'9G.)HL_RedgnRate_SC8_II'!$G$40</f>
        <v>0.68570676493814164</v>
      </c>
      <c r="E19" s="1"/>
      <c r="F19" s="1090"/>
    </row>
    <row r="20" spans="1:6" hidden="1" outlineLevel="1" x14ac:dyDescent="0.35">
      <c r="A20" s="486"/>
      <c r="B20" s="694"/>
      <c r="C20" s="1" t="str">
        <f>CONCATENATE(E10," Approach")</f>
        <v xml:space="preserve"> Approach</v>
      </c>
      <c r="D20" s="1094">
        <f>'9G.)HL_RedgnRate_SC8_II'!$I$51</f>
        <v>0.69</v>
      </c>
      <c r="E20" s="1"/>
      <c r="F20" s="1090"/>
    </row>
    <row r="21" spans="1:6" hidden="1" outlineLevel="1" x14ac:dyDescent="0.35">
      <c r="A21" s="486"/>
      <c r="B21" s="694"/>
      <c r="C21" s="1"/>
      <c r="D21" s="1094"/>
      <c r="E21" s="1"/>
      <c r="F21" s="1090"/>
    </row>
    <row r="22" spans="1:6" hidden="1" outlineLevel="1" x14ac:dyDescent="0.35">
      <c r="A22" s="486"/>
      <c r="B22" s="694"/>
      <c r="C22" s="1095" t="str">
        <f>IF(A6="N","*No H/L Tension Shifting","*See Below for the Shifting Information")</f>
        <v>*No H/L Tension Shifting</v>
      </c>
      <c r="D22" s="526" t="s">
        <v>170</v>
      </c>
      <c r="E22" s="526" t="s">
        <v>142</v>
      </c>
      <c r="F22" s="526" t="s">
        <v>243</v>
      </c>
    </row>
    <row r="23" spans="1:6" hidden="1" outlineLevel="1" x14ac:dyDescent="0.35">
      <c r="A23" s="486"/>
      <c r="B23" s="694"/>
      <c r="C23" s="1095" t="str">
        <f>IF(A6="N","**Information here is not to use.","")</f>
        <v>**Information here is not to use.</v>
      </c>
      <c r="D23" s="1"/>
      <c r="E23" s="296"/>
      <c r="F23" s="1090"/>
    </row>
    <row r="24" spans="1:6" hidden="1" outlineLevel="1" x14ac:dyDescent="0.35">
      <c r="A24" s="486"/>
      <c r="B24" s="694"/>
      <c r="C24" s="1" t="s">
        <v>211</v>
      </c>
      <c r="D24" s="1103" t="str">
        <f>IF(A6="N","",'9G.)HL_RedgnRate_SC8_II'!$H$136)</f>
        <v/>
      </c>
      <c r="E24" s="1103" t="str">
        <f>IF(A6="N","",'9G.)HL_RedgnRate_SC8_II'!$Q$136)</f>
        <v/>
      </c>
      <c r="F24" s="1090"/>
    </row>
    <row r="25" spans="1:6" hidden="1" outlineLevel="1" x14ac:dyDescent="0.35">
      <c r="A25" s="486"/>
      <c r="B25" s="694"/>
      <c r="C25" s="1" t="s">
        <v>212</v>
      </c>
      <c r="D25" s="1103" t="str">
        <f>IF(A6="N","",'9G.)HL_RedgnRate_SC8_II'!$H$137)</f>
        <v/>
      </c>
      <c r="E25" s="1103" t="str">
        <f>IF(A6="N","",'9G.)HL_RedgnRate_SC8_II'!$Q$137)</f>
        <v/>
      </c>
      <c r="F25" s="1090"/>
    </row>
    <row r="26" spans="1:6" ht="15" hidden="1" outlineLevel="1" thickBot="1" x14ac:dyDescent="0.4">
      <c r="A26" s="486"/>
      <c r="B26" s="694"/>
      <c r="C26" s="1"/>
      <c r="D26" s="1"/>
      <c r="E26" s="1"/>
      <c r="F26" s="1090"/>
    </row>
    <row r="27" spans="1:6" ht="15.5" hidden="1" outlineLevel="1" thickTop="1" thickBot="1" x14ac:dyDescent="0.4">
      <c r="A27" s="486"/>
      <c r="B27" s="694"/>
      <c r="C27" s="1" t="s">
        <v>752</v>
      </c>
      <c r="D27" s="634" t="str">
        <f>IF(A6="N","",'9G.)HL_RedgnRate_SC8_II'!$E$166)</f>
        <v/>
      </c>
      <c r="E27" s="1019" t="str">
        <f>IF(A6="N","",'9G.)HL_RedgnRate_SC8_II'!$N$166)</f>
        <v/>
      </c>
      <c r="F27" s="1096" t="str">
        <f>IF(A6="N","",E27/D27-1)</f>
        <v/>
      </c>
    </row>
    <row r="28" spans="1:6" ht="15" hidden="1" outlineLevel="1" thickTop="1" x14ac:dyDescent="0.35">
      <c r="A28" s="486"/>
      <c r="B28" s="694"/>
      <c r="C28" s="1"/>
      <c r="D28" s="1"/>
      <c r="E28" s="1"/>
      <c r="F28" s="1090"/>
    </row>
    <row r="29" spans="1:6" ht="15" collapsed="1" thickBot="1" x14ac:dyDescent="0.4">
      <c r="A29" s="486"/>
      <c r="B29" s="406"/>
      <c r="C29" s="464"/>
      <c r="D29" s="1"/>
      <c r="E29" s="1"/>
      <c r="F29" s="1090"/>
    </row>
    <row r="30" spans="1:6" s="143" customFormat="1" ht="15" thickBot="1" x14ac:dyDescent="0.4">
      <c r="A30" s="486" t="str">
        <f>'9B.)HL_RedesignRateComp'!O27</f>
        <v>N</v>
      </c>
      <c r="B30" s="407" t="s">
        <v>532</v>
      </c>
      <c r="C30" s="1097" t="s">
        <v>529</v>
      </c>
      <c r="D30" s="1098" t="str">
        <f>CONCATENATE('9I.)HL_RedgnRate_SC12_II'!$A$2," ",'9I.)HL_RedgnRate_SC12_II'!$A$3," ",'9I.)HL_RedgnRate_SC12_II'!$A$4)</f>
        <v>SC12 Rate II TODL</v>
      </c>
      <c r="E30" s="1099"/>
      <c r="F30" s="1100"/>
    </row>
    <row r="31" spans="1:6" x14ac:dyDescent="0.35">
      <c r="A31" s="486"/>
      <c r="C31" s="1104" t="s">
        <v>528</v>
      </c>
      <c r="D31" s="1101" t="s">
        <v>1338</v>
      </c>
      <c r="E31" s="1"/>
      <c r="F31" s="1090"/>
    </row>
    <row r="32" spans="1:6" x14ac:dyDescent="0.35">
      <c r="A32" s="486"/>
      <c r="C32" s="1"/>
      <c r="D32" s="1"/>
      <c r="E32" s="1"/>
      <c r="F32" s="1090"/>
    </row>
    <row r="33" spans="1:6" x14ac:dyDescent="0.35">
      <c r="A33" s="486"/>
      <c r="C33" s="1104" t="s">
        <v>527</v>
      </c>
      <c r="D33" s="526" t="str">
        <f>D$9</f>
        <v>Current</v>
      </c>
      <c r="E33" s="526" t="s">
        <v>142</v>
      </c>
      <c r="F33" s="526" t="s">
        <v>526</v>
      </c>
    </row>
    <row r="34" spans="1:6" x14ac:dyDescent="0.35">
      <c r="A34" s="486"/>
      <c r="C34" s="1"/>
      <c r="D34" s="526" t="str">
        <f>D$10</f>
        <v>ED shifting</v>
      </c>
      <c r="E34" s="296"/>
      <c r="F34" s="1090"/>
    </row>
    <row r="35" spans="1:6" x14ac:dyDescent="0.35">
      <c r="A35" s="486"/>
      <c r="C35" s="1" t="s">
        <v>882</v>
      </c>
      <c r="D35" s="643">
        <f>IF(ISNUMBER(VLOOKUP($C35,'[1]A1.)RatesInput'!$B$195:$L$281,HLOOKUP(D$34,'[1]A1.)RatesInput'!$D$195:$L$281,3,0),0)),VLOOKUP($C35,'[1]A1.)RatesInput'!$B$195:$L$281,HLOOKUP(D$34,'[1]A1.)RatesInput'!$D$195:$L$281,3,0),0),0)</f>
        <v>0</v>
      </c>
      <c r="E35" s="643">
        <f>IF($A$30="Y",'9I.)HL_RedgnRate_SC12_II'!$G$16,D35)</f>
        <v>0</v>
      </c>
      <c r="F35" s="1091" t="str">
        <f t="shared" ref="F35:F40" si="1">IF(ISNUMBER(E35/D35-1),E35/D35-1,"")</f>
        <v/>
      </c>
    </row>
    <row r="36" spans="1:6" x14ac:dyDescent="0.35">
      <c r="A36" s="486"/>
      <c r="C36" s="1" t="s">
        <v>883</v>
      </c>
      <c r="D36" s="645">
        <f>IF(ISNUMBER(VLOOKUP($C36,'[1]A1.)RatesInput'!$B$195:$L$281,HLOOKUP(D$34,'[1]A1.)RatesInput'!$D$195:$L$281,3,0),0)),VLOOKUP($C36,'[1]A1.)RatesInput'!$B$195:$L$281,HLOOKUP(D$34,'[1]A1.)RatesInput'!$D$195:$L$281,3,0),0),0)</f>
        <v>13.37</v>
      </c>
      <c r="E36" s="645">
        <f>IF($A$30="Y",'9I.)HL_RedgnRate_SC12_II'!$G$17,D36)</f>
        <v>13.37</v>
      </c>
      <c r="F36" s="1092">
        <f t="shared" si="1"/>
        <v>0</v>
      </c>
    </row>
    <row r="37" spans="1:6" x14ac:dyDescent="0.35">
      <c r="A37" s="486"/>
      <c r="C37" s="1" t="s">
        <v>884</v>
      </c>
      <c r="D37" s="645">
        <f>IF(ISNUMBER(VLOOKUP($C37,'[1]A1.)RatesInput'!$B$195:$L$281,HLOOKUP(D$34,'[1]A1.)RatesInput'!$D$195:$L$281,3,0),0)),VLOOKUP($C37,'[1]A1.)RatesInput'!$B$195:$L$281,HLOOKUP(D$34,'[1]A1.)RatesInput'!$D$195:$L$281,3,0),0),0)</f>
        <v>8.43</v>
      </c>
      <c r="E37" s="645">
        <f>IF($A$30="Y",'9I.)HL_RedgnRate_SC12_II'!$G$18,D37)</f>
        <v>8.43</v>
      </c>
      <c r="F37" s="1092">
        <f t="shared" si="1"/>
        <v>0</v>
      </c>
    </row>
    <row r="38" spans="1:6" x14ac:dyDescent="0.35">
      <c r="A38" s="486"/>
      <c r="C38" s="1" t="s">
        <v>885</v>
      </c>
      <c r="D38" s="645">
        <f>IF(ISNUMBER(VLOOKUP($C38,'[1]A1.)RatesInput'!$B$195:$L$281,HLOOKUP(D$34,'[1]A1.)RatesInput'!$D$195:$L$281,3,0),0)),VLOOKUP($C38,'[1]A1.)RatesInput'!$B$195:$L$281,HLOOKUP(D$34,'[1]A1.)RatesInput'!$D$195:$L$281,3,0),0),0)</f>
        <v>8.1399999999999988</v>
      </c>
      <c r="E38" s="645">
        <f>IF($A$30="Y",'9I.)HL_RedgnRate_SC12_II'!$G$19,D38)</f>
        <v>8.1399999999999988</v>
      </c>
      <c r="F38" s="1092">
        <f t="shared" si="1"/>
        <v>0</v>
      </c>
    </row>
    <row r="39" spans="1:6" x14ac:dyDescent="0.35">
      <c r="A39" s="486"/>
      <c r="C39" s="1" t="s">
        <v>886</v>
      </c>
      <c r="D39" s="645">
        <f>IF(ISNUMBER(VLOOKUP($C39,'[1]A1.)RatesInput'!$B$195:$L$281,HLOOKUP(D$34,'[1]A1.)RatesInput'!$D$195:$L$281,3,0),0)),VLOOKUP($C39,'[1]A1.)RatesInput'!$B$195:$L$281,HLOOKUP(D$34,'[1]A1.)RatesInput'!$D$195:$L$281,3,0),0),0)</f>
        <v>20.93</v>
      </c>
      <c r="E39" s="645">
        <f>IF($A$30="Y",'9I.)HL_RedgnRate_SC12_II'!$G$20,D39)</f>
        <v>20.93</v>
      </c>
      <c r="F39" s="1092">
        <f t="shared" si="1"/>
        <v>0</v>
      </c>
    </row>
    <row r="40" spans="1:6" x14ac:dyDescent="0.35">
      <c r="A40" s="486"/>
      <c r="C40" s="1" t="s">
        <v>887</v>
      </c>
      <c r="D40" s="644">
        <f>IF(ISNUMBER(VLOOKUP($C40,'[1]A1.)RatesInput'!$B$195:$L$281,HLOOKUP(D$34,'[1]A1.)RatesInput'!$D$195:$L$281,3,0),0)),VLOOKUP($C40,'[1]A1.)RatesInput'!$B$195:$L$281,HLOOKUP(D$34,'[1]A1.)RatesInput'!$D$195:$L$281,3,0),0),0)</f>
        <v>12.399999999999999</v>
      </c>
      <c r="E40" s="644">
        <f>IF($A$30="Y",'9I.)HL_RedgnRate_SC12_II'!$G$21,D40)</f>
        <v>12.399999999999999</v>
      </c>
      <c r="F40" s="1093">
        <f t="shared" si="1"/>
        <v>0</v>
      </c>
    </row>
    <row r="41" spans="1:6" x14ac:dyDescent="0.35">
      <c r="A41" s="486"/>
      <c r="C41" s="1"/>
      <c r="D41" s="1"/>
      <c r="E41" s="1"/>
      <c r="F41" s="1090"/>
    </row>
    <row r="42" spans="1:6" hidden="1" outlineLevel="1" x14ac:dyDescent="0.35">
      <c r="A42" s="486"/>
      <c r="B42" s="694"/>
      <c r="C42" s="1" t="s">
        <v>525</v>
      </c>
      <c r="D42" s="1094">
        <f>'9I.)HL_RedgnRate_SC12_II'!$L$40</f>
        <v>0.66</v>
      </c>
      <c r="E42" s="1"/>
      <c r="F42" s="1090"/>
    </row>
    <row r="43" spans="1:6" hidden="1" outlineLevel="1" x14ac:dyDescent="0.35">
      <c r="A43" s="486"/>
      <c r="B43" s="694"/>
      <c r="C43" s="1" t="s">
        <v>524</v>
      </c>
      <c r="D43" s="1094">
        <f>'9I.)HL_RedgnRate_SC12_II'!$G$40</f>
        <v>0.64333439389118674</v>
      </c>
      <c r="E43" s="1"/>
      <c r="F43" s="1090"/>
    </row>
    <row r="44" spans="1:6" hidden="1" outlineLevel="1" x14ac:dyDescent="0.35">
      <c r="A44" s="486"/>
      <c r="B44" s="694"/>
      <c r="C44" s="1" t="str">
        <f>CONCATENATE(E34," Approach")</f>
        <v xml:space="preserve"> Approach</v>
      </c>
      <c r="D44" s="1094">
        <f>'9I.)HL_RedgnRate_SC12_II'!$I$51</f>
        <v>0.64</v>
      </c>
      <c r="E44" s="1"/>
      <c r="F44" s="1090"/>
    </row>
    <row r="45" spans="1:6" hidden="1" outlineLevel="1" x14ac:dyDescent="0.35">
      <c r="A45" s="486"/>
      <c r="B45" s="694"/>
      <c r="C45" s="1"/>
      <c r="D45" s="1094"/>
      <c r="E45" s="1"/>
      <c r="F45" s="1090"/>
    </row>
    <row r="46" spans="1:6" hidden="1" outlineLevel="1" x14ac:dyDescent="0.35">
      <c r="A46" s="486"/>
      <c r="B46" s="694"/>
      <c r="C46" s="1095" t="str">
        <f>IF(A30="N","*No H/L Tension Shifting","*See Below for the Shifting Information")</f>
        <v>*No H/L Tension Shifting</v>
      </c>
      <c r="D46" s="526" t="str">
        <f>D$9</f>
        <v>Current</v>
      </c>
      <c r="E46" s="526" t="s">
        <v>142</v>
      </c>
      <c r="F46" s="526" t="s">
        <v>243</v>
      </c>
    </row>
    <row r="47" spans="1:6" hidden="1" outlineLevel="1" x14ac:dyDescent="0.35">
      <c r="A47" s="486"/>
      <c r="B47" s="694"/>
      <c r="C47" s="1095" t="str">
        <f>IF(A30="N","**Information here is not to use.","")</f>
        <v>**Information here is not to use.</v>
      </c>
      <c r="D47" s="1"/>
      <c r="E47" s="296"/>
      <c r="F47" s="1090"/>
    </row>
    <row r="48" spans="1:6" hidden="1" outlineLevel="1" x14ac:dyDescent="0.35">
      <c r="A48" s="486"/>
      <c r="B48" s="694"/>
      <c r="C48" s="1" t="s">
        <v>211</v>
      </c>
      <c r="D48" s="1103" t="str">
        <f>IF(A30="N","",'9I.)HL_RedgnRate_SC12_II'!$H$136)</f>
        <v/>
      </c>
      <c r="E48" s="1103" t="str">
        <f>IF(A30="N","",'9I.)HL_RedgnRate_SC12_II'!$Q$136)</f>
        <v/>
      </c>
      <c r="F48" s="1090"/>
    </row>
    <row r="49" spans="1:6" hidden="1" outlineLevel="1" x14ac:dyDescent="0.35">
      <c r="A49" s="486"/>
      <c r="B49" s="694"/>
      <c r="C49" s="1" t="s">
        <v>212</v>
      </c>
      <c r="D49" s="1103" t="str">
        <f>IF(A30="N","",'9I.)HL_RedgnRate_SC12_II'!$H$137)</f>
        <v/>
      </c>
      <c r="E49" s="1103" t="str">
        <f>IF(A30="N","",'9I.)HL_RedgnRate_SC12_II'!$Q$137)</f>
        <v/>
      </c>
      <c r="F49" s="1090"/>
    </row>
    <row r="50" spans="1:6" ht="15" hidden="1" outlineLevel="1" thickBot="1" x14ac:dyDescent="0.4">
      <c r="A50" s="486"/>
      <c r="B50" s="694"/>
      <c r="C50" s="1"/>
      <c r="D50" s="1"/>
      <c r="E50" s="1"/>
      <c r="F50" s="1090"/>
    </row>
    <row r="51" spans="1:6" ht="15.5" hidden="1" outlineLevel="1" thickTop="1" thickBot="1" x14ac:dyDescent="0.4">
      <c r="A51" s="486"/>
      <c r="B51" s="694"/>
      <c r="C51" s="1" t="s">
        <v>752</v>
      </c>
      <c r="D51" s="634" t="str">
        <f>IF(A30="N","",'9I.)HL_RedgnRate_SC12_II'!$E$166)</f>
        <v/>
      </c>
      <c r="E51" s="1019" t="str">
        <f>IF(A30="N","",'9I.)HL_RedgnRate_SC12_II'!$N$166)</f>
        <v/>
      </c>
      <c r="F51" s="1096" t="str">
        <f>IF(A30="N","",E51/D51-1)</f>
        <v/>
      </c>
    </row>
    <row r="52" spans="1:6" ht="15" hidden="1" outlineLevel="1" thickTop="1" x14ac:dyDescent="0.35">
      <c r="A52" s="486"/>
      <c r="B52" s="694"/>
      <c r="C52" s="1"/>
      <c r="D52" s="1"/>
      <c r="E52" s="1"/>
      <c r="F52" s="1090"/>
    </row>
    <row r="53" spans="1:6" ht="15" collapsed="1" thickBot="1" x14ac:dyDescent="0.4">
      <c r="A53" s="486"/>
      <c r="C53" s="1"/>
      <c r="D53" s="1"/>
      <c r="E53" s="1"/>
      <c r="F53" s="1090"/>
    </row>
    <row r="54" spans="1:6" s="143" customFormat="1" ht="15" thickBot="1" x14ac:dyDescent="0.4">
      <c r="A54" s="486" t="str">
        <f>'9B.)HL_RedesignRateComp'!O10</f>
        <v>N</v>
      </c>
      <c r="B54" s="407" t="s">
        <v>531</v>
      </c>
      <c r="C54" s="1097" t="s">
        <v>529</v>
      </c>
      <c r="D54" s="1098" t="str">
        <f>CONCATENATE('9C.)HL_RedgnRate_SC5_I'!$A$2," ",'9C.)HL_RedgnRate_SC5_I'!$A$3," ",'9C.)HL_RedgnRate_SC5_I'!$A$4)</f>
        <v xml:space="preserve">SC5 Rate I </v>
      </c>
      <c r="E54" s="1099"/>
      <c r="F54" s="1100"/>
    </row>
    <row r="55" spans="1:6" x14ac:dyDescent="0.35">
      <c r="A55" s="486"/>
      <c r="B55" s="406"/>
      <c r="C55" s="1097" t="s">
        <v>528</v>
      </c>
      <c r="D55" s="1101" t="s">
        <v>1339</v>
      </c>
      <c r="E55" s="1"/>
      <c r="F55" s="1090"/>
    </row>
    <row r="56" spans="1:6" x14ac:dyDescent="0.35">
      <c r="A56" s="486"/>
      <c r="B56" s="406"/>
      <c r="C56" s="406"/>
    </row>
    <row r="57" spans="1:6" x14ac:dyDescent="0.35">
      <c r="A57" s="486"/>
      <c r="C57" s="435" t="s">
        <v>527</v>
      </c>
      <c r="D57" s="526" t="str">
        <f>D$9</f>
        <v>Current</v>
      </c>
      <c r="E57" s="428" t="s">
        <v>142</v>
      </c>
      <c r="F57" s="428" t="s">
        <v>526</v>
      </c>
    </row>
    <row r="58" spans="1:6" x14ac:dyDescent="0.35">
      <c r="A58" s="486"/>
      <c r="C58" s="1"/>
      <c r="D58" s="526" t="str">
        <f>D$10</f>
        <v>ED shifting</v>
      </c>
      <c r="E58" s="296"/>
      <c r="F58" s="1090"/>
    </row>
    <row r="59" spans="1:6" x14ac:dyDescent="0.35">
      <c r="A59" s="486"/>
      <c r="C59" s="1" t="s">
        <v>320</v>
      </c>
      <c r="D59" s="643">
        <f>IF(ISNUMBER(VLOOKUP($C59,'[1]A1.)RatesInput'!$B$102:$L$190,HLOOKUP(D$58,'[1]A1.)RatesInput'!$D$102:$L$190,3,0),0)),VLOOKUP($C59,'[1]A1.)RatesInput'!$B$102:$L$190,HLOOKUP(D$58,'[1]A1.)RatesInput'!$D$102:$L$190,3,0),0),0)</f>
        <v>178.73</v>
      </c>
      <c r="E59" s="643">
        <f>IF($A$54="Y",'9C.)HL_RedgnRate_SC5_I'!$H12,D59)</f>
        <v>178.73</v>
      </c>
      <c r="F59" s="1091">
        <f t="shared" ref="F59:F66" si="2">IF(ISNUMBER(E59/D59-1),E59/D59-1,"")</f>
        <v>0</v>
      </c>
    </row>
    <row r="60" spans="1:6" x14ac:dyDescent="0.35">
      <c r="A60" s="486"/>
      <c r="C60" s="1" t="s">
        <v>321</v>
      </c>
      <c r="D60" s="645">
        <f>IF(ISNUMBER(VLOOKUP($C60,'[1]A1.)RatesInput'!$B$102:$L$190,HLOOKUP(D$58,'[1]A1.)RatesInput'!$D$102:$L$190,3,0),0)),VLOOKUP($C60,'[1]A1.)RatesInput'!$B$102:$L$190,HLOOKUP(D$58,'[1]A1.)RatesInput'!$D$102:$L$190,3,0),0),0)</f>
        <v>31.369999999999997</v>
      </c>
      <c r="E60" s="645">
        <f>IF($A$54="Y",'9C.)HL_RedgnRate_SC5_I'!$H13,D60)</f>
        <v>31.369999999999997</v>
      </c>
      <c r="F60" s="1092">
        <f t="shared" si="2"/>
        <v>0</v>
      </c>
    </row>
    <row r="61" spans="1:6" x14ac:dyDescent="0.35">
      <c r="A61" s="486"/>
      <c r="C61" s="1" t="s">
        <v>322</v>
      </c>
      <c r="D61" s="645">
        <f>IF(ISNUMBER(VLOOKUP($C61,'[1]A1.)RatesInput'!$B$102:$L$190,HLOOKUP(D$58,'[1]A1.)RatesInput'!$D$102:$L$190,3,0),0)),VLOOKUP($C61,'[1]A1.)RatesInput'!$B$102:$L$190,HLOOKUP(D$58,'[1]A1.)RatesInput'!$D$102:$L$190,3,0),0),0)</f>
        <v>114.67</v>
      </c>
      <c r="E61" s="645">
        <f>IF($A$54="Y",'9C.)HL_RedgnRate_SC5_I'!$H14,D61)</f>
        <v>114.67</v>
      </c>
      <c r="F61" s="1092">
        <f t="shared" si="2"/>
        <v>0</v>
      </c>
    </row>
    <row r="62" spans="1:6" x14ac:dyDescent="0.35">
      <c r="A62" s="486"/>
      <c r="C62" s="1" t="s">
        <v>323</v>
      </c>
      <c r="D62" s="645">
        <f>IF(ISNUMBER(VLOOKUP($C62,'[1]A1.)RatesInput'!$B$102:$L$190,HLOOKUP(D$58,'[1]A1.)RatesInput'!$D$102:$L$190,3,0),0)),VLOOKUP($C62,'[1]A1.)RatesInput'!$B$102:$L$190,HLOOKUP(D$58,'[1]A1.)RatesInput'!$D$102:$L$190,3,0),0),0)</f>
        <v>19.97</v>
      </c>
      <c r="E62" s="645">
        <f>IF($A$54="Y",'9C.)HL_RedgnRate_SC5_I'!$H15,D62)</f>
        <v>19.97</v>
      </c>
      <c r="F62" s="1092">
        <f t="shared" si="2"/>
        <v>0</v>
      </c>
    </row>
    <row r="63" spans="1:6" x14ac:dyDescent="0.35">
      <c r="A63" s="486"/>
      <c r="C63" s="1" t="s">
        <v>326</v>
      </c>
      <c r="D63" s="645">
        <f>IF(ISNUMBER(VLOOKUP($C63,'[1]A1.)RatesInput'!$B$102:$L$190,HLOOKUP(D$58,'[1]A1.)RatesInput'!$D$102:$L$190,3,0),0)),VLOOKUP($C63,'[1]A1.)RatesInput'!$B$102:$L$190,HLOOKUP(D$58,'[1]A1.)RatesInput'!$D$102:$L$190,3,0),0),0)</f>
        <v>136.30000000000001</v>
      </c>
      <c r="E63" s="645">
        <f>IF($A$54="Y",'9C.)HL_RedgnRate_SC5_I'!$H16,D63)</f>
        <v>136.30000000000001</v>
      </c>
      <c r="F63" s="1092">
        <f t="shared" si="2"/>
        <v>0</v>
      </c>
    </row>
    <row r="64" spans="1:6" x14ac:dyDescent="0.35">
      <c r="A64" s="486"/>
      <c r="C64" s="1" t="s">
        <v>327</v>
      </c>
      <c r="D64" s="645">
        <f>IF(ISNUMBER(VLOOKUP($C64,'[1]A1.)RatesInput'!$B$102:$L$190,HLOOKUP(D$58,'[1]A1.)RatesInput'!$D$102:$L$190,3,0),0)),VLOOKUP($C64,'[1]A1.)RatesInput'!$B$102:$L$190,HLOOKUP(D$58,'[1]A1.)RatesInput'!$D$102:$L$190,3,0),0),0)</f>
        <v>23.81</v>
      </c>
      <c r="E64" s="645">
        <f>IF($A$54="Y",'9C.)HL_RedgnRate_SC5_I'!$H17,D64)</f>
        <v>23.81</v>
      </c>
      <c r="F64" s="1092">
        <f t="shared" si="2"/>
        <v>0</v>
      </c>
    </row>
    <row r="65" spans="1:6" x14ac:dyDescent="0.35">
      <c r="A65" s="486"/>
      <c r="C65" s="1" t="s">
        <v>328</v>
      </c>
      <c r="D65" s="645">
        <f>IF(ISNUMBER(VLOOKUP($C65,'[1]A1.)RatesInput'!$B$102:$L$190,HLOOKUP(D$58,'[1]A1.)RatesInput'!$D$102:$L$190,3,0),0)),VLOOKUP($C65,'[1]A1.)RatesInput'!$B$102:$L$190,HLOOKUP(D$58,'[1]A1.)RatesInput'!$D$102:$L$190,3,0),0),0)</f>
        <v>72.23</v>
      </c>
      <c r="E65" s="645">
        <f>IF($A$54="Y",'9C.)HL_RedgnRate_SC5_I'!$H18,D65)</f>
        <v>72.23</v>
      </c>
      <c r="F65" s="1092">
        <f t="shared" si="2"/>
        <v>0</v>
      </c>
    </row>
    <row r="66" spans="1:6" x14ac:dyDescent="0.35">
      <c r="A66" s="486"/>
      <c r="C66" s="1" t="s">
        <v>329</v>
      </c>
      <c r="D66" s="644">
        <f>IF(ISNUMBER(VLOOKUP($C66,'[1]A1.)RatesInput'!$B$102:$L$190,HLOOKUP(D$58,'[1]A1.)RatesInput'!$D$102:$L$190,3,0),0)),VLOOKUP($C66,'[1]A1.)RatesInput'!$B$102:$L$190,HLOOKUP(D$58,'[1]A1.)RatesInput'!$D$102:$L$190,3,0),0),0)</f>
        <v>12.41</v>
      </c>
      <c r="E66" s="644">
        <f>IF($A$54="Y",'9C.)HL_RedgnRate_SC5_I'!$H19,D66)</f>
        <v>12.41</v>
      </c>
      <c r="F66" s="1093">
        <f t="shared" si="2"/>
        <v>0</v>
      </c>
    </row>
    <row r="67" spans="1:6" ht="15" thickBot="1" x14ac:dyDescent="0.4">
      <c r="A67" s="486"/>
      <c r="C67" s="1"/>
      <c r="D67" s="1"/>
      <c r="E67" s="1"/>
      <c r="F67" s="1090"/>
    </row>
    <row r="68" spans="1:6" hidden="1" outlineLevel="1" x14ac:dyDescent="0.35">
      <c r="A68" s="486"/>
      <c r="B68" s="694"/>
      <c r="C68" s="1" t="s">
        <v>525</v>
      </c>
      <c r="D68" s="1094">
        <f>'9C.)HL_RedgnRate_SC5_I'!$M$44</f>
        <v>0.68</v>
      </c>
      <c r="E68" s="1"/>
      <c r="F68" s="1090"/>
    </row>
    <row r="69" spans="1:6" hidden="1" outlineLevel="1" x14ac:dyDescent="0.35">
      <c r="A69" s="486"/>
      <c r="B69" s="694"/>
      <c r="C69" s="1" t="s">
        <v>524</v>
      </c>
      <c r="D69" s="1094">
        <f>'9C.)HL_RedgnRate_SC5_I'!$H$44</f>
        <v>0.66152338966446245</v>
      </c>
      <c r="E69" s="1"/>
      <c r="F69" s="1090"/>
    </row>
    <row r="70" spans="1:6" hidden="1" outlineLevel="1" x14ac:dyDescent="0.35">
      <c r="A70" s="486"/>
      <c r="B70" s="694"/>
      <c r="C70" s="1" t="str">
        <f>CONCATENATE(E58," Approach")</f>
        <v xml:space="preserve"> Approach</v>
      </c>
      <c r="D70" s="1094">
        <f>'9C.)HL_RedgnRate_SC5_I'!$K$56</f>
        <v>0.66</v>
      </c>
      <c r="E70" s="1"/>
      <c r="F70" s="1090"/>
    </row>
    <row r="71" spans="1:6" hidden="1" outlineLevel="1" x14ac:dyDescent="0.35">
      <c r="A71" s="486"/>
      <c r="B71" s="694"/>
      <c r="C71" s="1"/>
      <c r="D71" s="526" t="str">
        <f>D$9</f>
        <v>Current</v>
      </c>
      <c r="E71" s="526" t="s">
        <v>142</v>
      </c>
      <c r="F71" s="526" t="s">
        <v>243</v>
      </c>
    </row>
    <row r="72" spans="1:6" hidden="1" outlineLevel="1" x14ac:dyDescent="0.35">
      <c r="A72" s="486"/>
      <c r="B72" s="694"/>
      <c r="C72" s="1095" t="str">
        <f>IF(A54="N","*No H/L Tension Shifting","*See Below for the Shifting Information")</f>
        <v>*No H/L Tension Shifting</v>
      </c>
      <c r="D72" s="1"/>
      <c r="E72" s="296"/>
      <c r="F72" s="1090"/>
    </row>
    <row r="73" spans="1:6" ht="15" hidden="1" outlineLevel="1" thickBot="1" x14ac:dyDescent="0.4">
      <c r="A73" s="486"/>
      <c r="B73" s="694"/>
      <c r="C73" s="1095" t="str">
        <f>IF(A54="N","**Information here is not to use.","")</f>
        <v>**Information here is not to use.</v>
      </c>
      <c r="D73" s="1"/>
      <c r="E73" s="1"/>
      <c r="F73" s="1090"/>
    </row>
    <row r="74" spans="1:6" ht="15.5" hidden="1" outlineLevel="1" thickTop="1" thickBot="1" x14ac:dyDescent="0.4">
      <c r="A74" s="486"/>
      <c r="B74" s="694"/>
      <c r="C74" s="1" t="s">
        <v>752</v>
      </c>
      <c r="D74" s="634" t="str">
        <f>IF(A54="N","",'9C.)HL_RedgnRate_SC5_I'!$K$180)</f>
        <v/>
      </c>
      <c r="E74" s="1019" t="str">
        <f>IF(A54="N","",'9C.)HL_RedgnRate_SC5_I'!$K$178)</f>
        <v/>
      </c>
      <c r="F74" s="1096" t="str">
        <f>IF(A54="N","",E74/D74-1)</f>
        <v/>
      </c>
    </row>
    <row r="75" spans="1:6" ht="15" hidden="1" outlineLevel="1" thickTop="1" x14ac:dyDescent="0.35">
      <c r="A75" s="486"/>
      <c r="B75" s="694"/>
      <c r="C75" s="1"/>
      <c r="D75" s="1"/>
      <c r="E75" s="1"/>
      <c r="F75" s="1090"/>
    </row>
    <row r="76" spans="1:6" ht="15" hidden="1" outlineLevel="1" thickBot="1" x14ac:dyDescent="0.4">
      <c r="A76" s="486"/>
      <c r="C76" s="464"/>
      <c r="D76" s="1"/>
      <c r="E76" s="1"/>
      <c r="F76" s="1090"/>
    </row>
    <row r="77" spans="1:6" s="143" customFormat="1" ht="15" collapsed="1" thickBot="1" x14ac:dyDescent="0.4">
      <c r="A77" s="486" t="str">
        <f>'9B.)HL_RedesignRateComp'!O25</f>
        <v>N</v>
      </c>
      <c r="B77" s="407" t="s">
        <v>530</v>
      </c>
      <c r="C77" s="1097" t="s">
        <v>529</v>
      </c>
      <c r="D77" s="1098" t="str">
        <f>CONCATENATE('9D.)HL_RedgnRate_SC12_I'!$A$2," ",'9D.)HL_RedgnRate_SC12_I'!$A$3," ",'9D.)HL_RedgnRate_SC12_I'!$A$4)</f>
        <v xml:space="preserve">SC12 Rate I </v>
      </c>
      <c r="E77" s="1099"/>
      <c r="F77" s="1100"/>
    </row>
    <row r="78" spans="1:6" x14ac:dyDescent="0.35">
      <c r="A78" s="486"/>
      <c r="C78" s="1097" t="s">
        <v>528</v>
      </c>
      <c r="D78" s="1101" t="s">
        <v>1333</v>
      </c>
      <c r="E78" s="1"/>
      <c r="F78" s="1090"/>
    </row>
    <row r="79" spans="1:6" x14ac:dyDescent="0.35">
      <c r="A79" s="486"/>
      <c r="C79" s="464"/>
      <c r="D79" s="1"/>
      <c r="E79" s="1"/>
      <c r="F79" s="1090"/>
    </row>
    <row r="80" spans="1:6" x14ac:dyDescent="0.35">
      <c r="A80" s="486"/>
      <c r="C80" s="1097" t="s">
        <v>527</v>
      </c>
      <c r="D80" s="526" t="str">
        <f>D$9</f>
        <v>Current</v>
      </c>
      <c r="E80" s="526" t="s">
        <v>142</v>
      </c>
      <c r="F80" s="526" t="s">
        <v>526</v>
      </c>
    </row>
    <row r="81" spans="1:6" x14ac:dyDescent="0.35">
      <c r="A81" s="486"/>
      <c r="C81" s="464"/>
      <c r="D81" s="526" t="str">
        <f>D$10</f>
        <v>ED shifting</v>
      </c>
      <c r="E81" s="296"/>
      <c r="F81" s="1090"/>
    </row>
    <row r="82" spans="1:6" x14ac:dyDescent="0.35">
      <c r="A82" s="486"/>
      <c r="C82" s="464" t="s">
        <v>357</v>
      </c>
      <c r="D82" s="643">
        <f>IF(ISNUMBER(VLOOKUP($C82,'[1]A1.)RatesInput'!$B$102:$L$190,HLOOKUP(D$81,'[1]A1.)RatesInput'!$D$102:$L$190,3,0),0)),VLOOKUP($C82,'[1]A1.)RatesInput'!$B$102:$L$190,HLOOKUP(D$81,'[1]A1.)RatesInput'!$D$102:$L$190,3,0),0),0)</f>
        <v>187.11</v>
      </c>
      <c r="E82" s="643">
        <f>IF($A$77="Y",'9D.)HL_RedgnRate_SC12_I'!$H12,D82)</f>
        <v>187.11</v>
      </c>
      <c r="F82" s="1091">
        <f t="shared" ref="F82:F89" si="3">IF(ISNUMBER(E82/D82-1),E82/D82-1,"")</f>
        <v>0</v>
      </c>
    </row>
    <row r="83" spans="1:6" x14ac:dyDescent="0.35">
      <c r="A83" s="486"/>
      <c r="C83" s="464" t="s">
        <v>358</v>
      </c>
      <c r="D83" s="645">
        <f>IF(ISNUMBER(VLOOKUP($C83,'[1]A1.)RatesInput'!$B$102:$L$190,HLOOKUP(D$81,'[1]A1.)RatesInput'!$D$102:$L$190,3,0),0)),VLOOKUP($C83,'[1]A1.)RatesInput'!$B$102:$L$190,HLOOKUP(D$81,'[1]A1.)RatesInput'!$D$102:$L$190,3,0),0),0)</f>
        <v>33.840000000000003</v>
      </c>
      <c r="E83" s="645">
        <f>IF($A$77="Y",'9D.)HL_RedgnRate_SC12_I'!$H13,D83)</f>
        <v>33.840000000000003</v>
      </c>
      <c r="F83" s="1092">
        <f t="shared" si="3"/>
        <v>0</v>
      </c>
    </row>
    <row r="84" spans="1:6" x14ac:dyDescent="0.35">
      <c r="A84" s="486"/>
      <c r="C84" s="464" t="s">
        <v>359</v>
      </c>
      <c r="D84" s="645">
        <f>IF(ISNUMBER(VLOOKUP($C84,'[1]A1.)RatesInput'!$B$102:$L$190,HLOOKUP(D$81,'[1]A1.)RatesInput'!$D$102:$L$190,3,0),0)),VLOOKUP($C84,'[1]A1.)RatesInput'!$B$102:$L$190,HLOOKUP(D$81,'[1]A1.)RatesInput'!$D$102:$L$190,3,0),0),0)</f>
        <v>105.06</v>
      </c>
      <c r="E84" s="645">
        <f>IF($A$77="Y",'9D.)HL_RedgnRate_SC12_I'!$H14,D84)</f>
        <v>105.06</v>
      </c>
      <c r="F84" s="1092">
        <f t="shared" si="3"/>
        <v>0</v>
      </c>
    </row>
    <row r="85" spans="1:6" x14ac:dyDescent="0.35">
      <c r="A85" s="486"/>
      <c r="C85" s="464" t="s">
        <v>360</v>
      </c>
      <c r="D85" s="645">
        <f>IF(ISNUMBER(VLOOKUP($C85,'[1]A1.)RatesInput'!$B$102:$L$190,HLOOKUP(D$81,'[1]A1.)RatesInput'!$D$102:$L$190,3,0),0)),VLOOKUP($C85,'[1]A1.)RatesInput'!$B$102:$L$190,HLOOKUP(D$81,'[1]A1.)RatesInput'!$D$102:$L$190,3,0),0),0)</f>
        <v>18.98</v>
      </c>
      <c r="E85" s="645">
        <f>IF($A$77="Y",'9D.)HL_RedgnRate_SC12_I'!$H15,D85)</f>
        <v>18.98</v>
      </c>
      <c r="F85" s="1092">
        <f t="shared" si="3"/>
        <v>0</v>
      </c>
    </row>
    <row r="86" spans="1:6" x14ac:dyDescent="0.35">
      <c r="A86" s="486"/>
      <c r="C86" s="464" t="s">
        <v>363</v>
      </c>
      <c r="D86" s="645">
        <f>IF(ISNUMBER(VLOOKUP($C86,'[1]A1.)RatesInput'!$B$102:$L$190,HLOOKUP(D$81,'[1]A1.)RatesInput'!$D$102:$L$190,3,0),0)),VLOOKUP($C86,'[1]A1.)RatesInput'!$B$102:$L$190,HLOOKUP(D$81,'[1]A1.)RatesInput'!$D$102:$L$190,3,0),0),0)</f>
        <v>139.91</v>
      </c>
      <c r="E86" s="645">
        <f>IF($A$77="Y",'9D.)HL_RedgnRate_SC12_I'!$H16,D86)</f>
        <v>139.91</v>
      </c>
      <c r="F86" s="1092">
        <f t="shared" si="3"/>
        <v>0</v>
      </c>
    </row>
    <row r="87" spans="1:6" x14ac:dyDescent="0.35">
      <c r="A87" s="486"/>
      <c r="C87" s="464" t="s">
        <v>364</v>
      </c>
      <c r="D87" s="645">
        <f>IF(ISNUMBER(VLOOKUP($C87,'[1]A1.)RatesInput'!$B$102:$L$190,HLOOKUP(D$81,'[1]A1.)RatesInput'!$D$102:$L$190,3,0),0)),VLOOKUP($C87,'[1]A1.)RatesInput'!$B$102:$L$190,HLOOKUP(D$81,'[1]A1.)RatesInput'!$D$102:$L$190,3,0),0),0)</f>
        <v>25.29</v>
      </c>
      <c r="E87" s="645">
        <f>IF($A$77="Y",'9D.)HL_RedgnRate_SC12_I'!$H17,D87)</f>
        <v>25.29</v>
      </c>
      <c r="F87" s="1092">
        <f t="shared" si="3"/>
        <v>0</v>
      </c>
    </row>
    <row r="88" spans="1:6" x14ac:dyDescent="0.35">
      <c r="A88" s="486"/>
      <c r="C88" s="464" t="s">
        <v>365</v>
      </c>
      <c r="D88" s="645">
        <f>IF(ISNUMBER(VLOOKUP($C88,'[1]A1.)RatesInput'!$B$102:$L$190,HLOOKUP(D$81,'[1]A1.)RatesInput'!$D$102:$L$190,3,0),0)),VLOOKUP($C88,'[1]A1.)RatesInput'!$B$102:$L$190,HLOOKUP(D$81,'[1]A1.)RatesInput'!$D$102:$L$190,3,0),0),0)</f>
        <v>58.02</v>
      </c>
      <c r="E88" s="645">
        <f>IF($A$77="Y",'9D.)HL_RedgnRate_SC12_I'!$H18,D88)</f>
        <v>58.02</v>
      </c>
      <c r="F88" s="1092">
        <f t="shared" si="3"/>
        <v>0</v>
      </c>
    </row>
    <row r="89" spans="1:6" x14ac:dyDescent="0.35">
      <c r="A89" s="486"/>
      <c r="C89" s="464" t="s">
        <v>366</v>
      </c>
      <c r="D89" s="644">
        <f>IF(ISNUMBER(VLOOKUP($C89,'[1]A1.)RatesInput'!$B$102:$L$190,HLOOKUP(D$81,'[1]A1.)RatesInput'!$D$102:$L$190,3,0),0)),VLOOKUP($C89,'[1]A1.)RatesInput'!$B$102:$L$190,HLOOKUP(D$81,'[1]A1.)RatesInput'!$D$102:$L$190,3,0),0),0)</f>
        <v>10.450000000000001</v>
      </c>
      <c r="E89" s="644">
        <f>IF($A$77="Y",'9D.)HL_RedgnRate_SC12_I'!$H19,D89)</f>
        <v>10.450000000000001</v>
      </c>
      <c r="F89" s="1093">
        <f t="shared" si="3"/>
        <v>0</v>
      </c>
    </row>
    <row r="90" spans="1:6" ht="15" thickBot="1" x14ac:dyDescent="0.4">
      <c r="A90" s="486"/>
      <c r="C90" s="464"/>
      <c r="D90" s="1"/>
      <c r="E90" s="1"/>
      <c r="F90" s="1090"/>
    </row>
    <row r="91" spans="1:6" hidden="1" outlineLevel="1" x14ac:dyDescent="0.35">
      <c r="A91" s="486"/>
      <c r="B91" s="694"/>
      <c r="C91" s="464" t="s">
        <v>525</v>
      </c>
      <c r="D91" s="1094">
        <f>'9D.)HL_RedgnRate_SC12_I'!$M$44</f>
        <v>0.64</v>
      </c>
      <c r="E91" s="1"/>
      <c r="F91" s="1090"/>
    </row>
    <row r="92" spans="1:6" hidden="1" outlineLevel="1" x14ac:dyDescent="0.35">
      <c r="A92" s="486"/>
      <c r="B92" s="694"/>
      <c r="C92" s="464" t="s">
        <v>524</v>
      </c>
      <c r="D92" s="1094">
        <f>'9D.)HL_RedgnRate_SC12_I'!$H$44</f>
        <v>0.64014358360753809</v>
      </c>
      <c r="E92" s="1"/>
      <c r="F92" s="1090"/>
    </row>
    <row r="93" spans="1:6" hidden="1" outlineLevel="1" x14ac:dyDescent="0.35">
      <c r="A93" s="486"/>
      <c r="B93" s="694"/>
      <c r="C93" s="464" t="str">
        <f>CONCATENATE(E81," Approach")</f>
        <v xml:space="preserve"> Approach</v>
      </c>
      <c r="D93" s="1094">
        <f>'9D.)HL_RedgnRate_SC12_I'!$K$56</f>
        <v>0.64</v>
      </c>
      <c r="E93" s="1"/>
      <c r="F93" s="1090"/>
    </row>
    <row r="94" spans="1:6" hidden="1" outlineLevel="1" x14ac:dyDescent="0.35">
      <c r="A94" s="486"/>
      <c r="B94" s="694"/>
      <c r="C94" s="464"/>
      <c r="D94" s="526" t="str">
        <f>D$9</f>
        <v>Current</v>
      </c>
      <c r="E94" s="526" t="s">
        <v>142</v>
      </c>
      <c r="F94" s="526" t="s">
        <v>243</v>
      </c>
    </row>
    <row r="95" spans="1:6" hidden="1" outlineLevel="1" x14ac:dyDescent="0.35">
      <c r="A95" s="486"/>
      <c r="B95" s="694"/>
      <c r="C95" s="1095" t="str">
        <f>IF(A77="N","*No H/L Tension Shifting","*See Below for the Shifting Information")</f>
        <v>*No H/L Tension Shifting</v>
      </c>
      <c r="D95" s="1"/>
      <c r="E95" s="296"/>
      <c r="F95" s="1090"/>
    </row>
    <row r="96" spans="1:6" ht="15" hidden="1" outlineLevel="1" thickBot="1" x14ac:dyDescent="0.4">
      <c r="A96" s="486"/>
      <c r="B96" s="694"/>
      <c r="C96" s="1095" t="str">
        <f>IF(A77="N","**Information here is not to use.","")</f>
        <v>**Information here is not to use.</v>
      </c>
      <c r="D96" s="1"/>
      <c r="E96" s="1"/>
      <c r="F96" s="1090"/>
    </row>
    <row r="97" spans="1:6" ht="15.5" hidden="1" outlineLevel="1" thickTop="1" thickBot="1" x14ac:dyDescent="0.4">
      <c r="A97" s="486"/>
      <c r="B97" s="694"/>
      <c r="C97" s="1" t="s">
        <v>752</v>
      </c>
      <c r="D97" s="634" t="str">
        <f>IF(A77="N","",'9D.)HL_RedgnRate_SC12_I'!$K$180)</f>
        <v/>
      </c>
      <c r="E97" s="1019" t="str">
        <f>IF(A77="N","",'9D.)HL_RedgnRate_SC12_I'!$K$178)</f>
        <v/>
      </c>
      <c r="F97" s="1096" t="str">
        <f>IF(A77="N","",E97/D97-1)</f>
        <v/>
      </c>
    </row>
    <row r="98" spans="1:6" ht="15" hidden="1" outlineLevel="1" thickTop="1" x14ac:dyDescent="0.35">
      <c r="A98" s="486"/>
      <c r="B98" s="694"/>
      <c r="C98" s="1"/>
      <c r="D98" s="1"/>
      <c r="E98" s="1"/>
      <c r="F98" s="1090"/>
    </row>
    <row r="99" spans="1:6" ht="15" hidden="1" outlineLevel="1" thickBot="1" x14ac:dyDescent="0.4">
      <c r="A99" s="486"/>
      <c r="B99" s="406"/>
      <c r="C99" s="464"/>
      <c r="D99" s="1"/>
      <c r="E99" s="1"/>
      <c r="F99" s="1090"/>
    </row>
    <row r="100" spans="1:6" s="143" customFormat="1" ht="15" collapsed="1" thickBot="1" x14ac:dyDescent="0.4">
      <c r="A100" s="486" t="str">
        <f>'9B.)HL_RedesignRateComp'!O35</f>
        <v>N</v>
      </c>
      <c r="B100" s="407" t="s">
        <v>549</v>
      </c>
      <c r="C100" s="1097" t="s">
        <v>529</v>
      </c>
      <c r="D100" s="1098" t="str">
        <f>CONCATENATE('9E.)HL_RedgnRate_NYPA_I'!$A$2," ",'9E.)HL_RedgnRate_NYPA_I'!$A$3," ",'9E.)HL_RedgnRate_NYPA_I'!$A$4)</f>
        <v>NYPA  Rate I</v>
      </c>
      <c r="E100" s="1099"/>
      <c r="F100" s="1100"/>
    </row>
    <row r="101" spans="1:6" x14ac:dyDescent="0.35">
      <c r="A101" s="486"/>
      <c r="B101" s="406"/>
      <c r="C101" s="1097" t="s">
        <v>528</v>
      </c>
      <c r="D101" s="1101" t="s">
        <v>1334</v>
      </c>
      <c r="E101" s="1"/>
      <c r="F101" s="1090"/>
    </row>
    <row r="102" spans="1:6" x14ac:dyDescent="0.35">
      <c r="A102" s="486"/>
      <c r="B102" s="406"/>
      <c r="C102" s="464"/>
      <c r="D102" s="1"/>
      <c r="E102" s="1"/>
      <c r="F102" s="1090"/>
    </row>
    <row r="103" spans="1:6" x14ac:dyDescent="0.35">
      <c r="A103" s="486"/>
      <c r="B103" s="406"/>
      <c r="C103" s="1097" t="s">
        <v>527</v>
      </c>
      <c r="D103" s="526" t="str">
        <f>D$9</f>
        <v>Current</v>
      </c>
      <c r="E103" s="526" t="s">
        <v>142</v>
      </c>
      <c r="F103" s="526" t="s">
        <v>526</v>
      </c>
    </row>
    <row r="104" spans="1:6" x14ac:dyDescent="0.35">
      <c r="A104" s="486"/>
      <c r="B104" s="406"/>
      <c r="C104" s="464"/>
      <c r="D104" s="526" t="str">
        <f>D$10</f>
        <v>ED shifting</v>
      </c>
      <c r="E104" s="296"/>
      <c r="F104" s="1090"/>
    </row>
    <row r="105" spans="1:6" x14ac:dyDescent="0.35">
      <c r="A105" s="486"/>
      <c r="B105" s="406"/>
      <c r="C105" s="464" t="str">
        <f>'9E.)HL_RedgnRate_NYPA_I'!$A13</f>
        <v>NYPA LT Demand (Summer)</v>
      </c>
      <c r="D105" s="643">
        <f>IF(ISNUMBER(VLOOKUP($C105,'[1]A1.)RatesInput'!$B$102:$L$190,HLOOKUP(D$104,'[1]A1.)RatesInput'!$D$102:$L$190,3,0),0)),VLOOKUP($C105,'[1]A1.)RatesInput'!$B$102:$L$190,HLOOKUP(D$104,'[1]A1.)RatesInput'!$D$102:$L$190,3,0),0),0)</f>
        <v>27.55</v>
      </c>
      <c r="E105" s="643">
        <f>IF($A$100="Y",'9E.)HL_RedgnRate_NYPA_I'!$H13,D105)</f>
        <v>27.55</v>
      </c>
      <c r="F105" s="1091">
        <f t="shared" ref="F105:F108" si="4">IF(ISNUMBER(E105/D105-1),E105/D105-1,"")</f>
        <v>0</v>
      </c>
    </row>
    <row r="106" spans="1:6" x14ac:dyDescent="0.35">
      <c r="A106" s="486"/>
      <c r="B106" s="406"/>
      <c r="C106" s="464" t="str">
        <f>'9E.)HL_RedgnRate_NYPA_I'!$A15</f>
        <v>NYPA LT Demand (Winter)</v>
      </c>
      <c r="D106" s="645">
        <f>IF(ISNUMBER(VLOOKUP($C106,'[1]A1.)RatesInput'!$B$102:$L$190,HLOOKUP(D$104,'[1]A1.)RatesInput'!$D$102:$L$190,3,0),0)),VLOOKUP($C106,'[1]A1.)RatesInput'!$B$102:$L$190,HLOOKUP(D$104,'[1]A1.)RatesInput'!$D$102:$L$190,3,0),0),0)</f>
        <v>27.55</v>
      </c>
      <c r="E106" s="645">
        <f>IF($A$100="Y",'9E.)HL_RedgnRate_NYPA_I'!$H15,D106)</f>
        <v>27.55</v>
      </c>
      <c r="F106" s="1092">
        <f t="shared" si="4"/>
        <v>0</v>
      </c>
    </row>
    <row r="107" spans="1:6" x14ac:dyDescent="0.35">
      <c r="A107" s="486"/>
      <c r="B107" s="406"/>
      <c r="C107" s="464" t="str">
        <f>'9E.)HL_RedgnRate_NYPA_I'!$A17</f>
        <v>NYPA HT Demand (Summer)</v>
      </c>
      <c r="D107" s="645">
        <f>IF(ISNUMBER(VLOOKUP($C107,'[1]A1.)RatesInput'!$B$102:$L$190,HLOOKUP(D$104,'[1]A1.)RatesInput'!$D$102:$L$190,3,0),0)),VLOOKUP($C107,'[1]A1.)RatesInput'!$B$102:$L$190,HLOOKUP(D$104,'[1]A1.)RatesInput'!$D$102:$L$190,3,0),0),0)</f>
        <v>19.14</v>
      </c>
      <c r="E107" s="645">
        <f>IF($A$100="Y",'9E.)HL_RedgnRate_NYPA_I'!$H17,D107)</f>
        <v>19.14</v>
      </c>
      <c r="F107" s="1092">
        <f t="shared" si="4"/>
        <v>0</v>
      </c>
    </row>
    <row r="108" spans="1:6" x14ac:dyDescent="0.35">
      <c r="A108" s="486"/>
      <c r="C108" s="464" t="str">
        <f>'9E.)HL_RedgnRate_NYPA_I'!$A19</f>
        <v>NYPA HT Demand (Winter)</v>
      </c>
      <c r="D108" s="644">
        <f>IF(ISNUMBER(VLOOKUP($C108,'[1]A1.)RatesInput'!$B$102:$L$190,HLOOKUP(D$104,'[1]A1.)RatesInput'!$D$102:$L$190,3,0),0)),VLOOKUP($C108,'[1]A1.)RatesInput'!$B$102:$L$190,HLOOKUP(D$104,'[1]A1.)RatesInput'!$D$102:$L$190,3,0),0),0)</f>
        <v>19.14</v>
      </c>
      <c r="E108" s="644">
        <f>IF($A$100="Y",'9E.)HL_RedgnRate_NYPA_I'!$H19,D108)</f>
        <v>19.14</v>
      </c>
      <c r="F108" s="1093">
        <f t="shared" si="4"/>
        <v>0</v>
      </c>
    </row>
    <row r="109" spans="1:6" ht="15" thickBot="1" x14ac:dyDescent="0.4">
      <c r="A109" s="486"/>
      <c r="C109" s="464"/>
      <c r="D109" s="1"/>
      <c r="E109" s="1"/>
      <c r="F109" s="1090"/>
    </row>
    <row r="110" spans="1:6" hidden="1" outlineLevel="1" x14ac:dyDescent="0.35">
      <c r="A110" s="486"/>
      <c r="B110" s="694"/>
      <c r="C110" s="464" t="s">
        <v>525</v>
      </c>
      <c r="D110" s="1094">
        <f>'9E.)HL_RedgnRate_NYPA_I'!$M$44</f>
        <v>0.69</v>
      </c>
      <c r="E110" s="1"/>
      <c r="F110" s="1090"/>
    </row>
    <row r="111" spans="1:6" hidden="1" outlineLevel="1" x14ac:dyDescent="0.35">
      <c r="A111" s="486"/>
      <c r="B111" s="694"/>
      <c r="C111" s="464" t="s">
        <v>524</v>
      </c>
      <c r="D111" s="1094">
        <f>'9E.)HL_RedgnRate_NYPA_I'!$H$44</f>
        <v>0.65837837837837832</v>
      </c>
      <c r="E111" s="1"/>
      <c r="F111" s="1090"/>
    </row>
    <row r="112" spans="1:6" hidden="1" outlineLevel="1" x14ac:dyDescent="0.35">
      <c r="A112" s="486"/>
      <c r="B112" s="694"/>
      <c r="C112" s="1" t="str">
        <f>CONCATENATE(E104," Approach")</f>
        <v xml:space="preserve"> Approach</v>
      </c>
      <c r="D112" s="1094">
        <f>'9E.)HL_RedgnRate_NYPA_I'!$K$56</f>
        <v>0.66</v>
      </c>
      <c r="E112" s="1"/>
      <c r="F112" s="1090"/>
    </row>
    <row r="113" spans="1:6" hidden="1" outlineLevel="1" x14ac:dyDescent="0.35">
      <c r="A113" s="486"/>
      <c r="B113" s="694"/>
      <c r="C113" s="1"/>
      <c r="D113" s="526" t="str">
        <f>D$9</f>
        <v>Current</v>
      </c>
      <c r="E113" s="526" t="s">
        <v>142</v>
      </c>
      <c r="F113" s="526" t="s">
        <v>243</v>
      </c>
    </row>
    <row r="114" spans="1:6" hidden="1" outlineLevel="1" x14ac:dyDescent="0.35">
      <c r="A114" s="486"/>
      <c r="B114" s="694"/>
      <c r="C114" s="1095" t="str">
        <f>IF(A100="N","*No H/L Tension Shifting","*See Below for the Shifting Information")</f>
        <v>*No H/L Tension Shifting</v>
      </c>
      <c r="D114" s="1"/>
      <c r="E114" s="296"/>
      <c r="F114" s="1090"/>
    </row>
    <row r="115" spans="1:6" ht="15" hidden="1" outlineLevel="1" thickBot="1" x14ac:dyDescent="0.4">
      <c r="A115" s="486"/>
      <c r="B115" s="694"/>
      <c r="C115" s="1095" t="str">
        <f>IF(A100="N","**Information here is not to use.","")</f>
        <v>**Information here is not to use.</v>
      </c>
      <c r="D115" s="1"/>
      <c r="E115" s="1"/>
      <c r="F115" s="1090"/>
    </row>
    <row r="116" spans="1:6" ht="15.5" hidden="1" outlineLevel="1" thickTop="1" thickBot="1" x14ac:dyDescent="0.4">
      <c r="A116" s="486"/>
      <c r="B116" s="694"/>
      <c r="C116" s="1" t="s">
        <v>752</v>
      </c>
      <c r="D116" s="1019" t="str">
        <f>IF(A100="N","",'9E.)HL_RedgnRate_NYPA_I'!$K$180)</f>
        <v/>
      </c>
      <c r="E116" s="1019" t="str">
        <f>IF(A100="N","",'9E.)HL_RedgnRate_NYPA_I'!$K$178)</f>
        <v/>
      </c>
      <c r="F116" s="1096" t="str">
        <f>IF(A100="N","",E116/D116-1)</f>
        <v/>
      </c>
    </row>
    <row r="117" spans="1:6" ht="15" hidden="1" outlineLevel="1" thickTop="1" x14ac:dyDescent="0.35">
      <c r="A117" s="486"/>
      <c r="B117" s="694"/>
      <c r="C117" s="1"/>
      <c r="D117" s="1"/>
      <c r="E117" s="1"/>
      <c r="F117" s="1090"/>
    </row>
    <row r="118" spans="1:6" ht="15" hidden="1" outlineLevel="1" thickBot="1" x14ac:dyDescent="0.4">
      <c r="A118" s="486"/>
      <c r="C118" s="1"/>
      <c r="D118" s="1"/>
      <c r="E118" s="1"/>
      <c r="F118" s="1090"/>
    </row>
    <row r="119" spans="1:6" ht="15" collapsed="1" thickBot="1" x14ac:dyDescent="0.4">
      <c r="A119" s="486" t="str">
        <f>'9B.)HL_RedesignRateComp'!O12</f>
        <v>Y</v>
      </c>
      <c r="B119" s="858" t="s">
        <v>544</v>
      </c>
      <c r="C119" s="1097" t="s">
        <v>529</v>
      </c>
      <c r="D119" s="1098" t="str">
        <f>CONCATENATE('9F.)HL_RedgnRate_SC5_II'!$A$2," ",'9F.)HL_RedgnRate_SC5_II'!$A$3," ",'9F.)HL_RedgnRate_SC5_II'!$A$4)</f>
        <v>SC5 Rate II TODL</v>
      </c>
      <c r="E119" s="1102"/>
      <c r="F119" s="1090"/>
    </row>
    <row r="120" spans="1:6" x14ac:dyDescent="0.35">
      <c r="A120" s="486"/>
      <c r="B120" s="406"/>
      <c r="C120" s="1097" t="s">
        <v>528</v>
      </c>
      <c r="D120" s="1101" t="s">
        <v>1335</v>
      </c>
      <c r="E120" s="1"/>
      <c r="F120" s="1090"/>
    </row>
    <row r="121" spans="1:6" x14ac:dyDescent="0.35">
      <c r="A121" s="486"/>
      <c r="B121" s="406"/>
      <c r="C121" s="464"/>
      <c r="D121" s="1"/>
      <c r="E121" s="1"/>
      <c r="F121" s="1090"/>
    </row>
    <row r="122" spans="1:6" x14ac:dyDescent="0.35">
      <c r="A122" s="486"/>
      <c r="B122" s="406"/>
      <c r="C122" s="1097" t="s">
        <v>527</v>
      </c>
      <c r="D122" s="526" t="s">
        <v>170</v>
      </c>
      <c r="E122" s="526" t="s">
        <v>142</v>
      </c>
      <c r="F122" s="526" t="s">
        <v>526</v>
      </c>
    </row>
    <row r="123" spans="1:6" x14ac:dyDescent="0.35">
      <c r="A123" s="486"/>
      <c r="B123" s="406"/>
      <c r="C123" s="464"/>
      <c r="D123" s="526">
        <f>$F$4</f>
        <v>2019</v>
      </c>
      <c r="E123" s="296"/>
      <c r="F123" s="1090"/>
    </row>
    <row r="124" spans="1:6" x14ac:dyDescent="0.35">
      <c r="A124" s="486"/>
      <c r="B124" s="406"/>
      <c r="C124" s="464" t="s">
        <v>938</v>
      </c>
      <c r="D124" s="643">
        <f>IF(ISNUMBER(VLOOKUP($C124,'[1]A1.)RatesInput'!$B$195:$L$281,HLOOKUP(D$10,'[1]A1.)RatesInput'!$D$195:$L$281,3,0),0)),VLOOKUP($C124,'[1]A1.)RatesInput'!$B$195:$L$281,HLOOKUP(D$10,'[1]A1.)RatesInput'!$D$195:$L$281,3,0),0),0)</f>
        <v>0</v>
      </c>
      <c r="E124" s="643">
        <f>IF($A$119="Y",'9F.)HL_RedgnRate_SC5_II'!$G$16,D124)</f>
        <v>0</v>
      </c>
      <c r="F124" s="1091" t="str">
        <f t="shared" ref="F124:F129" si="5">IF(ISNUMBER(E124/D124-1),E124/D124-1,"")</f>
        <v/>
      </c>
    </row>
    <row r="125" spans="1:6" x14ac:dyDescent="0.35">
      <c r="A125" s="486"/>
      <c r="B125" s="406"/>
      <c r="C125" s="464" t="s">
        <v>939</v>
      </c>
      <c r="D125" s="645">
        <f>IF(ISNUMBER(VLOOKUP($C125,'[1]A1.)RatesInput'!$B$195:$L$281,HLOOKUP(D$10,'[1]A1.)RatesInput'!$D$195:$L$281,3,0),0)),VLOOKUP($C125,'[1]A1.)RatesInput'!$B$195:$L$281,HLOOKUP(D$10,'[1]A1.)RatesInput'!$D$195:$L$281,3,0),0),0)</f>
        <v>8.0399999999999991</v>
      </c>
      <c r="E125" s="645">
        <f>IF($A$119="Y",'9F.)HL_RedgnRate_SC5_II'!$G$17,D125)</f>
        <v>7.93</v>
      </c>
      <c r="F125" s="1092">
        <f t="shared" si="5"/>
        <v>-1.3681592039800905E-2</v>
      </c>
    </row>
    <row r="126" spans="1:6" x14ac:dyDescent="0.35">
      <c r="A126" s="486"/>
      <c r="B126" s="406"/>
      <c r="C126" s="464" t="s">
        <v>940</v>
      </c>
      <c r="D126" s="645">
        <f>IF(ISNUMBER(VLOOKUP($C126,'[1]A1.)RatesInput'!$B$195:$L$281,HLOOKUP(D$10,'[1]A1.)RatesInput'!$D$195:$L$281,3,0),0)),VLOOKUP($C126,'[1]A1.)RatesInput'!$B$195:$L$281,HLOOKUP(D$10,'[1]A1.)RatesInput'!$D$195:$L$281,3,0),0),0)</f>
        <v>2.8599999999999994</v>
      </c>
      <c r="E126" s="645">
        <f>IF($A$119="Y",'9F.)HL_RedgnRate_SC5_II'!$G$18,D126)</f>
        <v>3.78</v>
      </c>
      <c r="F126" s="1092">
        <f t="shared" si="5"/>
        <v>0.32167832167832189</v>
      </c>
    </row>
    <row r="127" spans="1:6" x14ac:dyDescent="0.35">
      <c r="A127" s="486"/>
      <c r="B127" s="406"/>
      <c r="C127" s="464" t="s">
        <v>941</v>
      </c>
      <c r="D127" s="645">
        <f>IF(ISNUMBER(VLOOKUP($C127,'[1]A1.)RatesInput'!$B$195:$L$281,HLOOKUP(D$10,'[1]A1.)RatesInput'!$D$195:$L$281,3,0),0)),VLOOKUP($C127,'[1]A1.)RatesInput'!$B$195:$L$281,HLOOKUP(D$10,'[1]A1.)RatesInput'!$D$195:$L$281,3,0),0),0)</f>
        <v>4.5999999999999996</v>
      </c>
      <c r="E127" s="645">
        <f>IF($A$119="Y",'9F.)HL_RedgnRate_SC5_II'!$G$19,D127)</f>
        <v>4.5999999999999996</v>
      </c>
      <c r="F127" s="1092">
        <f t="shared" si="5"/>
        <v>0</v>
      </c>
    </row>
    <row r="128" spans="1:6" x14ac:dyDescent="0.35">
      <c r="A128" s="486"/>
      <c r="B128" s="406"/>
      <c r="C128" s="464" t="s">
        <v>942</v>
      </c>
      <c r="D128" s="645">
        <f>IF(ISNUMBER(VLOOKUP($C128,'[1]A1.)RatesInput'!$B$195:$L$281,HLOOKUP(D$10,'[1]A1.)RatesInput'!$D$195:$L$281,3,0),0)),VLOOKUP($C128,'[1]A1.)RatesInput'!$B$195:$L$281,HLOOKUP(D$10,'[1]A1.)RatesInput'!$D$195:$L$281,3,0),0),0)</f>
        <v>9.4599999999999991</v>
      </c>
      <c r="E128" s="645">
        <f>IF($A$119="Y",'9F.)HL_RedgnRate_SC5_II'!$G$20,D128)</f>
        <v>9.35</v>
      </c>
      <c r="F128" s="1092">
        <f t="shared" si="5"/>
        <v>-1.1627906976744096E-2</v>
      </c>
    </row>
    <row r="129" spans="1:6" x14ac:dyDescent="0.35">
      <c r="A129" s="486"/>
      <c r="B129" s="406"/>
      <c r="C129" s="464" t="s">
        <v>943</v>
      </c>
      <c r="D129" s="644">
        <f>IF(ISNUMBER(VLOOKUP($C129,'[1]A1.)RatesInput'!$B$195:$L$281,HLOOKUP(D$10,'[1]A1.)RatesInput'!$D$195:$L$281,3,0),0)),VLOOKUP($C129,'[1]A1.)RatesInput'!$B$195:$L$281,HLOOKUP(D$10,'[1]A1.)RatesInput'!$D$195:$L$281,3,0),0),0)</f>
        <v>9.0599999999999987</v>
      </c>
      <c r="E129" s="644">
        <f>IF($A$119="Y",'9F.)HL_RedgnRate_SC5_II'!$G$21,D129)</f>
        <v>9.98</v>
      </c>
      <c r="F129" s="1093">
        <f t="shared" si="5"/>
        <v>0.10154525386313495</v>
      </c>
    </row>
    <row r="130" spans="1:6" x14ac:dyDescent="0.35">
      <c r="A130" s="486"/>
      <c r="B130" s="406"/>
      <c r="C130" s="464"/>
      <c r="D130" s="1"/>
      <c r="E130" s="1"/>
      <c r="F130" s="1090"/>
    </row>
    <row r="131" spans="1:6" x14ac:dyDescent="0.35">
      <c r="A131" s="486"/>
      <c r="B131" s="406"/>
      <c r="C131" s="1" t="s">
        <v>525</v>
      </c>
      <c r="D131" s="1094">
        <f>'9F.)HL_RedgnRate_SC5_II'!$L$40</f>
        <v>0.67</v>
      </c>
      <c r="E131" s="1"/>
      <c r="F131" s="1090"/>
    </row>
    <row r="132" spans="1:6" x14ac:dyDescent="0.35">
      <c r="A132" s="486"/>
      <c r="B132" s="406"/>
      <c r="C132" s="1" t="s">
        <v>524</v>
      </c>
      <c r="D132" s="1094">
        <f>'9F.)HL_RedgnRate_SC5_II'!$G$40</f>
        <v>0.6076449912126537</v>
      </c>
      <c r="E132" s="1"/>
      <c r="F132" s="1090"/>
    </row>
    <row r="133" spans="1:6" x14ac:dyDescent="0.35">
      <c r="A133" s="486"/>
      <c r="B133" s="406"/>
      <c r="C133" s="1" t="str">
        <f>CONCATENATE(E123," Approach")</f>
        <v xml:space="preserve"> Approach</v>
      </c>
      <c r="D133" s="1094">
        <f>'9F.)HL_RedgnRate_SC5_II'!$I$51</f>
        <v>0.61</v>
      </c>
      <c r="E133" s="1"/>
      <c r="F133" s="1090"/>
    </row>
    <row r="134" spans="1:6" x14ac:dyDescent="0.35">
      <c r="A134" s="486"/>
      <c r="B134" s="406"/>
      <c r="C134" s="1"/>
      <c r="D134" s="1094"/>
      <c r="E134" s="1"/>
      <c r="F134" s="1090"/>
    </row>
    <row r="135" spans="1:6" x14ac:dyDescent="0.35">
      <c r="A135" s="486"/>
      <c r="B135" s="406"/>
      <c r="C135" s="1095" t="str">
        <f>IF(A119="N","*No H/L Tension Shifting","*See Below for the Shifting Information")</f>
        <v>*See Below for the Shifting Information</v>
      </c>
      <c r="D135" s="526" t="s">
        <v>170</v>
      </c>
      <c r="E135" s="526" t="s">
        <v>142</v>
      </c>
      <c r="F135" s="526" t="s">
        <v>243</v>
      </c>
    </row>
    <row r="136" spans="1:6" x14ac:dyDescent="0.35">
      <c r="A136" s="486"/>
      <c r="B136" s="406"/>
      <c r="C136" s="1095" t="str">
        <f>IF(A119="N","**Information here is not to use.","")</f>
        <v/>
      </c>
      <c r="D136" s="1"/>
      <c r="E136" s="296"/>
      <c r="F136" s="1090"/>
    </row>
    <row r="137" spans="1:6" x14ac:dyDescent="0.35">
      <c r="A137" s="486"/>
      <c r="B137" s="406"/>
      <c r="C137" s="1" t="s">
        <v>211</v>
      </c>
      <c r="D137" s="1103">
        <f>IF(A119="N","",'9F.)HL_RedgnRate_SC5_II'!$H$136)</f>
        <v>0.32929999999999998</v>
      </c>
      <c r="E137" s="1103">
        <f>IF(A119="N","",'9F.)HL_RedgnRate_SC5_II'!$Q$136)</f>
        <v>0.37069999999999997</v>
      </c>
      <c r="F137" s="1090"/>
    </row>
    <row r="138" spans="1:6" x14ac:dyDescent="0.35">
      <c r="A138" s="486"/>
      <c r="B138" s="406"/>
      <c r="C138" s="1" t="s">
        <v>212</v>
      </c>
      <c r="D138" s="1103">
        <f>IF(A119="N","",'9F.)HL_RedgnRate_SC5_II'!$H$137)</f>
        <v>0.67070000000000007</v>
      </c>
      <c r="E138" s="1103">
        <f>IF(A119="N","",'9F.)HL_RedgnRate_SC5_II'!$Q$137)</f>
        <v>0.62929999999999997</v>
      </c>
      <c r="F138" s="1090"/>
    </row>
    <row r="139" spans="1:6" ht="15" thickBot="1" x14ac:dyDescent="0.4">
      <c r="A139" s="486"/>
      <c r="B139" s="406"/>
      <c r="C139" s="1"/>
      <c r="D139" s="1"/>
      <c r="E139" s="1"/>
      <c r="F139" s="1090"/>
    </row>
    <row r="140" spans="1:6" ht="15.5" thickTop="1" thickBot="1" x14ac:dyDescent="0.4">
      <c r="A140" s="486"/>
      <c r="B140" s="406"/>
      <c r="C140" s="1" t="s">
        <v>752</v>
      </c>
      <c r="D140" s="634">
        <f>IF(A119="N","",'9F.)HL_RedgnRate_SC5_II'!$E$166)</f>
        <v>2414182</v>
      </c>
      <c r="E140" s="1019">
        <f>IF(A119="N","",'9F.)HL_RedgnRate_SC5_II'!$N$166)</f>
        <v>2413575</v>
      </c>
      <c r="F140" s="1096">
        <f>IF(A119="N","",E140/D140-1)</f>
        <v>-2.5143091945845075E-4</v>
      </c>
    </row>
    <row r="141" spans="1:6" ht="15" thickTop="1" x14ac:dyDescent="0.35">
      <c r="A141" s="486"/>
      <c r="B141" s="406"/>
      <c r="C141" s="1"/>
      <c r="D141" s="1"/>
      <c r="E141" s="1"/>
      <c r="F141" s="1090"/>
    </row>
    <row r="142" spans="1:6" ht="15" thickBot="1" x14ac:dyDescent="0.4">
      <c r="A142" s="486"/>
      <c r="C142" s="1"/>
      <c r="D142" s="1"/>
      <c r="E142" s="1"/>
      <c r="F142" s="1090"/>
    </row>
    <row r="143" spans="1:6" ht="15" thickBot="1" x14ac:dyDescent="0.4">
      <c r="A143" s="486" t="str">
        <f>'9B.)HL_RedesignRateComp'!O22</f>
        <v>Y</v>
      </c>
      <c r="B143" s="858" t="s">
        <v>542</v>
      </c>
      <c r="C143" s="1097" t="s">
        <v>529</v>
      </c>
      <c r="D143" s="1098" t="str">
        <f>CONCATENATE('9H.)HL_RedgnRate_SC9_II'!$A$2," ",'9H.)HL_RedgnRate_SC9_II'!$A$3," ",'9H.)HL_RedgnRate_SC9_II'!$A$4)</f>
        <v>SC9 Rate II TODL</v>
      </c>
      <c r="E143" s="1102"/>
      <c r="F143" s="1090"/>
    </row>
    <row r="144" spans="1:6" x14ac:dyDescent="0.35">
      <c r="C144" s="1104" t="s">
        <v>528</v>
      </c>
      <c r="D144" s="1101" t="s">
        <v>1337</v>
      </c>
      <c r="E144" s="1"/>
      <c r="F144" s="1090"/>
    </row>
    <row r="145" spans="2:6" x14ac:dyDescent="0.35">
      <c r="C145" s="1"/>
      <c r="D145" s="1"/>
      <c r="E145" s="1"/>
      <c r="F145" s="1090"/>
    </row>
    <row r="146" spans="2:6" x14ac:dyDescent="0.35">
      <c r="C146" s="1104" t="s">
        <v>527</v>
      </c>
      <c r="D146" s="526" t="s">
        <v>170</v>
      </c>
      <c r="E146" s="526" t="s">
        <v>142</v>
      </c>
      <c r="F146" s="526" t="s">
        <v>526</v>
      </c>
    </row>
    <row r="147" spans="2:6" x14ac:dyDescent="0.35">
      <c r="C147" s="1"/>
      <c r="D147" s="1222">
        <f>$F$4</f>
        <v>2019</v>
      </c>
      <c r="E147" s="296"/>
      <c r="F147" s="1090"/>
    </row>
    <row r="148" spans="2:6" x14ac:dyDescent="0.35">
      <c r="C148" s="1" t="s">
        <v>932</v>
      </c>
      <c r="D148" s="533">
        <f>IF(ISNUMBER(VLOOKUP($C148,'[1]A1.)RatesInput'!$B$195:$L$281,HLOOKUP(D$10,'[1]A1.)RatesInput'!$D$195:$L$281,3,0),0)),VLOOKUP($C148,'[1]A1.)RatesInput'!$B$195:$L$281,HLOOKUP(D$10,'[1]A1.)RatesInput'!$D$195:$L$281,3,0),0),0)</f>
        <v>0</v>
      </c>
      <c r="E148" s="643">
        <f>IF($A$143="Y",'9H.)HL_RedgnRate_SC9_II'!$G$16,D148)</f>
        <v>0</v>
      </c>
      <c r="F148" s="1091" t="str">
        <f t="shared" ref="F148:F153" si="6">IF(ISNUMBER(E148/D148-1),E148/D148-1,"")</f>
        <v/>
      </c>
    </row>
    <row r="149" spans="2:6" x14ac:dyDescent="0.35">
      <c r="C149" s="1" t="s">
        <v>933</v>
      </c>
      <c r="D149" s="488">
        <f>IF(ISNUMBER(VLOOKUP($C149,'[1]A1.)RatesInput'!$B$195:$L$281,HLOOKUP(D$10,'[1]A1.)RatesInput'!$D$195:$L$281,3,0),0)),VLOOKUP($C149,'[1]A1.)RatesInput'!$B$195:$L$281,HLOOKUP(D$10,'[1]A1.)RatesInput'!$D$195:$L$281,3,0),0),0)</f>
        <v>11.48</v>
      </c>
      <c r="E149" s="645">
        <f>IF($A$143="Y",'9H.)HL_RedgnRate_SC9_II'!$G$17,D149)</f>
        <v>12.71</v>
      </c>
      <c r="F149" s="1092">
        <f t="shared" si="6"/>
        <v>0.10714285714285721</v>
      </c>
    </row>
    <row r="150" spans="2:6" x14ac:dyDescent="0.35">
      <c r="C150" s="1" t="s">
        <v>934</v>
      </c>
      <c r="D150" s="488">
        <f>IF(ISNUMBER(VLOOKUP($C150,'[1]A1.)RatesInput'!$B$195:$L$281,HLOOKUP(D$10,'[1]A1.)RatesInput'!$D$195:$L$281,3,0),0)),VLOOKUP($C150,'[1]A1.)RatesInput'!$B$195:$L$281,HLOOKUP(D$10,'[1]A1.)RatesInput'!$D$195:$L$281,3,0),0),0)</f>
        <v>5.36</v>
      </c>
      <c r="E150" s="645">
        <f>IF($A$143="Y",'9H.)HL_RedgnRate_SC9_II'!$G$18,D150)</f>
        <v>3.83</v>
      </c>
      <c r="F150" s="1092">
        <f t="shared" si="6"/>
        <v>-0.28544776119402993</v>
      </c>
    </row>
    <row r="151" spans="2:6" x14ac:dyDescent="0.35">
      <c r="C151" s="1" t="s">
        <v>935</v>
      </c>
      <c r="D151" s="488">
        <f>IF(ISNUMBER(VLOOKUP($C151,'[1]A1.)RatesInput'!$B$195:$L$281,HLOOKUP(D$10,'[1]A1.)RatesInput'!$D$195:$L$281,3,0),0)),VLOOKUP($C151,'[1]A1.)RatesInput'!$B$195:$L$281,HLOOKUP(D$10,'[1]A1.)RatesInput'!$D$195:$L$281,3,0),0),0)</f>
        <v>8.33</v>
      </c>
      <c r="E151" s="645">
        <f>IF($A$143="Y",'9H.)HL_RedgnRate_SC9_II'!$G$19,D151)</f>
        <v>8.33</v>
      </c>
      <c r="F151" s="1092">
        <f t="shared" si="6"/>
        <v>0</v>
      </c>
    </row>
    <row r="152" spans="2:6" x14ac:dyDescent="0.35">
      <c r="C152" s="1" t="s">
        <v>936</v>
      </c>
      <c r="D152" s="488">
        <f>IF(ISNUMBER(VLOOKUP($C152,'[1]A1.)RatesInput'!$B$195:$L$281,HLOOKUP(D$10,'[1]A1.)RatesInput'!$D$195:$L$281,3,0),0)),VLOOKUP($C152,'[1]A1.)RatesInput'!$B$195:$L$281,HLOOKUP(D$10,'[1]A1.)RatesInput'!$D$195:$L$281,3,0),0),0)</f>
        <v>15.56</v>
      </c>
      <c r="E152" s="645">
        <f>IF($A$143="Y",'9H.)HL_RedgnRate_SC9_II'!$G$20,D152)</f>
        <v>16.79</v>
      </c>
      <c r="F152" s="1092">
        <f t="shared" si="6"/>
        <v>7.9048843187660589E-2</v>
      </c>
    </row>
    <row r="153" spans="2:6" x14ac:dyDescent="0.35">
      <c r="B153" s="1"/>
      <c r="C153" s="1" t="s">
        <v>937</v>
      </c>
      <c r="D153" s="489">
        <f>IF(ISNUMBER(VLOOKUP($C153,'[1]A1.)RatesInput'!$B$195:$L$281,HLOOKUP(D$10,'[1]A1.)RatesInput'!$D$195:$L$281,3,0),0)),VLOOKUP($C153,'[1]A1.)RatesInput'!$B$195:$L$281,HLOOKUP(D$10,'[1]A1.)RatesInput'!$D$195:$L$281,3,0),0),0)</f>
        <v>16.7</v>
      </c>
      <c r="E153" s="644">
        <f>IF($A$143="Y",'9H.)HL_RedgnRate_SC9_II'!$G$21,D153)</f>
        <v>15.17</v>
      </c>
      <c r="F153" s="1093">
        <f t="shared" si="6"/>
        <v>-9.1616766467065847E-2</v>
      </c>
    </row>
    <row r="154" spans="2:6" x14ac:dyDescent="0.35">
      <c r="B154" s="1"/>
      <c r="C154" s="1"/>
      <c r="D154" s="1"/>
      <c r="E154" s="1"/>
      <c r="F154" s="1090"/>
    </row>
    <row r="155" spans="2:6" x14ac:dyDescent="0.35">
      <c r="B155" s="1"/>
      <c r="C155" s="1" t="s">
        <v>525</v>
      </c>
      <c r="D155" s="1094">
        <f>'9H.)HL_RedgnRate_SC9_II'!$L$40</f>
        <v>0.63</v>
      </c>
      <c r="E155" s="1"/>
      <c r="F155" s="1090"/>
    </row>
    <row r="156" spans="2:6" x14ac:dyDescent="0.35">
      <c r="B156" s="1"/>
      <c r="C156" s="1" t="s">
        <v>524</v>
      </c>
      <c r="D156" s="1094">
        <f>'9H.)HL_RedgnRate_SC9_II'!$G$40</f>
        <v>0.68869731800766287</v>
      </c>
      <c r="E156" s="1"/>
      <c r="F156" s="1090"/>
    </row>
    <row r="157" spans="2:6" x14ac:dyDescent="0.35">
      <c r="B157" s="1"/>
      <c r="C157" s="1" t="str">
        <f>CONCATENATE(E147," Approach")</f>
        <v xml:space="preserve"> Approach</v>
      </c>
      <c r="D157" s="1094">
        <f>'9H.)HL_RedgnRate_SC9_II'!$I$51</f>
        <v>0.69</v>
      </c>
      <c r="E157" s="1"/>
      <c r="F157" s="1090"/>
    </row>
    <row r="158" spans="2:6" x14ac:dyDescent="0.35">
      <c r="B158" s="1"/>
      <c r="C158" s="1"/>
      <c r="D158" s="1094"/>
      <c r="E158" s="1"/>
      <c r="F158" s="1090"/>
    </row>
    <row r="159" spans="2:6" x14ac:dyDescent="0.35">
      <c r="B159" s="1"/>
      <c r="C159" s="1095" t="str">
        <f>IF(A143="N","*No H/L Tension Shifting","*See Below for the Shifting Information")</f>
        <v>*See Below for the Shifting Information</v>
      </c>
      <c r="D159" s="526" t="s">
        <v>170</v>
      </c>
      <c r="E159" s="526" t="s">
        <v>142</v>
      </c>
      <c r="F159" s="526" t="s">
        <v>243</v>
      </c>
    </row>
    <row r="160" spans="2:6" x14ac:dyDescent="0.35">
      <c r="B160" s="1"/>
      <c r="C160" s="1095" t="str">
        <f>IF(A143="N","**Information here is not to use.","")</f>
        <v/>
      </c>
      <c r="D160" s="1"/>
      <c r="E160" s="296"/>
      <c r="F160" s="1090"/>
    </row>
    <row r="161" spans="1:6" x14ac:dyDescent="0.35">
      <c r="B161" s="1"/>
      <c r="C161" s="1" t="s">
        <v>211</v>
      </c>
      <c r="D161" s="1103">
        <f>IF(A143="N","",'9H.)HL_RedgnRate_SC9_II'!$H$136)</f>
        <v>0.36909999999999998</v>
      </c>
      <c r="E161" s="1103">
        <f>IF(A143="N","",'9H.)HL_RedgnRate_SC9_II'!$Q$136)</f>
        <v>0.31109999999999999</v>
      </c>
      <c r="F161" s="1090"/>
    </row>
    <row r="162" spans="1:6" x14ac:dyDescent="0.35">
      <c r="B162" s="1"/>
      <c r="C162" s="1" t="s">
        <v>212</v>
      </c>
      <c r="D162" s="1103">
        <f>IF(A143="N","",'9H.)HL_RedgnRate_SC9_II'!$H$137)</f>
        <v>0.63090000000000002</v>
      </c>
      <c r="E162" s="1103">
        <f>IF(A143="N","",'9H.)HL_RedgnRate_SC9_II'!$Q$137)</f>
        <v>0.68890000000000007</v>
      </c>
      <c r="F162" s="1090"/>
    </row>
    <row r="163" spans="1:6" ht="15" thickBot="1" x14ac:dyDescent="0.4">
      <c r="B163" s="1"/>
      <c r="C163" s="1"/>
      <c r="D163" s="1"/>
      <c r="E163" s="1"/>
      <c r="F163" s="1090"/>
    </row>
    <row r="164" spans="1:6" ht="15.5" thickTop="1" thickBot="1" x14ac:dyDescent="0.4">
      <c r="B164" s="1"/>
      <c r="C164" s="1" t="s">
        <v>752</v>
      </c>
      <c r="D164" s="634">
        <f>IF(A143="N","",'9H.)HL_RedgnRate_SC9_II'!$E$166)</f>
        <v>466672245</v>
      </c>
      <c r="E164" s="1019">
        <f>IF(A143="N","",'9H.)HL_RedgnRate_SC9_II'!$N$166)</f>
        <v>466725458</v>
      </c>
      <c r="F164" s="1096">
        <f>IF(A143="N","",E164/D164-1)</f>
        <v>1.1402649411906829E-4</v>
      </c>
    </row>
    <row r="165" spans="1:6" ht="15" thickTop="1" x14ac:dyDescent="0.35">
      <c r="B165" s="1"/>
      <c r="C165" s="1"/>
      <c r="D165" s="1"/>
      <c r="E165" s="1"/>
      <c r="F165" s="1090"/>
    </row>
    <row r="166" spans="1:6" ht="15" thickBot="1" x14ac:dyDescent="0.4">
      <c r="B166" s="1"/>
      <c r="C166" s="1"/>
      <c r="D166" s="1"/>
      <c r="E166" s="1"/>
      <c r="F166" s="1090"/>
    </row>
    <row r="167" spans="1:6" s="143" customFormat="1" ht="15" thickBot="1" x14ac:dyDescent="0.4">
      <c r="A167" s="486" t="str">
        <f>'9B.)HL_RedesignRateComp'!O15</f>
        <v>Y</v>
      </c>
      <c r="B167" s="858" t="s">
        <v>2050</v>
      </c>
      <c r="C167" s="1097" t="s">
        <v>529</v>
      </c>
      <c r="D167" s="1098" t="str">
        <f>CONCATENATE('9J.)HL_RedgnRate_SC8_I '!$A$2," ",'9J.)HL_RedgnRate_SC8_I '!$A$3," ",'9J.)HL_RedgnRate_SC8_I '!$A$4)</f>
        <v xml:space="preserve">SC8 Rate I </v>
      </c>
      <c r="E167" s="1099"/>
      <c r="F167" s="1100"/>
    </row>
    <row r="168" spans="1:6" x14ac:dyDescent="0.35">
      <c r="A168" s="486"/>
      <c r="B168" s="1"/>
      <c r="C168" s="1097" t="s">
        <v>528</v>
      </c>
      <c r="D168" s="1101" t="s">
        <v>2052</v>
      </c>
      <c r="E168" s="1"/>
      <c r="F168" s="1090"/>
    </row>
    <row r="169" spans="1:6" x14ac:dyDescent="0.35">
      <c r="A169" s="486"/>
      <c r="C169" s="464"/>
      <c r="D169" s="1"/>
      <c r="E169" s="1"/>
      <c r="F169" s="1090"/>
    </row>
    <row r="170" spans="1:6" x14ac:dyDescent="0.35">
      <c r="A170" s="486"/>
      <c r="C170" s="1097" t="s">
        <v>527</v>
      </c>
      <c r="D170" s="526" t="str">
        <f>D$9</f>
        <v>Current</v>
      </c>
      <c r="E170" s="526" t="s">
        <v>142</v>
      </c>
      <c r="F170" s="526" t="s">
        <v>526</v>
      </c>
    </row>
    <row r="171" spans="1:6" x14ac:dyDescent="0.35">
      <c r="A171" s="486"/>
      <c r="C171" s="464"/>
      <c r="D171" s="526" t="str">
        <f>D$10</f>
        <v>ED shifting</v>
      </c>
      <c r="E171" s="296"/>
      <c r="F171" s="1090"/>
    </row>
    <row r="172" spans="1:6" x14ac:dyDescent="0.35">
      <c r="A172" s="486"/>
      <c r="C172" s="464" t="s">
        <v>333</v>
      </c>
      <c r="D172" s="643">
        <f>IF(ISNUMBER(VLOOKUP($C172,'[1]A1.)RatesInput'!$B$102:$L$190,HLOOKUP(D$81,'[1]A1.)RatesInput'!$D$102:$L$190,3,0),0)),VLOOKUP($C172,'[1]A1.)RatesInput'!$B$102:$L$190,HLOOKUP(D$81,'[1]A1.)RatesInput'!$D$102:$L$190,3,0),0),0)</f>
        <v>380.53</v>
      </c>
      <c r="E172" s="643">
        <f>IF($A$167="Y",'9J.)HL_RedgnRate_SC8_I '!$H12,D172)</f>
        <v>380.53</v>
      </c>
      <c r="F172" s="1091">
        <f t="shared" ref="F172:F179" si="7">IF(ISNUMBER(E172/D172-1),E172/D172-1,"")</f>
        <v>0</v>
      </c>
    </row>
    <row r="173" spans="1:6" x14ac:dyDescent="0.35">
      <c r="A173" s="486"/>
      <c r="C173" s="464" t="s">
        <v>334</v>
      </c>
      <c r="D173" s="645">
        <f>IF(ISNUMBER(VLOOKUP($C173,'[1]A1.)RatesInput'!$B$102:$L$190,HLOOKUP(D$81,'[1]A1.)RatesInput'!$D$102:$L$190,3,0),0)),VLOOKUP($C173,'[1]A1.)RatesInput'!$B$102:$L$190,HLOOKUP(D$81,'[1]A1.)RatesInput'!$D$102:$L$190,3,0),0),0)</f>
        <v>34.33</v>
      </c>
      <c r="E173" s="645">
        <f>IF($A$167="Y",'9J.)HL_RedgnRate_SC8_I '!$H13,D173)</f>
        <v>34.32</v>
      </c>
      <c r="F173" s="1092">
        <f t="shared" si="7"/>
        <v>-2.9129041654518684E-4</v>
      </c>
    </row>
    <row r="174" spans="1:6" x14ac:dyDescent="0.35">
      <c r="A174" s="486"/>
      <c r="C174" s="464" t="s">
        <v>335</v>
      </c>
      <c r="D174" s="645">
        <f>IF(ISNUMBER(VLOOKUP($C174,'[1]A1.)RatesInput'!$B$102:$L$190,HLOOKUP(D$81,'[1]A1.)RatesInput'!$D$102:$L$190,3,0),0)),VLOOKUP($C174,'[1]A1.)RatesInput'!$B$102:$L$190,HLOOKUP(D$81,'[1]A1.)RatesInput'!$D$102:$L$190,3,0),0),0)</f>
        <v>294.16000000000003</v>
      </c>
      <c r="E174" s="645">
        <f>IF($A$167="Y",'9J.)HL_RedgnRate_SC8_I '!$H14,D174)</f>
        <v>294.16000000000003</v>
      </c>
      <c r="F174" s="1092">
        <f t="shared" si="7"/>
        <v>0</v>
      </c>
    </row>
    <row r="175" spans="1:6" x14ac:dyDescent="0.35">
      <c r="A175" s="486"/>
      <c r="C175" s="464" t="s">
        <v>336</v>
      </c>
      <c r="D175" s="645">
        <f>IF(ISNUMBER(VLOOKUP($C175,'[1]A1.)RatesInput'!$B$102:$L$190,HLOOKUP(D$81,'[1]A1.)RatesInput'!$D$102:$L$190,3,0),0)),VLOOKUP($C175,'[1]A1.)RatesInput'!$B$102:$L$190,HLOOKUP(D$81,'[1]A1.)RatesInput'!$D$102:$L$190,3,0),0),0)</f>
        <v>26.52</v>
      </c>
      <c r="E175" s="645">
        <f>IF($A$167="Y",'9J.)HL_RedgnRate_SC8_I '!$H15,D175)</f>
        <v>26.51</v>
      </c>
      <c r="F175" s="1092">
        <f t="shared" si="7"/>
        <v>-3.7707390648555883E-4</v>
      </c>
    </row>
    <row r="176" spans="1:6" x14ac:dyDescent="0.35">
      <c r="A176" s="486"/>
      <c r="C176" s="464" t="s">
        <v>339</v>
      </c>
      <c r="D176" s="645">
        <f>IF(ISNUMBER(VLOOKUP($C176,'[1]A1.)RatesInput'!$B$102:$L$190,HLOOKUP(D$81,'[1]A1.)RatesInput'!$D$102:$L$190,3,0),0)),VLOOKUP($C176,'[1]A1.)RatesInput'!$B$102:$L$190,HLOOKUP(D$81,'[1]A1.)RatesInput'!$D$102:$L$190,3,0),0),0)</f>
        <v>299.77</v>
      </c>
      <c r="E176" s="645">
        <f>IF($A$167="Y",'9J.)HL_RedgnRate_SC8_I '!$H16,D176)</f>
        <v>273.87</v>
      </c>
      <c r="F176" s="1092">
        <f t="shared" si="7"/>
        <v>-8.639957300597112E-2</v>
      </c>
    </row>
    <row r="177" spans="1:6" x14ac:dyDescent="0.35">
      <c r="A177" s="486"/>
      <c r="C177" s="464" t="s">
        <v>340</v>
      </c>
      <c r="D177" s="645">
        <f>IF(ISNUMBER(VLOOKUP($C177,'[1]A1.)RatesInput'!$B$102:$L$190,HLOOKUP(D$81,'[1]A1.)RatesInput'!$D$102:$L$190,3,0),0)),VLOOKUP($C177,'[1]A1.)RatesInput'!$B$102:$L$190,HLOOKUP(D$81,'[1]A1.)RatesInput'!$D$102:$L$190,3,0),0),0)</f>
        <v>27.04</v>
      </c>
      <c r="E177" s="645">
        <f>IF($A$167="Y",'9J.)HL_RedgnRate_SC8_I '!$H17,D177)</f>
        <v>24.69</v>
      </c>
      <c r="F177" s="1092">
        <f t="shared" si="7"/>
        <v>-8.6908284023668569E-2</v>
      </c>
    </row>
    <row r="178" spans="1:6" x14ac:dyDescent="0.35">
      <c r="A178" s="486"/>
      <c r="C178" s="464" t="s">
        <v>341</v>
      </c>
      <c r="D178" s="645">
        <f>IF(ISNUMBER(VLOOKUP($C178,'[1]A1.)RatesInput'!$B$102:$L$190,HLOOKUP(D$81,'[1]A1.)RatesInput'!$D$102:$L$190,3,0),0)),VLOOKUP($C178,'[1]A1.)RatesInput'!$B$102:$L$190,HLOOKUP(D$81,'[1]A1.)RatesInput'!$D$102:$L$190,3,0),0),0)</f>
        <v>213.4</v>
      </c>
      <c r="E178" s="645">
        <f>IF($A$167="Y",'9J.)HL_RedgnRate_SC8_I '!$H18,D178)</f>
        <v>187.5</v>
      </c>
      <c r="F178" s="1092">
        <f t="shared" si="7"/>
        <v>-0.12136832239925022</v>
      </c>
    </row>
    <row r="179" spans="1:6" x14ac:dyDescent="0.35">
      <c r="A179" s="486"/>
      <c r="C179" s="464" t="s">
        <v>342</v>
      </c>
      <c r="D179" s="644">
        <f>IF(ISNUMBER(VLOOKUP($C179,'[1]A1.)RatesInput'!$B$102:$L$190,HLOOKUP(D$81,'[1]A1.)RatesInput'!$D$102:$L$190,3,0),0)),VLOOKUP($C179,'[1]A1.)RatesInput'!$B$102:$L$190,HLOOKUP(D$81,'[1]A1.)RatesInput'!$D$102:$L$190,3,0),0),0)</f>
        <v>19.21</v>
      </c>
      <c r="E179" s="644">
        <f>IF($A$167="Y",'9J.)HL_RedgnRate_SC8_I '!$H19,D179)</f>
        <v>16.860000000000003</v>
      </c>
      <c r="F179" s="1093">
        <f t="shared" si="7"/>
        <v>-0.12233211868818317</v>
      </c>
    </row>
    <row r="180" spans="1:6" x14ac:dyDescent="0.35">
      <c r="A180" s="486"/>
      <c r="C180" s="464"/>
      <c r="D180" s="1"/>
      <c r="E180" s="1"/>
      <c r="F180" s="1090"/>
    </row>
    <row r="181" spans="1:6" x14ac:dyDescent="0.35">
      <c r="A181" s="486"/>
      <c r="C181" s="464" t="s">
        <v>525</v>
      </c>
      <c r="D181" s="1094">
        <f>'9J.)HL_RedgnRate_SC8_I '!$M$44</f>
        <v>0.75</v>
      </c>
      <c r="E181" s="1"/>
      <c r="F181" s="1090"/>
    </row>
    <row r="182" spans="1:6" x14ac:dyDescent="0.35">
      <c r="A182" s="486"/>
      <c r="C182" s="464" t="s">
        <v>524</v>
      </c>
      <c r="D182" s="1094">
        <f>'9J.)HL_RedgnRate_SC8_I '!$H$44</f>
        <v>0.67320754716981135</v>
      </c>
      <c r="E182" s="1"/>
      <c r="F182" s="1090"/>
    </row>
    <row r="183" spans="1:6" x14ac:dyDescent="0.35">
      <c r="A183" s="486"/>
      <c r="C183" s="464" t="str">
        <f>CONCATENATE(E171," Approach")</f>
        <v xml:space="preserve"> Approach</v>
      </c>
      <c r="D183" s="1094">
        <f>'9J.)HL_RedgnRate_SC8_I '!$K$56</f>
        <v>0.67</v>
      </c>
      <c r="E183" s="1"/>
      <c r="F183" s="1090"/>
    </row>
    <row r="184" spans="1:6" x14ac:dyDescent="0.35">
      <c r="A184" s="486"/>
      <c r="C184" s="464"/>
      <c r="D184" s="526" t="str">
        <f>D$9</f>
        <v>Current</v>
      </c>
      <c r="E184" s="526" t="s">
        <v>142</v>
      </c>
      <c r="F184" s="526" t="s">
        <v>243</v>
      </c>
    </row>
    <row r="185" spans="1:6" x14ac:dyDescent="0.35">
      <c r="A185" s="486"/>
      <c r="C185" s="1095" t="str">
        <f>IF(A167="N","*No H/L Tension Shifting","*See Below for the Shifting Information")</f>
        <v>*See Below for the Shifting Information</v>
      </c>
      <c r="D185" s="1"/>
      <c r="E185" s="296"/>
      <c r="F185" s="1090"/>
    </row>
    <row r="186" spans="1:6" ht="15" thickBot="1" x14ac:dyDescent="0.4">
      <c r="A186" s="486"/>
      <c r="C186" s="1095" t="str">
        <f>IF(A167="N","**Information here is not to use.","")</f>
        <v/>
      </c>
      <c r="D186" s="1"/>
      <c r="E186" s="1"/>
      <c r="F186" s="1090"/>
    </row>
    <row r="187" spans="1:6" ht="15.5" thickTop="1" thickBot="1" x14ac:dyDescent="0.4">
      <c r="A187" s="486"/>
      <c r="C187" s="1" t="s">
        <v>752</v>
      </c>
      <c r="D187" s="634">
        <f>IF(A167="N","",'9J.)HL_RedgnRate_SC8_I '!$K$180)</f>
        <v>109131975</v>
      </c>
      <c r="E187" s="1019">
        <f>IF(A167="N","",'9J.)HL_RedgnRate_SC8_I '!$K$178)</f>
        <v>109126149</v>
      </c>
      <c r="F187" s="1096">
        <f>IF(A167="N","",E187/D187-1)</f>
        <v>-5.3384903920261628E-5</v>
      </c>
    </row>
    <row r="188" spans="1:6" ht="15" thickTop="1" x14ac:dyDescent="0.35">
      <c r="A188" s="486"/>
      <c r="C188" s="1"/>
      <c r="D188" s="1"/>
      <c r="E188" s="1"/>
      <c r="F188" s="1090"/>
    </row>
    <row r="189" spans="1:6" ht="15" thickBot="1" x14ac:dyDescent="0.4">
      <c r="A189" s="486"/>
      <c r="C189" s="464"/>
      <c r="D189" s="1"/>
      <c r="E189" s="1"/>
      <c r="F189" s="1090"/>
    </row>
    <row r="190" spans="1:6" ht="15" hidden="1" thickBot="1" x14ac:dyDescent="0.4">
      <c r="B190" s="87"/>
      <c r="C190" s="1"/>
      <c r="D190" s="1"/>
      <c r="E190" s="1"/>
      <c r="F190" s="1090"/>
    </row>
    <row r="191" spans="1:6" s="143" customFormat="1" ht="15" thickBot="1" x14ac:dyDescent="0.4">
      <c r="A191" s="486" t="str">
        <f>'9B.)HL_RedesignRateComp'!O20</f>
        <v>Y</v>
      </c>
      <c r="B191" s="858" t="s">
        <v>2051</v>
      </c>
      <c r="C191" s="1097" t="s">
        <v>529</v>
      </c>
      <c r="D191" s="1098" t="str">
        <f>CONCATENATE('9K.)HL_RedgnRate_SC9_I'!$A$2," ",'9K.)HL_RedgnRate_SC9_I'!$A$3," ",'9K.)HL_RedgnRate_SC9_I'!$A$4)</f>
        <v xml:space="preserve">SC9 Rate I </v>
      </c>
      <c r="E191" s="1099"/>
      <c r="F191" s="1100"/>
    </row>
    <row r="192" spans="1:6" x14ac:dyDescent="0.35">
      <c r="A192" s="486"/>
      <c r="C192" s="1097" t="s">
        <v>528</v>
      </c>
      <c r="D192" s="1101" t="s">
        <v>2053</v>
      </c>
      <c r="E192" s="1"/>
      <c r="F192" s="1090"/>
    </row>
    <row r="193" spans="1:6" x14ac:dyDescent="0.35">
      <c r="A193" s="486"/>
      <c r="C193" s="464"/>
      <c r="D193" s="1"/>
      <c r="E193" s="1"/>
      <c r="F193" s="1090"/>
    </row>
    <row r="194" spans="1:6" x14ac:dyDescent="0.35">
      <c r="A194" s="486"/>
      <c r="C194" s="1097" t="s">
        <v>527</v>
      </c>
      <c r="D194" s="526" t="str">
        <f>D$9</f>
        <v>Current</v>
      </c>
      <c r="E194" s="526" t="s">
        <v>142</v>
      </c>
      <c r="F194" s="526" t="s">
        <v>526</v>
      </c>
    </row>
    <row r="195" spans="1:6" x14ac:dyDescent="0.35">
      <c r="A195" s="486"/>
      <c r="C195" s="464"/>
      <c r="D195" s="526" t="str">
        <f>D$10</f>
        <v>ED shifting</v>
      </c>
      <c r="E195" s="296"/>
      <c r="F195" s="1090"/>
    </row>
    <row r="196" spans="1:6" x14ac:dyDescent="0.35">
      <c r="A196" s="486"/>
      <c r="C196" s="464" t="s">
        <v>345</v>
      </c>
      <c r="D196" s="643">
        <f>IF(ISNUMBER(VLOOKUP($C196,'[1]A1.)RatesInput'!$B$102:$L$190,HLOOKUP(D$81,'[1]A1.)RatesInput'!$D$102:$L$190,3,0),0)),VLOOKUP($C196,'[1]A1.)RatesInput'!$B$102:$L$190,HLOOKUP(D$81,'[1]A1.)RatesInput'!$D$102:$L$190,3,0),0),0)</f>
        <v>176.77</v>
      </c>
      <c r="E196" s="643">
        <f>IF($A$191="Y",'9K.)HL_RedgnRate_SC9_I'!$H12,D196)</f>
        <v>176.77</v>
      </c>
      <c r="F196" s="1091">
        <f t="shared" ref="F196:F203" si="8">IF(ISNUMBER(E196/D196-1),E196/D196-1,"")</f>
        <v>0</v>
      </c>
    </row>
    <row r="197" spans="1:6" x14ac:dyDescent="0.35">
      <c r="A197" s="486"/>
      <c r="C197" s="464" t="s">
        <v>346</v>
      </c>
      <c r="D197" s="645">
        <f>IF(ISNUMBER(VLOOKUP($C197,'[1]A1.)RatesInput'!$B$102:$L$190,HLOOKUP(D$81,'[1]A1.)RatesInput'!$D$102:$L$190,3,0),0)),VLOOKUP($C197,'[1]A1.)RatesInput'!$B$102:$L$190,HLOOKUP(D$81,'[1]A1.)RatesInput'!$D$102:$L$190,3,0),0),0)</f>
        <v>25.83</v>
      </c>
      <c r="E197" s="645">
        <f>IF($A$191="Y",'9K.)HL_RedgnRate_SC9_I'!$H13,D197)</f>
        <v>25.83</v>
      </c>
      <c r="F197" s="1092">
        <f t="shared" si="8"/>
        <v>0</v>
      </c>
    </row>
    <row r="198" spans="1:6" x14ac:dyDescent="0.35">
      <c r="A198" s="486"/>
      <c r="C198" s="464" t="s">
        <v>347</v>
      </c>
      <c r="D198" s="645">
        <f>IF(ISNUMBER(VLOOKUP($C198,'[1]A1.)RatesInput'!$B$102:$L$190,HLOOKUP(D$81,'[1]A1.)RatesInput'!$D$102:$L$190,3,0),0)),VLOOKUP($C198,'[1]A1.)RatesInput'!$B$102:$L$190,HLOOKUP(D$81,'[1]A1.)RatesInput'!$D$102:$L$190,3,0),0),0)</f>
        <v>141.21</v>
      </c>
      <c r="E198" s="645">
        <f>IF($A$191="Y",'9K.)HL_RedgnRate_SC9_I'!$H14,D198)</f>
        <v>141.21</v>
      </c>
      <c r="F198" s="1092">
        <f t="shared" si="8"/>
        <v>0</v>
      </c>
    </row>
    <row r="199" spans="1:6" x14ac:dyDescent="0.35">
      <c r="A199" s="486"/>
      <c r="C199" s="464" t="s">
        <v>348</v>
      </c>
      <c r="D199" s="645">
        <f>IF(ISNUMBER(VLOOKUP($C199,'[1]A1.)RatesInput'!$B$102:$L$190,HLOOKUP(D$81,'[1]A1.)RatesInput'!$D$102:$L$190,3,0),0)),VLOOKUP($C199,'[1]A1.)RatesInput'!$B$102:$L$190,HLOOKUP(D$81,'[1]A1.)RatesInput'!$D$102:$L$190,3,0),0),0)</f>
        <v>20.399999999999999</v>
      </c>
      <c r="E199" s="645">
        <f>IF($A$191="Y",'9K.)HL_RedgnRate_SC9_I'!$H15,D199)</f>
        <v>20.399999999999999</v>
      </c>
      <c r="F199" s="1092">
        <f t="shared" si="8"/>
        <v>0</v>
      </c>
    </row>
    <row r="200" spans="1:6" x14ac:dyDescent="0.35">
      <c r="A200" s="486"/>
      <c r="C200" s="464" t="s">
        <v>351</v>
      </c>
      <c r="D200" s="645">
        <f>IF(ISNUMBER(VLOOKUP($C200,'[1]A1.)RatesInput'!$B$102:$L$190,HLOOKUP(D$81,'[1]A1.)RatesInput'!$D$102:$L$190,3,0),0)),VLOOKUP($C200,'[1]A1.)RatesInput'!$B$102:$L$190,HLOOKUP(D$81,'[1]A1.)RatesInput'!$D$102:$L$190,3,0),0),0)</f>
        <v>136.66</v>
      </c>
      <c r="E200" s="645">
        <f>IF($A$191="Y",'9K.)HL_RedgnRate_SC9_I'!$H16,D200)</f>
        <v>122.81</v>
      </c>
      <c r="F200" s="1092">
        <f t="shared" si="8"/>
        <v>-0.10134640714181176</v>
      </c>
    </row>
    <row r="201" spans="1:6" x14ac:dyDescent="0.35">
      <c r="A201" s="486"/>
      <c r="C201" s="464" t="s">
        <v>352</v>
      </c>
      <c r="D201" s="645">
        <f>IF(ISNUMBER(VLOOKUP($C201,'[1]A1.)RatesInput'!$B$102:$L$190,HLOOKUP(D$81,'[1]A1.)RatesInput'!$D$102:$L$190,3,0),0)),VLOOKUP($C201,'[1]A1.)RatesInput'!$B$102:$L$190,HLOOKUP(D$81,'[1]A1.)RatesInput'!$D$102:$L$190,3,0),0),0)</f>
        <v>19.59</v>
      </c>
      <c r="E201" s="645">
        <f>IF($A$191="Y",'9K.)HL_RedgnRate_SC9_I'!$H17,D201)</f>
        <v>18.03</v>
      </c>
      <c r="F201" s="1092">
        <f t="shared" si="8"/>
        <v>-7.963246554364467E-2</v>
      </c>
    </row>
    <row r="202" spans="1:6" x14ac:dyDescent="0.35">
      <c r="A202" s="486"/>
      <c r="B202" s="1"/>
      <c r="C202" s="464" t="s">
        <v>353</v>
      </c>
      <c r="D202" s="645">
        <f>IF(ISNUMBER(VLOOKUP($C202,'[1]A1.)RatesInput'!$B$102:$L$190,HLOOKUP(D$81,'[1]A1.)RatesInput'!$D$102:$L$190,3,0),0)),VLOOKUP($C202,'[1]A1.)RatesInput'!$B$102:$L$190,HLOOKUP(D$81,'[1]A1.)RatesInput'!$D$102:$L$190,3,0),0),0)</f>
        <v>101.15</v>
      </c>
      <c r="E202" s="645">
        <f>IF($A$191="Y",'9K.)HL_RedgnRate_SC9_I'!$H18,D202)</f>
        <v>87.300000000000011</v>
      </c>
      <c r="F202" s="1092">
        <f t="shared" si="8"/>
        <v>-0.1369253583786455</v>
      </c>
    </row>
    <row r="203" spans="1:6" x14ac:dyDescent="0.35">
      <c r="A203" s="486"/>
      <c r="B203" s="1"/>
      <c r="C203" s="464" t="s">
        <v>354</v>
      </c>
      <c r="D203" s="644">
        <f>IF(ISNUMBER(VLOOKUP($C203,'[1]A1.)RatesInput'!$B$102:$L$190,HLOOKUP(D$81,'[1]A1.)RatesInput'!$D$102:$L$190,3,0),0)),VLOOKUP($C203,'[1]A1.)RatesInput'!$B$102:$L$190,HLOOKUP(D$81,'[1]A1.)RatesInput'!$D$102:$L$190,3,0),0),0)</f>
        <v>14.139999999999999</v>
      </c>
      <c r="E203" s="644">
        <f>IF($A$191="Y",'9K.)HL_RedgnRate_SC9_I'!$H19,D203)</f>
        <v>12.579999999999998</v>
      </c>
      <c r="F203" s="1093">
        <f t="shared" si="8"/>
        <v>-0.11032531824611036</v>
      </c>
    </row>
    <row r="204" spans="1:6" x14ac:dyDescent="0.35">
      <c r="A204" s="486"/>
      <c r="B204" s="1"/>
      <c r="C204" s="464"/>
      <c r="D204" s="1"/>
      <c r="E204" s="1"/>
      <c r="F204" s="1090"/>
    </row>
    <row r="205" spans="1:6" x14ac:dyDescent="0.35">
      <c r="A205" s="486"/>
      <c r="B205" s="1"/>
      <c r="C205" s="464" t="s">
        <v>525</v>
      </c>
      <c r="D205" s="1094">
        <f>'9K.)HL_RedgnRate_SC9_I'!$M$44</f>
        <v>0.72</v>
      </c>
      <c r="E205" s="1"/>
      <c r="F205" s="1090"/>
    </row>
    <row r="206" spans="1:6" x14ac:dyDescent="0.35">
      <c r="A206" s="486"/>
      <c r="B206" s="1"/>
      <c r="C206" s="464" t="s">
        <v>524</v>
      </c>
      <c r="D206" s="1094">
        <f>'9K.)HL_RedgnRate_SC9_I'!$H$44</f>
        <v>0.64665676077265977</v>
      </c>
      <c r="E206" s="1"/>
      <c r="F206" s="1090"/>
    </row>
    <row r="207" spans="1:6" x14ac:dyDescent="0.35">
      <c r="A207" s="486"/>
      <c r="B207" s="1"/>
      <c r="C207" s="464" t="str">
        <f>CONCATENATE(E195," Approach")</f>
        <v xml:space="preserve"> Approach</v>
      </c>
      <c r="D207" s="1094">
        <f>'9K.)HL_RedgnRate_SC9_I'!$K$56</f>
        <v>0.65</v>
      </c>
      <c r="E207" s="1"/>
      <c r="F207" s="1090"/>
    </row>
    <row r="208" spans="1:6" x14ac:dyDescent="0.35">
      <c r="A208" s="486"/>
      <c r="B208" s="1"/>
      <c r="C208" s="464"/>
      <c r="D208" s="526" t="str">
        <f>D$9</f>
        <v>Current</v>
      </c>
      <c r="E208" s="526" t="s">
        <v>142</v>
      </c>
      <c r="F208" s="526" t="s">
        <v>243</v>
      </c>
    </row>
    <row r="209" spans="1:6" x14ac:dyDescent="0.35">
      <c r="A209" s="486"/>
      <c r="B209" s="1"/>
      <c r="C209" s="1095" t="str">
        <f>IF(A191="N","*No H/L Tension Shifting","*See Below for the Shifting Information")</f>
        <v>*See Below for the Shifting Information</v>
      </c>
      <c r="D209" s="1"/>
      <c r="E209" s="296"/>
      <c r="F209" s="1090"/>
    </row>
    <row r="210" spans="1:6" ht="15" thickBot="1" x14ac:dyDescent="0.4">
      <c r="A210" s="486"/>
      <c r="B210" s="1"/>
      <c r="C210" s="1095" t="str">
        <f>IF(A191="N","**Information here is not to use.","")</f>
        <v/>
      </c>
      <c r="D210" s="1"/>
      <c r="E210" s="1"/>
      <c r="F210" s="1090"/>
    </row>
    <row r="211" spans="1:6" ht="15.5" thickTop="1" thickBot="1" x14ac:dyDescent="0.4">
      <c r="A211" s="486"/>
      <c r="B211" s="1"/>
      <c r="C211" s="1" t="s">
        <v>752</v>
      </c>
      <c r="D211" s="634">
        <f>IF(A191="N","",'9K.)HL_RedgnRate_SC9_I'!$K$180)</f>
        <v>1130065186</v>
      </c>
      <c r="E211" s="1019">
        <f>IF(A191="N","",'9K.)HL_RedgnRate_SC9_I'!$K$178)</f>
        <v>1130052687</v>
      </c>
      <c r="F211" s="1096">
        <f>IF(A191="N","",E211/D211-1)</f>
        <v>-1.1060423907305328E-5</v>
      </c>
    </row>
    <row r="212" spans="1:6" ht="15" thickTop="1" x14ac:dyDescent="0.35">
      <c r="A212" s="486"/>
      <c r="B212" s="1"/>
      <c r="C212" s="1"/>
      <c r="D212" s="1"/>
      <c r="E212" s="1"/>
      <c r="F212" s="1090"/>
    </row>
    <row r="213" spans="1:6" ht="15" thickBot="1" x14ac:dyDescent="0.4">
      <c r="A213" s="486"/>
      <c r="C213" s="464"/>
      <c r="D213" s="1"/>
      <c r="E213" s="1"/>
      <c r="F213" s="1090"/>
    </row>
    <row r="214" spans="1:6" ht="15" hidden="1" thickBot="1" x14ac:dyDescent="0.4">
      <c r="B214" s="87"/>
      <c r="C214" s="1"/>
      <c r="D214" s="1"/>
      <c r="E214" s="1"/>
      <c r="F214" s="1090"/>
    </row>
    <row r="215" spans="1:6" ht="15" thickBot="1" x14ac:dyDescent="0.4">
      <c r="A215" s="486" t="str">
        <f>'9B.)HL_RedesignRateComp'!O37</f>
        <v>Y</v>
      </c>
      <c r="B215" s="858" t="s">
        <v>2177</v>
      </c>
      <c r="C215" s="1097" t="s">
        <v>529</v>
      </c>
      <c r="D215" s="1098" t="str">
        <f>CONCATENATE('9L.)HL_RedgnRate_NYPA_II'!$A$2," ",'9L.)HL_RedgnRate_NYPA_II'!$A$3," ",'9L.)HL_RedgnRate_NYPA_II'!$A$4)</f>
        <v>NYPA Rate II TODL</v>
      </c>
      <c r="E215" s="1102"/>
      <c r="F215" s="1090"/>
    </row>
    <row r="216" spans="1:6" x14ac:dyDescent="0.35">
      <c r="B216" s="1"/>
      <c r="C216" s="1104" t="s">
        <v>528</v>
      </c>
      <c r="D216" s="1101" t="s">
        <v>1337</v>
      </c>
      <c r="E216" s="1"/>
      <c r="F216" s="1090"/>
    </row>
    <row r="217" spans="1:6" x14ac:dyDescent="0.35">
      <c r="B217" s="1"/>
      <c r="C217" s="1"/>
      <c r="D217" s="1"/>
      <c r="E217" s="1"/>
      <c r="F217" s="1090"/>
    </row>
    <row r="218" spans="1:6" x14ac:dyDescent="0.35">
      <c r="B218" s="1"/>
      <c r="C218" s="1104" t="s">
        <v>527</v>
      </c>
      <c r="D218" s="526" t="s">
        <v>170</v>
      </c>
      <c r="E218" s="526" t="s">
        <v>142</v>
      </c>
      <c r="F218" s="526" t="s">
        <v>526</v>
      </c>
    </row>
    <row r="219" spans="1:6" x14ac:dyDescent="0.35">
      <c r="B219" s="1"/>
      <c r="C219" s="1"/>
      <c r="D219" s="1222">
        <f>$F$4</f>
        <v>2019</v>
      </c>
      <c r="E219" s="296"/>
      <c r="F219" s="1090"/>
    </row>
    <row r="220" spans="1:6" x14ac:dyDescent="0.35">
      <c r="B220" s="1"/>
      <c r="C220" s="1" t="s">
        <v>920</v>
      </c>
      <c r="D220" s="533">
        <f>IF(ISNUMBER(VLOOKUP($C220,'[1]A1.)RatesInput'!$B$195:$L$281,HLOOKUP(D$10,'[1]A1.)RatesInput'!$D$195:$L$281,3,0),0)),VLOOKUP($C220,'[1]A1.)RatesInput'!$B$195:$L$281,HLOOKUP(D$10,'[1]A1.)RatesInput'!$D$195:$L$281,3,0),0),0)</f>
        <v>0</v>
      </c>
      <c r="E220" s="643">
        <f>IF($A$143="Y",'9L.)HL_RedgnRate_NYPA_II'!$G$16,D220)</f>
        <v>0</v>
      </c>
      <c r="F220" s="1091" t="str">
        <f t="shared" ref="F220:F225" si="9">IF(ISNUMBER(E220/D220-1),E220/D220-1,"")</f>
        <v/>
      </c>
    </row>
    <row r="221" spans="1:6" x14ac:dyDescent="0.35">
      <c r="B221" s="1"/>
      <c r="C221" s="1" t="s">
        <v>921</v>
      </c>
      <c r="D221" s="488">
        <f>IF(ISNUMBER(VLOOKUP($C221,'[1]A1.)RatesInput'!$B$195:$L$281,HLOOKUP(D$10,'[1]A1.)RatesInput'!$D$195:$L$281,3,0),0)),VLOOKUP($C221,'[1]A1.)RatesInput'!$B$195:$L$281,HLOOKUP(D$10,'[1]A1.)RatesInput'!$D$195:$L$281,3,0),0),0)</f>
        <v>11.89</v>
      </c>
      <c r="E221" s="645">
        <f>IF($A$143="Y",'9L.)HL_RedgnRate_NYPA_II'!$G$17,D221)</f>
        <v>13.2</v>
      </c>
      <c r="F221" s="1092">
        <f t="shared" si="9"/>
        <v>0.11017661900756925</v>
      </c>
    </row>
    <row r="222" spans="1:6" x14ac:dyDescent="0.35">
      <c r="B222" s="1"/>
      <c r="C222" s="1" t="s">
        <v>922</v>
      </c>
      <c r="D222" s="488">
        <f>IF(ISNUMBER(VLOOKUP($C222,'[1]A1.)RatesInput'!$B$195:$L$281,HLOOKUP(D$10,'[1]A1.)RatesInput'!$D$195:$L$281,3,0),0)),VLOOKUP($C222,'[1]A1.)RatesInput'!$B$195:$L$281,HLOOKUP(D$10,'[1]A1.)RatesInput'!$D$195:$L$281,3,0),0),0)</f>
        <v>7.11</v>
      </c>
      <c r="E222" s="645">
        <f>IF($A$143="Y",'9L.)HL_RedgnRate_NYPA_II'!$G$18,D222)</f>
        <v>4.7300000000000004</v>
      </c>
      <c r="F222" s="1092">
        <f t="shared" si="9"/>
        <v>-0.33473980309423346</v>
      </c>
    </row>
    <row r="223" spans="1:6" x14ac:dyDescent="0.35">
      <c r="B223" s="1"/>
      <c r="C223" s="1" t="s">
        <v>923</v>
      </c>
      <c r="D223" s="488">
        <f>IF(ISNUMBER(VLOOKUP($C223,'[1]A1.)RatesInput'!$B$195:$L$281,HLOOKUP(D$10,'[1]A1.)RatesInput'!$D$195:$L$281,3,0),0)),VLOOKUP($C223,'[1]A1.)RatesInput'!$B$195:$L$281,HLOOKUP(D$10,'[1]A1.)RatesInput'!$D$195:$L$281,3,0),0),0)</f>
        <v>7.4</v>
      </c>
      <c r="E223" s="645">
        <f>IF($A$143="Y",'9L.)HL_RedgnRate_NYPA_II'!$G$19,D223)</f>
        <v>7.4</v>
      </c>
      <c r="F223" s="1092">
        <f t="shared" si="9"/>
        <v>0</v>
      </c>
    </row>
    <row r="224" spans="1:6" x14ac:dyDescent="0.35">
      <c r="B224" s="1"/>
      <c r="C224" s="1" t="s">
        <v>924</v>
      </c>
      <c r="D224" s="488">
        <f>IF(ISNUMBER(VLOOKUP($C224,'[1]A1.)RatesInput'!$B$195:$L$281,HLOOKUP(D$10,'[1]A1.)RatesInput'!$D$195:$L$281,3,0),0)),VLOOKUP($C224,'[1]A1.)RatesInput'!$B$195:$L$281,HLOOKUP(D$10,'[1]A1.)RatesInput'!$D$195:$L$281,3,0),0),0)</f>
        <v>20.46</v>
      </c>
      <c r="E224" s="645">
        <f>IF($A$143="Y",'9L.)HL_RedgnRate_NYPA_II'!$G$20,D224)</f>
        <v>21.77</v>
      </c>
      <c r="F224" s="1092">
        <f t="shared" si="9"/>
        <v>6.4027370478983325E-2</v>
      </c>
    </row>
    <row r="225" spans="2:6" x14ac:dyDescent="0.35">
      <c r="B225" s="1"/>
      <c r="C225" s="1" t="s">
        <v>925</v>
      </c>
      <c r="D225" s="489">
        <f>IF(ISNUMBER(VLOOKUP($C225,'[1]A1.)RatesInput'!$B$195:$L$281,HLOOKUP(D$10,'[1]A1.)RatesInput'!$D$195:$L$281,3,0),0)),VLOOKUP($C225,'[1]A1.)RatesInput'!$B$195:$L$281,HLOOKUP(D$10,'[1]A1.)RatesInput'!$D$195:$L$281,3,0),0),0)</f>
        <v>22.47</v>
      </c>
      <c r="E225" s="644">
        <f>IF($A$143="Y",'9L.)HL_RedgnRate_NYPA_II'!$G$21,D225)</f>
        <v>20.09</v>
      </c>
      <c r="F225" s="1093">
        <f t="shared" si="9"/>
        <v>-0.10591900311526481</v>
      </c>
    </row>
    <row r="226" spans="2:6" x14ac:dyDescent="0.35">
      <c r="B226" s="1"/>
      <c r="C226" s="1"/>
      <c r="D226" s="1"/>
      <c r="E226" s="1"/>
      <c r="F226" s="1090"/>
    </row>
    <row r="227" spans="2:6" x14ac:dyDescent="0.35">
      <c r="B227" s="1"/>
      <c r="C227" s="1" t="s">
        <v>525</v>
      </c>
      <c r="D227" s="1094">
        <f>'9L.)HL_RedgnRate_NYPA_II'!$L$40</f>
        <v>0.57999999999999996</v>
      </c>
      <c r="E227" s="1"/>
      <c r="F227" s="1090"/>
    </row>
    <row r="228" spans="2:6" x14ac:dyDescent="0.35">
      <c r="B228" s="1"/>
      <c r="C228" s="1" t="s">
        <v>524</v>
      </c>
      <c r="D228" s="1094">
        <f>'9L.)HL_RedgnRate_NYPA_II'!$G$40</f>
        <v>0.65837837837837832</v>
      </c>
      <c r="E228" s="1"/>
      <c r="F228" s="1090"/>
    </row>
    <row r="229" spans="2:6" x14ac:dyDescent="0.35">
      <c r="B229" s="1"/>
      <c r="C229" s="1" t="str">
        <f>CONCATENATE(E219," Approach")</f>
        <v xml:space="preserve"> Approach</v>
      </c>
      <c r="D229" s="1094">
        <f>'9L.)HL_RedgnRate_NYPA_II'!$I$51</f>
        <v>0.66</v>
      </c>
      <c r="E229" s="1"/>
      <c r="F229" s="1090"/>
    </row>
    <row r="230" spans="2:6" x14ac:dyDescent="0.35">
      <c r="B230" s="1"/>
      <c r="C230" s="1"/>
      <c r="D230" s="1094"/>
      <c r="E230" s="1"/>
      <c r="F230" s="1090"/>
    </row>
    <row r="231" spans="2:6" x14ac:dyDescent="0.35">
      <c r="B231" s="1"/>
      <c r="C231" s="1095" t="str">
        <f>IF(A215="N","*No H/L Tension Shifting","*See Below for the Shifting Information")</f>
        <v>*See Below for the Shifting Information</v>
      </c>
      <c r="D231" s="526" t="s">
        <v>170</v>
      </c>
      <c r="E231" s="526" t="s">
        <v>142</v>
      </c>
      <c r="F231" s="526" t="s">
        <v>243</v>
      </c>
    </row>
    <row r="232" spans="2:6" x14ac:dyDescent="0.35">
      <c r="B232" s="1"/>
      <c r="C232" s="1095" t="str">
        <f>IF(A215="N","**Information here is not to use.","")</f>
        <v/>
      </c>
      <c r="D232" s="1"/>
      <c r="E232" s="296"/>
      <c r="F232" s="1090"/>
    </row>
    <row r="233" spans="2:6" x14ac:dyDescent="0.35">
      <c r="B233" s="1"/>
      <c r="C233" s="1" t="s">
        <v>211</v>
      </c>
      <c r="D233" s="1103">
        <f>IF(A215="N","",'9L.)HL_RedgnRate_NYPA_II'!$H$136)</f>
        <v>0.4153</v>
      </c>
      <c r="E233" s="1103">
        <f>IF(A215="N","",'9L.)HL_RedgnRate_NYPA_II'!$Q$136)</f>
        <v>0.34710000000000002</v>
      </c>
      <c r="F233" s="1090"/>
    </row>
    <row r="234" spans="2:6" x14ac:dyDescent="0.35">
      <c r="B234" s="1"/>
      <c r="C234" s="1" t="s">
        <v>212</v>
      </c>
      <c r="D234" s="1103">
        <f>IF(A215="N","",'9L.)HL_RedgnRate_NYPA_II'!$H$137)</f>
        <v>0.5847</v>
      </c>
      <c r="E234" s="1103">
        <f>IF(A215="N","",'9L.)HL_RedgnRate_NYPA_II'!$Q$137)</f>
        <v>0.65290000000000004</v>
      </c>
      <c r="F234" s="1090"/>
    </row>
    <row r="235" spans="2:6" ht="15" thickBot="1" x14ac:dyDescent="0.4">
      <c r="B235" s="1"/>
      <c r="C235" s="1"/>
      <c r="D235" s="1"/>
      <c r="E235" s="1"/>
      <c r="F235" s="1090"/>
    </row>
    <row r="236" spans="2:6" ht="15.5" thickTop="1" thickBot="1" x14ac:dyDescent="0.4">
      <c r="B236" s="1"/>
      <c r="C236" s="1" t="s">
        <v>752</v>
      </c>
      <c r="D236" s="634">
        <f>IF(A215="N","",'9L.)HL_RedgnRate_NYPA_II'!$E$166)</f>
        <v>181531105</v>
      </c>
      <c r="E236" s="1019">
        <f>IF(A215="N","",'9L.)HL_RedgnRate_NYPA_II'!$N$166)</f>
        <v>181521461</v>
      </c>
      <c r="F236" s="1096">
        <f>IF(A215="N","",E236/D236-1)</f>
        <v>-5.3125881649851436E-5</v>
      </c>
    </row>
    <row r="237" spans="2:6" ht="15" thickTop="1" x14ac:dyDescent="0.35"/>
  </sheetData>
  <printOptions horizontalCentered="1"/>
  <pageMargins left="0.2" right="0.2" top="0.5" bottom="0.25" header="0.3" footer="0.1"/>
  <pageSetup scale="55" orientation="landscape" r:id="rId1"/>
  <headerFooter>
    <oddFooter>&amp;C&amp;F (Tab: &amp;A)&amp;RPage &amp;P / &amp;N</oddFooter>
  </headerFooter>
  <rowBreaks count="2" manualBreakCount="2">
    <brk id="118" max="16383" man="1"/>
    <brk id="166" max="16383" man="1"/>
  </row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>
    <tabColor rgb="FFFFFFCC"/>
    <pageSetUpPr fitToPage="1"/>
  </sheetPr>
  <dimension ref="A1:Z138"/>
  <sheetViews>
    <sheetView topLeftCell="A42" workbookViewId="0">
      <selection activeCell="I69" sqref="I69"/>
    </sheetView>
  </sheetViews>
  <sheetFormatPr defaultColWidth="8.81640625" defaultRowHeight="14.5" outlineLevelRow="1" outlineLevelCol="1" x14ac:dyDescent="0.35"/>
  <cols>
    <col min="1" max="1" width="15.54296875" style="3" customWidth="1" outlineLevel="1"/>
    <col min="2" max="2" width="11.81640625" style="3" customWidth="1"/>
    <col min="3" max="3" width="11.26953125" style="3" customWidth="1"/>
    <col min="4" max="7" width="14.81640625" style="3" customWidth="1"/>
    <col min="8" max="8" width="3.7265625" style="3" customWidth="1"/>
    <col min="9" max="12" width="14.26953125" style="3" customWidth="1"/>
    <col min="13" max="13" width="3.453125" style="3" customWidth="1"/>
    <col min="14" max="15" width="16" style="3" customWidth="1"/>
    <col min="16" max="16" width="10.54296875" style="3" customWidth="1"/>
    <col min="17" max="17" width="11" style="3" customWidth="1"/>
    <col min="18" max="16384" width="8.81640625" style="3"/>
  </cols>
  <sheetData>
    <row r="1" spans="1:26" ht="18.5" x14ac:dyDescent="0.35">
      <c r="B1" s="238" t="s">
        <v>831</v>
      </c>
      <c r="O1" s="190"/>
      <c r="Z1" s="190" t="s">
        <v>764</v>
      </c>
    </row>
    <row r="2" spans="1:26" ht="18.5" x14ac:dyDescent="0.35">
      <c r="B2" s="238" t="str">
        <f>'[1]A1.)RatesInput'!$E$1</f>
        <v>Rate Case 2019</v>
      </c>
      <c r="Z2" s="190" t="s">
        <v>765</v>
      </c>
    </row>
    <row r="3" spans="1:26" ht="18.5" x14ac:dyDescent="0.35">
      <c r="B3" s="238" t="s">
        <v>264</v>
      </c>
      <c r="Z3" s="190" t="s">
        <v>766</v>
      </c>
    </row>
    <row r="4" spans="1:26" ht="16" thickBot="1" x14ac:dyDescent="0.4">
      <c r="A4" s="652"/>
      <c r="Z4" s="190" t="s">
        <v>767</v>
      </c>
    </row>
    <row r="5" spans="1:26" ht="15.5" thickTop="1" thickBot="1" x14ac:dyDescent="0.4">
      <c r="D5" s="1323">
        <f>'9A.)HL_RedesignRateSummary'!F5</f>
        <v>2017</v>
      </c>
      <c r="E5" s="1324"/>
      <c r="F5" s="1325" t="s">
        <v>1347</v>
      </c>
      <c r="G5" s="1326"/>
      <c r="I5" s="1320" t="str">
        <f>CONCATENATE("Current Demand Rates at 1/1/",RIGHT('9A.)HL_RedesignRateSummary'!$F$4,2)," Level")</f>
        <v>Current Demand Rates at 1/1/19 Level</v>
      </c>
      <c r="J5" s="1321"/>
      <c r="K5" s="1321"/>
      <c r="L5" s="1322"/>
      <c r="Z5" s="190" t="s">
        <v>1341</v>
      </c>
    </row>
    <row r="6" spans="1:26" ht="15" thickTop="1" x14ac:dyDescent="0.35">
      <c r="A6" s="190"/>
      <c r="D6" s="671" t="s">
        <v>79</v>
      </c>
      <c r="E6" s="671" t="s">
        <v>78</v>
      </c>
      <c r="F6" s="671" t="s">
        <v>1348</v>
      </c>
      <c r="G6" s="671" t="s">
        <v>1349</v>
      </c>
      <c r="I6" s="671" t="s">
        <v>165</v>
      </c>
      <c r="J6" s="671" t="s">
        <v>166</v>
      </c>
      <c r="K6" s="671" t="s">
        <v>1350</v>
      </c>
      <c r="L6" s="671" t="s">
        <v>1351</v>
      </c>
      <c r="N6" s="671" t="s">
        <v>1352</v>
      </c>
      <c r="O6" s="1080">
        <f>'[1]A1.)RatesInput'!$I$99</f>
        <v>0.05</v>
      </c>
      <c r="P6" s="283" t="s">
        <v>2176</v>
      </c>
    </row>
    <row r="7" spans="1:26" x14ac:dyDescent="0.35">
      <c r="I7" s="805" t="str">
        <f>'9A.)HL_RedesignRateSummary'!D10</f>
        <v>ED shifting</v>
      </c>
      <c r="O7" s="30"/>
    </row>
    <row r="8" spans="1:26" s="251" customFormat="1" ht="43.5" x14ac:dyDescent="0.35">
      <c r="D8" s="251" t="s">
        <v>1343</v>
      </c>
      <c r="E8" s="251" t="s">
        <v>1342</v>
      </c>
      <c r="F8" s="251" t="s">
        <v>269</v>
      </c>
      <c r="G8" s="251" t="s">
        <v>194</v>
      </c>
      <c r="I8" s="251" t="s">
        <v>1344</v>
      </c>
      <c r="J8" s="251" t="s">
        <v>1345</v>
      </c>
      <c r="K8" s="251" t="s">
        <v>1346</v>
      </c>
      <c r="L8" s="251" t="s">
        <v>194</v>
      </c>
      <c r="N8" s="251" t="s">
        <v>1</v>
      </c>
      <c r="O8" s="251" t="s">
        <v>1353</v>
      </c>
    </row>
    <row r="9" spans="1:26" x14ac:dyDescent="0.35">
      <c r="D9" s="2"/>
      <c r="E9" s="2"/>
      <c r="F9" s="657"/>
      <c r="G9" s="657"/>
      <c r="H9" s="657"/>
      <c r="I9" s="2"/>
      <c r="J9" s="657"/>
      <c r="K9" s="657"/>
      <c r="L9" s="657"/>
      <c r="M9" s="657"/>
      <c r="N9" s="36"/>
    </row>
    <row r="10" spans="1:26" x14ac:dyDescent="0.35">
      <c r="A10" s="3" t="s">
        <v>265</v>
      </c>
      <c r="B10" s="1223" t="str">
        <f>LEFT(A10,7)</f>
        <v>SC5 NTD</v>
      </c>
      <c r="C10" s="2"/>
      <c r="D10" s="849">
        <f>IF(ISNUMBER(VLOOKUP($A11,'[1]A1.)RatesInput'!$B$286:$J$310,HLOOKUP(D$5,'[1]A1.)RatesInput'!$B$286:$J$310,3,0),0)),VLOOKUP($A11,'[1]A1.)RatesInput'!$B$286:$J$310,HLOOKUP(D$5,'[1]A1.)RatesInput'!$B$286:$J$310,3,0),0),0)</f>
        <v>27.01</v>
      </c>
      <c r="E10" s="850">
        <f>IF(ISNUMBER(VLOOKUP($A10,'[1]A1.)RatesInput'!$B$286:$J$310,HLOOKUP(D$5,'[1]A1.)RatesInput'!$B$286:$J$310,3,0),0)),VLOOKUP($A10,'[1]A1.)RatesInput'!$B$286:$J$310,HLOOKUP(D$5,'[1]A1.)RatesInput'!$B$286:$J$310,3,0),0),0)</f>
        <v>40.83</v>
      </c>
      <c r="F10" s="659">
        <f>E10-D10</f>
        <v>13.819999999999997</v>
      </c>
      <c r="G10" s="660">
        <f>IF(ISNUMBER(ROUND(D10/E10,$B$46)),ROUND(D10/E10,$B$46),"N/A")</f>
        <v>0.66</v>
      </c>
      <c r="H10" s="658"/>
      <c r="I10" s="850">
        <f>IF(ISNUMBER(VLOOKUP($A11,'[1]A1.)RatesInput'!$B$315:$J$340,HLOOKUP(I$7,'[1]A1.)RatesInput'!$B$315:$J$340,3,0),0)),VLOOKUP($A11,'[1]A1.)RatesInput'!$B$315:$J$340,HLOOKUP(I$7,'[1]A1.)RatesInput'!$B$315:$J$340,3,0),0),0)</f>
        <v>16.21</v>
      </c>
      <c r="J10" s="850">
        <f>IF(ISNUMBER(VLOOKUP($A10,'[1]A1.)RatesInput'!$B$315:$J$340,HLOOKUP(I$7,'[1]A1.)RatesInput'!$B$315:$J$340,3,0),0)),VLOOKUP($A10,'[1]A1.)RatesInput'!$B$315:$J$340,HLOOKUP(I$7,'[1]A1.)RatesInput'!$B$315:$J$340,3,0),0),0)</f>
        <v>23.77</v>
      </c>
      <c r="K10" s="659">
        <f>J10-I10</f>
        <v>7.5599999999999987</v>
      </c>
      <c r="L10" s="660">
        <f>IF(ISNUMBER(ROUND(I10/J10,$B$46)),ROUND(I10/J10,$B$46),"N/A")</f>
        <v>0.68</v>
      </c>
      <c r="M10" s="658"/>
      <c r="N10" s="661">
        <f>IF(ISNUMBER(L10-G10),L10-G10,"N/A")</f>
        <v>2.0000000000000018E-2</v>
      </c>
      <c r="O10" s="662" t="str">
        <f>IF(ISNUMBER(ABS(N10)),IF(ABS(N10)&gt;$O$6,"Y","N"),"N/A")</f>
        <v>N</v>
      </c>
    </row>
    <row r="11" spans="1:26" x14ac:dyDescent="0.35">
      <c r="A11" s="3" t="s">
        <v>267</v>
      </c>
      <c r="B11" s="2"/>
      <c r="C11" s="2"/>
      <c r="D11" s="851"/>
      <c r="E11" s="852"/>
      <c r="F11" s="249"/>
      <c r="G11" s="249"/>
      <c r="H11" s="249"/>
      <c r="I11" s="852"/>
      <c r="J11" s="855"/>
      <c r="K11" s="249"/>
      <c r="L11" s="360"/>
      <c r="M11" s="249"/>
      <c r="N11" s="56"/>
      <c r="O11" s="663"/>
    </row>
    <row r="12" spans="1:26" x14ac:dyDescent="0.35">
      <c r="A12" s="3" t="s">
        <v>266</v>
      </c>
      <c r="B12" s="1223" t="str">
        <f>LEFT(A12,7)</f>
        <v>SC5 TOD</v>
      </c>
      <c r="C12" s="2"/>
      <c r="D12" s="853">
        <f>IF(ISNUMBER(VLOOKUP($A13,'[1]A1.)RatesInput'!$B$286:$J$310,HLOOKUP(D$5,'[1]A1.)RatesInput'!$B$286:$J$310,3,0),0)),VLOOKUP($A13,'[1]A1.)RatesInput'!$B$286:$J$310,HLOOKUP(D$5,'[1]A1.)RatesInput'!$B$286:$J$310,3,0),0),0)</f>
        <v>13.83</v>
      </c>
      <c r="E12" s="854">
        <f>IF(ISNUMBER(VLOOKUP($A12,'[1]A1.)RatesInput'!$B$286:$J$310,HLOOKUP(D$5,'[1]A1.)RatesInput'!$B$286:$J$310,3,0),0)),VLOOKUP($A12,'[1]A1.)RatesInput'!$B$286:$J$310,HLOOKUP(D$5,'[1]A1.)RatesInput'!$B$286:$J$310,3,0),0),0)</f>
        <v>22.76</v>
      </c>
      <c r="F12" s="665">
        <f>E12-D12</f>
        <v>8.9300000000000015</v>
      </c>
      <c r="G12" s="666">
        <f>IF(ISNUMBER(ROUND(D12/E12,$B$46)),ROUND(D12/E12,$B$46),"N/A")</f>
        <v>0.61</v>
      </c>
      <c r="H12" s="664"/>
      <c r="I12" s="854">
        <f>IF(ISNUMBER(VLOOKUP($A13,'[1]A1.)RatesInput'!$B$315:$J$340,HLOOKUP(I$7,'[1]A1.)RatesInput'!$B$315:$J$340,3,0),0)),VLOOKUP($A13,'[1]A1.)RatesInput'!$B$315:$J$340,HLOOKUP(I$7,'[1]A1.)RatesInput'!$B$315:$J$340,3,0),0),0)</f>
        <v>10.050000000000001</v>
      </c>
      <c r="J12" s="854">
        <f>IF(ISNUMBER(VLOOKUP($A12,'[1]A1.)RatesInput'!$B$315:$J$340,HLOOKUP(I$7,'[1]A1.)RatesInput'!$B$315:$J$340,3,0),0)),VLOOKUP($A12,'[1]A1.)RatesInput'!$B$315:$J$340,HLOOKUP(I$7,'[1]A1.)RatesInput'!$B$315:$J$340,3,0),0),0)</f>
        <v>14.97</v>
      </c>
      <c r="K12" s="665">
        <f>J12-I12</f>
        <v>4.92</v>
      </c>
      <c r="L12" s="666">
        <f>IF(ISNUMBER(ROUND(I12/J12,$B$46)),ROUND(I12/J12,$B$46),"N/A")</f>
        <v>0.67</v>
      </c>
      <c r="M12" s="664"/>
      <c r="N12" s="667">
        <f>IF(ISNUMBER(L12-G12),L12-G12,"N/A")</f>
        <v>6.0000000000000053E-2</v>
      </c>
      <c r="O12" s="668" t="str">
        <f>IF(ISNUMBER(ABS(N12)),IF(ABS(N12)&gt;$O$6,"Y","N"),"N/A")</f>
        <v>Y</v>
      </c>
    </row>
    <row r="13" spans="1:26" x14ac:dyDescent="0.35">
      <c r="A13" s="3" t="s">
        <v>268</v>
      </c>
      <c r="B13" s="2"/>
      <c r="C13" s="2"/>
      <c r="D13" s="108"/>
      <c r="E13" s="108"/>
      <c r="F13" s="249"/>
      <c r="G13" s="249"/>
      <c r="H13" s="249"/>
      <c r="I13" s="108"/>
      <c r="J13" s="855"/>
      <c r="K13" s="249"/>
      <c r="L13" s="249"/>
      <c r="M13" s="249"/>
      <c r="N13" s="36"/>
    </row>
    <row r="14" spans="1:26" x14ac:dyDescent="0.35">
      <c r="B14" s="2"/>
      <c r="C14" s="2"/>
      <c r="D14" s="108"/>
      <c r="E14" s="108"/>
      <c r="F14" s="657"/>
      <c r="G14" s="657"/>
      <c r="H14" s="657"/>
      <c r="I14" s="108"/>
      <c r="J14" s="855"/>
      <c r="K14" s="657"/>
      <c r="L14" s="657"/>
      <c r="M14" s="657"/>
      <c r="N14" s="36"/>
    </row>
    <row r="15" spans="1:26" x14ac:dyDescent="0.35">
      <c r="A15" s="3" t="s">
        <v>274</v>
      </c>
      <c r="B15" s="1223" t="str">
        <f>LEFT(A15,7)</f>
        <v>SC8 NTD</v>
      </c>
      <c r="C15" s="2"/>
      <c r="D15" s="849">
        <f>IF(ISNUMBER(VLOOKUP($A16,'[1]A1.)RatesInput'!$B$286:$J$310,HLOOKUP(D$5,'[1]A1.)RatesInput'!$B$286:$J$310,3,0),0)),VLOOKUP($A16,'[1]A1.)RatesInput'!$B$286:$J$310,HLOOKUP(D$5,'[1]A1.)RatesInput'!$B$286:$J$310,3,0),0),0)</f>
        <v>26.76</v>
      </c>
      <c r="E15" s="850">
        <f>IF(ISNUMBER(VLOOKUP($A15,'[1]A1.)RatesInput'!$B$286:$J$310,HLOOKUP(D$5,'[1]A1.)RatesInput'!$B$286:$J$310,3,0),0)),VLOOKUP($A15,'[1]A1.)RatesInput'!$B$286:$J$310,HLOOKUP(D$5,'[1]A1.)RatesInput'!$B$286:$J$310,3,0),0),0)</f>
        <v>39.75</v>
      </c>
      <c r="F15" s="659">
        <f>E15-D15</f>
        <v>12.989999999999998</v>
      </c>
      <c r="G15" s="660">
        <f>IF(ISNUMBER(ROUND(D15/E15,$B$46)),ROUND(D15/E15,$B$46),"N/A")</f>
        <v>0.67</v>
      </c>
      <c r="H15" s="658"/>
      <c r="I15" s="850">
        <f>IF(ISNUMBER(VLOOKUP($A16,'[1]A1.)RatesInput'!$B$315:$J$340,HLOOKUP(I$7,'[1]A1.)RatesInput'!$B$315:$J$340,3,0),0)),VLOOKUP($A16,'[1]A1.)RatesInput'!$B$315:$J$340,HLOOKUP(I$7,'[1]A1.)RatesInput'!$B$315:$J$340,3,0),0),0)</f>
        <v>21.82</v>
      </c>
      <c r="J15" s="850">
        <f>IF(ISNUMBER(VLOOKUP($A15,'[1]A1.)RatesInput'!$B$315:$J$340,HLOOKUP(I$7,'[1]A1.)RatesInput'!$B$315:$J$340,3,0),0)),VLOOKUP($A15,'[1]A1.)RatesInput'!$B$315:$J$340,HLOOKUP(I$7,'[1]A1.)RatesInput'!$B$315:$J$340,3,0),0),0)</f>
        <v>29.12</v>
      </c>
      <c r="K15" s="659">
        <f>J15-I15</f>
        <v>7.3000000000000007</v>
      </c>
      <c r="L15" s="660">
        <f>IF(ISNUMBER(ROUND(I15/J15,$B$46)),ROUND(I15/J15,$B$46),"N/A")</f>
        <v>0.75</v>
      </c>
      <c r="M15" s="658"/>
      <c r="N15" s="661">
        <f>IF(ISNUMBER(L15-G15),L15-G15,"N/A")</f>
        <v>7.999999999999996E-2</v>
      </c>
      <c r="O15" s="1059" t="str">
        <f>IF(ISNUMBER(ABS(N15)),IF(ABS(N15)&gt;$O$6,"Y","N"),"N/A")</f>
        <v>Y</v>
      </c>
    </row>
    <row r="16" spans="1:26" x14ac:dyDescent="0.35">
      <c r="A16" s="3" t="s">
        <v>275</v>
      </c>
      <c r="B16" s="2"/>
      <c r="C16" s="2"/>
      <c r="D16" s="851"/>
      <c r="E16" s="852"/>
      <c r="F16" s="249"/>
      <c r="G16" s="249"/>
      <c r="H16" s="249"/>
      <c r="I16" s="852"/>
      <c r="J16" s="855"/>
      <c r="K16" s="249"/>
      <c r="L16" s="249"/>
      <c r="M16" s="249"/>
      <c r="N16" s="56"/>
      <c r="O16" s="1060"/>
    </row>
    <row r="17" spans="1:16" x14ac:dyDescent="0.35">
      <c r="A17" s="3" t="s">
        <v>276</v>
      </c>
      <c r="B17" s="1223" t="str">
        <f>LEFT(A17,7)</f>
        <v>SC8 TOD</v>
      </c>
      <c r="C17" s="2"/>
      <c r="D17" s="853">
        <f>IF(ISNUMBER(VLOOKUP($A18,'[1]A1.)RatesInput'!$B$286:$J$310,HLOOKUP(D$5,'[1]A1.)RatesInput'!$B$286:$J$310,3,0),0)),VLOOKUP($A18,'[1]A1.)RatesInput'!$B$286:$J$310,HLOOKUP(D$5,'[1]A1.)RatesInput'!$B$286:$J$310,3,0),0),0)</f>
        <v>26.05</v>
      </c>
      <c r="E17" s="854">
        <f>IF(ISNUMBER(VLOOKUP($A17,'[1]A1.)RatesInput'!$B$286:$J$310,HLOOKUP(D$5,'[1]A1.)RatesInput'!$B$286:$J$310,3,0),0)),VLOOKUP($A17,'[1]A1.)RatesInput'!$B$286:$J$310,HLOOKUP(D$5,'[1]A1.)RatesInput'!$B$286:$J$310,3,0),0),0)</f>
        <v>37.99</v>
      </c>
      <c r="F17" s="665">
        <f>E17-D17</f>
        <v>11.940000000000001</v>
      </c>
      <c r="G17" s="666">
        <f>IF(ISNUMBER(ROUND(D17/E17,$B$46)),ROUND(D17/E17,$B$46),"N/A")</f>
        <v>0.69</v>
      </c>
      <c r="H17" s="664"/>
      <c r="I17" s="854">
        <f>IF(ISNUMBER(VLOOKUP($A18,'[1]A1.)RatesInput'!$B$315:$J$340,HLOOKUP(I$7,'[1]A1.)RatesInput'!$B$315:$J$340,3,0),0)),VLOOKUP($A18,'[1]A1.)RatesInput'!$B$315:$J$340,HLOOKUP(I$7,'[1]A1.)RatesInput'!$B$315:$J$340,3,0),0),0)</f>
        <v>20.95</v>
      </c>
      <c r="J17" s="854">
        <f>IF(ISNUMBER(VLOOKUP($A17,'[1]A1.)RatesInput'!$B$315:$J$340,HLOOKUP(I$7,'[1]A1.)RatesInput'!$B$315:$J$340,3,0),0)),VLOOKUP($A17,'[1]A1.)RatesInput'!$B$315:$J$340,HLOOKUP(I$7,'[1]A1.)RatesInput'!$B$315:$J$340,3,0),0),0)</f>
        <v>29.36</v>
      </c>
      <c r="K17" s="665">
        <f>J17-I17</f>
        <v>8.41</v>
      </c>
      <c r="L17" s="666">
        <f>IF(ISNUMBER(ROUND(I17/J17,$B$46)),ROUND(I17/J17,$B$46),"N/A")</f>
        <v>0.71</v>
      </c>
      <c r="M17" s="664"/>
      <c r="N17" s="667">
        <f>IF(ISNUMBER(L17-G17),L17-G17,"N/A")</f>
        <v>2.0000000000000018E-2</v>
      </c>
      <c r="O17" s="1061" t="str">
        <f>IF(ISNUMBER(ABS(N17)),IF(ABS(N17)&gt;$O$6,"Y","N"),"N/A")</f>
        <v>N</v>
      </c>
    </row>
    <row r="18" spans="1:16" x14ac:dyDescent="0.35">
      <c r="A18" s="3" t="s">
        <v>277</v>
      </c>
      <c r="B18" s="2"/>
      <c r="C18" s="2"/>
      <c r="D18" s="108"/>
      <c r="E18" s="108"/>
      <c r="F18" s="249"/>
      <c r="G18" s="249"/>
      <c r="H18" s="249"/>
      <c r="I18" s="108"/>
      <c r="J18" s="855"/>
      <c r="K18" s="249"/>
      <c r="L18" s="249"/>
      <c r="M18" s="249"/>
      <c r="N18" s="36"/>
      <c r="O18" s="2"/>
    </row>
    <row r="19" spans="1:16" x14ac:dyDescent="0.35">
      <c r="B19" s="2"/>
      <c r="C19" s="2"/>
      <c r="D19" s="108"/>
      <c r="E19" s="108"/>
      <c r="F19" s="250"/>
      <c r="G19" s="250"/>
      <c r="H19" s="250"/>
      <c r="I19" s="108"/>
      <c r="J19" s="856"/>
      <c r="K19" s="250"/>
      <c r="L19" s="250"/>
      <c r="M19" s="250"/>
      <c r="N19" s="36"/>
      <c r="O19" s="2"/>
      <c r="P19" s="36"/>
    </row>
    <row r="20" spans="1:16" x14ac:dyDescent="0.35">
      <c r="A20" s="3" t="s">
        <v>270</v>
      </c>
      <c r="B20" s="1223" t="str">
        <f>LEFT(A20,7)</f>
        <v>SC9 NTD</v>
      </c>
      <c r="C20" s="2"/>
      <c r="D20" s="849">
        <f>IF(ISNUMBER(VLOOKUP($A21,'[1]A1.)RatesInput'!$B$286:$J$310,HLOOKUP(D$5,'[1]A1.)RatesInput'!$B$286:$J$310,3,0),0)),VLOOKUP($A21,'[1]A1.)RatesInput'!$B$286:$J$310,HLOOKUP(D$5,'[1]A1.)RatesInput'!$B$286:$J$310,3,0),0),0)</f>
        <v>21.76</v>
      </c>
      <c r="E20" s="850">
        <f>IF(ISNUMBER(VLOOKUP($A20,'[1]A1.)RatesInput'!$B$286:$J$310,HLOOKUP(D$5,'[1]A1.)RatesInput'!$B$286:$J$310,3,0),0)),VLOOKUP($A20,'[1]A1.)RatesInput'!$B$286:$J$310,HLOOKUP(D$5,'[1]A1.)RatesInput'!$B$286:$J$310,3,0),0),0)</f>
        <v>33.65</v>
      </c>
      <c r="F20" s="659">
        <f>E20-D20</f>
        <v>11.889999999999997</v>
      </c>
      <c r="G20" s="660">
        <f>IF(ISNUMBER(ROUND(D20/E20,$B$46)),ROUND(D20/E20,$B$46),"N/A")</f>
        <v>0.65</v>
      </c>
      <c r="H20" s="658"/>
      <c r="I20" s="850">
        <f>IF(ISNUMBER(VLOOKUP($A21,'[1]A1.)RatesInput'!$B$315:$J$340,HLOOKUP(I$7,'[1]A1.)RatesInput'!$B$315:$J$340,3,0),0)),VLOOKUP($A21,'[1]A1.)RatesInput'!$B$315:$J$340,HLOOKUP(I$7,'[1]A1.)RatesInput'!$B$315:$J$340,3,0),0),0)</f>
        <v>15.96</v>
      </c>
      <c r="J20" s="850">
        <f>IF(ISNUMBER(VLOOKUP($A20,'[1]A1.)RatesInput'!$B$315:$J$340,HLOOKUP(I$7,'[1]A1.)RatesInput'!$B$315:$J$340,3,0),0)),VLOOKUP($A20,'[1]A1.)RatesInput'!$B$315:$J$340,HLOOKUP(I$7,'[1]A1.)RatesInput'!$B$315:$J$340,3,0),0),0)</f>
        <v>22.21</v>
      </c>
      <c r="K20" s="659">
        <f>J20-I20</f>
        <v>6.25</v>
      </c>
      <c r="L20" s="660">
        <f>IF(ISNUMBER(ROUND(I20/J20,$B$46)),ROUND(I20/J20,$B$46),"N/A")</f>
        <v>0.72</v>
      </c>
      <c r="M20" s="658"/>
      <c r="N20" s="661">
        <f>IF(ISNUMBER(L20-G20),L20-G20,"N/A")</f>
        <v>6.9999999999999951E-2</v>
      </c>
      <c r="O20" s="1089" t="str">
        <f>IF(ISNUMBER(ABS(N20)),IF(ABS(N20)&gt;$O$6,"Y","N"),"N/A")</f>
        <v>Y</v>
      </c>
    </row>
    <row r="21" spans="1:16" x14ac:dyDescent="0.35">
      <c r="A21" s="3" t="s">
        <v>271</v>
      </c>
      <c r="B21" s="2"/>
      <c r="C21" s="2"/>
      <c r="D21" s="851"/>
      <c r="E21" s="852"/>
      <c r="F21" s="249"/>
      <c r="G21" s="249"/>
      <c r="H21" s="249"/>
      <c r="I21" s="852"/>
      <c r="J21" s="855"/>
      <c r="K21" s="249"/>
      <c r="L21" s="249"/>
      <c r="M21" s="249"/>
      <c r="N21" s="56"/>
      <c r="O21" s="1060"/>
    </row>
    <row r="22" spans="1:16" x14ac:dyDescent="0.35">
      <c r="A22" s="3" t="s">
        <v>272</v>
      </c>
      <c r="B22" s="1223" t="str">
        <f>LEFT(A22,7)</f>
        <v>SC9 TOD</v>
      </c>
      <c r="C22" s="2"/>
      <c r="D22" s="853">
        <f>IF(ISNUMBER(VLOOKUP($A23,'[1]A1.)RatesInput'!$B$286:$J$310,HLOOKUP(D$5,'[1]A1.)RatesInput'!$B$286:$J$310,3,0),0)),VLOOKUP($A23,'[1]A1.)RatesInput'!$B$286:$J$310,HLOOKUP(D$5,'[1]A1.)RatesInput'!$B$286:$J$310,3,0),0),0)</f>
        <v>21.57</v>
      </c>
      <c r="E22" s="854">
        <f>IF(ISNUMBER(VLOOKUP($A22,'[1]A1.)RatesInput'!$B$286:$J$310,HLOOKUP(D$5,'[1]A1.)RatesInput'!$B$286:$J$310,3,0),0)),VLOOKUP($A22,'[1]A1.)RatesInput'!$B$286:$J$310,HLOOKUP(D$5,'[1]A1.)RatesInput'!$B$286:$J$310,3,0),0),0)</f>
        <v>31.32</v>
      </c>
      <c r="F22" s="665">
        <f>E22-D22</f>
        <v>9.75</v>
      </c>
      <c r="G22" s="666">
        <f>IF(ISNUMBER(ROUND(D22/E22,$B$46)),ROUND(D22/E22,$B$46),"N/A")</f>
        <v>0.69</v>
      </c>
      <c r="H22" s="664"/>
      <c r="I22" s="854">
        <f>IF(ISNUMBER(VLOOKUP($A23,'[1]A1.)RatesInput'!$B$315:$J$340,HLOOKUP(I$7,'[1]A1.)RatesInput'!$B$315:$J$340,3,0),0)),VLOOKUP($A23,'[1]A1.)RatesInput'!$B$315:$J$340,HLOOKUP(I$7,'[1]A1.)RatesInput'!$B$315:$J$340,3,0),0),0)</f>
        <v>15.62</v>
      </c>
      <c r="J22" s="854">
        <f>IF(ISNUMBER(VLOOKUP($A22,'[1]A1.)RatesInput'!$B$315:$J$340,HLOOKUP(I$7,'[1]A1.)RatesInput'!$B$315:$J$340,3,0),0)),VLOOKUP($A22,'[1]A1.)RatesInput'!$B$315:$J$340,HLOOKUP(I$7,'[1]A1.)RatesInput'!$B$315:$J$340,3,0),0),0)</f>
        <v>24.76</v>
      </c>
      <c r="K22" s="665">
        <f>J22-I22</f>
        <v>9.1400000000000023</v>
      </c>
      <c r="L22" s="666">
        <f>IF(ISNUMBER(ROUND(I22/J22,$B$46)),ROUND(I22/J22,$B$46),"N/A")</f>
        <v>0.63</v>
      </c>
      <c r="M22" s="664"/>
      <c r="N22" s="667">
        <f>IF(ISNUMBER(L22-G22),L22-G22,"N/A")</f>
        <v>-5.9999999999999942E-2</v>
      </c>
      <c r="O22" s="1061" t="str">
        <f>IF(ISNUMBER(ABS(N22)),IF(ABS(N22)&gt;$O$6,"Y","N"),"N/A")</f>
        <v>Y</v>
      </c>
    </row>
    <row r="23" spans="1:16" x14ac:dyDescent="0.35">
      <c r="A23" s="3" t="s">
        <v>273</v>
      </c>
      <c r="B23" s="2"/>
      <c r="C23" s="2"/>
      <c r="D23" s="108"/>
      <c r="E23" s="108"/>
      <c r="F23" s="249"/>
      <c r="G23" s="249"/>
      <c r="H23" s="249"/>
      <c r="I23" s="108"/>
      <c r="J23" s="855"/>
      <c r="K23" s="249"/>
      <c r="L23" s="249"/>
      <c r="M23" s="249"/>
      <c r="N23" s="36"/>
    </row>
    <row r="24" spans="1:16" x14ac:dyDescent="0.35">
      <c r="B24" s="2"/>
      <c r="C24" s="2"/>
      <c r="D24" s="108"/>
      <c r="E24" s="108"/>
      <c r="F24" s="657"/>
      <c r="G24" s="657"/>
      <c r="H24" s="657"/>
      <c r="I24" s="108"/>
      <c r="J24" s="855"/>
      <c r="K24" s="657"/>
      <c r="L24" s="657"/>
      <c r="M24" s="657"/>
      <c r="N24" s="36"/>
    </row>
    <row r="25" spans="1:16" x14ac:dyDescent="0.35">
      <c r="A25" s="3" t="s">
        <v>278</v>
      </c>
      <c r="B25" s="1223" t="str">
        <f>LEFT(A25,8)</f>
        <v>SC12 NTD</v>
      </c>
      <c r="C25" s="2"/>
      <c r="D25" s="849">
        <f>IF(ISNUMBER(VLOOKUP($A26,'[1]A1.)RatesInput'!$B$286:$J$310,HLOOKUP(D$5,'[1]A1.)RatesInput'!$B$286:$J$310,3,0),0)),VLOOKUP($A26,'[1]A1.)RatesInput'!$B$286:$J$310,HLOOKUP(D$5,'[1]A1.)RatesInput'!$B$286:$J$310,3,0),0),0)</f>
        <v>21.4</v>
      </c>
      <c r="E25" s="850">
        <f>IF(ISNUMBER(VLOOKUP($A25,'[1]A1.)RatesInput'!$B$286:$J$310,HLOOKUP(D$5,'[1]A1.)RatesInput'!$B$286:$J$310,3,0),0)),VLOOKUP($A25,'[1]A1.)RatesInput'!$B$286:$J$310,HLOOKUP(D$5,'[1]A1.)RatesInput'!$B$286:$J$310,3,0),0),0)</f>
        <v>33.43</v>
      </c>
      <c r="F25" s="659">
        <f>E25-D25</f>
        <v>12.030000000000001</v>
      </c>
      <c r="G25" s="660">
        <f>IF(ISNUMBER(ROUND(D25/E25,$B$46)),ROUND(D25/E25,$B$46),"N/A")</f>
        <v>0.64</v>
      </c>
      <c r="H25" s="658"/>
      <c r="I25" s="850">
        <f>IF(ISNUMBER(VLOOKUP($A26,'[1]A1.)RatesInput'!$B$315:$J$340,HLOOKUP(I$7,'[1]A1.)RatesInput'!$B$315:$J$340,3,0),0)),VLOOKUP($A26,'[1]A1.)RatesInput'!$B$315:$J$340,HLOOKUP(I$7,'[1]A1.)RatesInput'!$B$315:$J$340,3,0),0),0)</f>
        <v>15.4</v>
      </c>
      <c r="J25" s="850">
        <f>IF(ISNUMBER(VLOOKUP($A25,'[1]A1.)RatesInput'!$B$315:$J$340,HLOOKUP(I$7,'[1]A1.)RatesInput'!$B$315:$J$340,3,0),0)),VLOOKUP($A25,'[1]A1.)RatesInput'!$B$315:$J$340,HLOOKUP(I$7,'[1]A1.)RatesInput'!$B$315:$J$340,3,0),0),0)</f>
        <v>23.93</v>
      </c>
      <c r="K25" s="659">
        <f>J25-I25</f>
        <v>8.5299999999999994</v>
      </c>
      <c r="L25" s="660">
        <f>IF(ISNUMBER(ROUND(I25/J25,$B$46)),ROUND(I25/J25,$B$46),"N/A")</f>
        <v>0.64</v>
      </c>
      <c r="M25" s="658"/>
      <c r="N25" s="661">
        <f>IF(ISNUMBER(L25-G25),L25-G25,"N/A")</f>
        <v>0</v>
      </c>
      <c r="O25" s="662" t="str">
        <f>IF(ISNUMBER(ABS(N25)),IF(ABS(N25)&gt;$O$6,"Y","N"),"N/A")</f>
        <v>N</v>
      </c>
    </row>
    <row r="26" spans="1:16" x14ac:dyDescent="0.35">
      <c r="A26" s="3" t="s">
        <v>279</v>
      </c>
      <c r="B26" s="2"/>
      <c r="C26" s="2"/>
      <c r="D26" s="851"/>
      <c r="E26" s="852"/>
      <c r="F26" s="249"/>
      <c r="G26" s="249"/>
      <c r="H26" s="249"/>
      <c r="I26" s="852"/>
      <c r="J26" s="855"/>
      <c r="K26" s="249"/>
      <c r="L26" s="249"/>
      <c r="M26" s="249"/>
      <c r="N26" s="56"/>
      <c r="O26" s="663"/>
    </row>
    <row r="27" spans="1:16" x14ac:dyDescent="0.35">
      <c r="A27" s="3" t="s">
        <v>280</v>
      </c>
      <c r="B27" s="1223" t="str">
        <f>LEFT(A27,8)</f>
        <v>SC12 TOD</v>
      </c>
      <c r="C27" s="2"/>
      <c r="D27" s="853">
        <f>IF(ISNUMBER(VLOOKUP($A28,'[1]A1.)RatesInput'!$B$286:$J$310,HLOOKUP(D$5,'[1]A1.)RatesInput'!$B$286:$J$310,3,0),0)),VLOOKUP($A28,'[1]A1.)RatesInput'!$B$286:$J$310,HLOOKUP(D$5,'[1]A1.)RatesInput'!$B$286:$J$310,3,0),0),0)</f>
        <v>20.22</v>
      </c>
      <c r="E27" s="854">
        <f>IF(ISNUMBER(VLOOKUP($A27,'[1]A1.)RatesInput'!$B$286:$J$310,HLOOKUP(D$5,'[1]A1.)RatesInput'!$B$286:$J$310,3,0),0)),VLOOKUP($A27,'[1]A1.)RatesInput'!$B$286:$J$310,HLOOKUP(D$5,'[1]A1.)RatesInput'!$B$286:$J$310,3,0),0),0)</f>
        <v>31.43</v>
      </c>
      <c r="F27" s="665">
        <f>E27-D27</f>
        <v>11.21</v>
      </c>
      <c r="G27" s="666">
        <f>IF(ISNUMBER(ROUND(D27/E27,$B$46)),ROUND(D27/E27,$B$46),"N/A")</f>
        <v>0.64</v>
      </c>
      <c r="H27" s="664"/>
      <c r="I27" s="854">
        <f>IF(ISNUMBER(VLOOKUP($A28,'[1]A1.)RatesInput'!$B$315:$J$340,HLOOKUP(I$7,'[1]A1.)RatesInput'!$B$315:$J$340,3,0),0)),VLOOKUP($A28,'[1]A1.)RatesInput'!$B$315:$J$340,HLOOKUP(I$7,'[1]A1.)RatesInput'!$B$315:$J$340,3,0),0),0)</f>
        <v>18.600000000000001</v>
      </c>
      <c r="J27" s="854">
        <f>IF(ISNUMBER(VLOOKUP($A27,'[1]A1.)RatesInput'!$B$315:$J$340,HLOOKUP(I$7,'[1]A1.)RatesInput'!$B$315:$J$340,3,0),0)),VLOOKUP($A27,'[1]A1.)RatesInput'!$B$315:$J$340,HLOOKUP(I$7,'[1]A1.)RatesInput'!$B$315:$J$340,3,0),0),0)</f>
        <v>28.36</v>
      </c>
      <c r="K27" s="665">
        <f>J27-I27</f>
        <v>9.759999999999998</v>
      </c>
      <c r="L27" s="666">
        <f>IF(ISNUMBER(ROUND(I27/J27,$B$46)),ROUND(I27/J27,$B$46),"N/A")</f>
        <v>0.66</v>
      </c>
      <c r="M27" s="664"/>
      <c r="N27" s="667">
        <f>IF(ISNUMBER(L27-G27),L27-G27,"N/A")</f>
        <v>2.0000000000000018E-2</v>
      </c>
      <c r="O27" s="668" t="str">
        <f>IF(ISNUMBER(ABS(N27)),IF(ABS(N27)&gt;$O$6,"Y","N"),"N/A")</f>
        <v>N</v>
      </c>
    </row>
    <row r="28" spans="1:16" x14ac:dyDescent="0.35">
      <c r="A28" s="3" t="s">
        <v>281</v>
      </c>
      <c r="B28" s="2"/>
      <c r="C28" s="2"/>
      <c r="D28" s="108"/>
      <c r="E28" s="108"/>
      <c r="F28" s="249"/>
      <c r="G28" s="249"/>
      <c r="H28" s="249"/>
      <c r="I28" s="108"/>
      <c r="J28" s="855"/>
      <c r="K28" s="249"/>
      <c r="L28" s="249"/>
      <c r="M28" s="249"/>
      <c r="N28" s="36"/>
    </row>
    <row r="29" spans="1:16" x14ac:dyDescent="0.35">
      <c r="B29" s="2"/>
      <c r="C29" s="2"/>
      <c r="D29" s="108"/>
      <c r="E29" s="108"/>
      <c r="F29" s="250"/>
      <c r="G29" s="250"/>
      <c r="H29" s="250"/>
      <c r="I29" s="108"/>
      <c r="J29" s="856"/>
      <c r="K29" s="250"/>
      <c r="L29" s="250"/>
      <c r="M29" s="250"/>
      <c r="N29" s="36"/>
      <c r="P29" s="36"/>
    </row>
    <row r="30" spans="1:16" x14ac:dyDescent="0.35">
      <c r="A30" s="3" t="s">
        <v>282</v>
      </c>
      <c r="B30" s="1223" t="str">
        <f>LEFT(A30,8)</f>
        <v>SC13 NTD</v>
      </c>
      <c r="C30" s="2"/>
      <c r="D30" s="849">
        <f>IF(ISNUMBER(VLOOKUP($A31,'[1]A1.)RatesInput'!$B$286:$J$310,HLOOKUP(D$5,'[1]A1.)RatesInput'!$B$286:$J$310,3,0),0)),VLOOKUP($A31,'[1]A1.)RatesInput'!$B$286:$J$310,HLOOKUP(D$5,'[1]A1.)RatesInput'!$B$286:$J$310,3,0),0),0)</f>
        <v>0</v>
      </c>
      <c r="E30" s="850">
        <f>IF(ISNUMBER(VLOOKUP($A30,'[1]A1.)RatesInput'!$B$286:$J$310,HLOOKUP(D$5,'[1]A1.)RatesInput'!$B$286:$J$310,3,0),0)),VLOOKUP($A30,'[1]A1.)RatesInput'!$B$286:$J$310,HLOOKUP(D$5,'[1]A1.)RatesInput'!$B$286:$J$310,3,0),0),0)</f>
        <v>0</v>
      </c>
      <c r="F30" s="659">
        <f>E30-D30</f>
        <v>0</v>
      </c>
      <c r="G30" s="669" t="str">
        <f>IF(ISNUMBER(ROUND(D30/E30,$B$46)),ROUND(D30/E30,$B$46),"N/A")</f>
        <v>N/A</v>
      </c>
      <c r="H30" s="659"/>
      <c r="I30" s="850">
        <f>IF(ISNUMBER(VLOOKUP($A31,'[1]A1.)RatesInput'!$B$315:$J$340,HLOOKUP(I$7,'[1]A1.)RatesInput'!$B$315:$J$340,3,0),0)),VLOOKUP($A31,'[1]A1.)RatesInput'!$B$315:$J$340,HLOOKUP(I$7,'[1]A1.)RatesInput'!$B$315:$J$340,3,0),0),0)</f>
        <v>0</v>
      </c>
      <c r="J30" s="850">
        <f>IF(ISNUMBER(VLOOKUP($A30,'[1]A1.)RatesInput'!$B$315:$J$340,HLOOKUP(I$7,'[1]A1.)RatesInput'!$B$315:$J$340,3,0),0)),VLOOKUP($A30,'[1]A1.)RatesInput'!$B$315:$J$340,HLOOKUP(I$7,'[1]A1.)RatesInput'!$B$315:$J$340,3,0),0),0)</f>
        <v>0</v>
      </c>
      <c r="K30" s="659">
        <f>J30-I30</f>
        <v>0</v>
      </c>
      <c r="L30" s="669" t="str">
        <f>IF(ISNUMBER(ROUND(I30/J30,$B$46)),ROUND(I30/J30,$B$46),"N/A")</f>
        <v>N/A</v>
      </c>
      <c r="M30" s="659"/>
      <c r="N30" s="661" t="str">
        <f>IF(ISNUMBER(L30-G30),L30-G30,"N/A")</f>
        <v>N/A</v>
      </c>
      <c r="O30" s="662" t="str">
        <f>IF(ISNUMBER(ABS(N30)),IF(ABS(N30)&gt;$O$6,"Y","N"),"N/A")</f>
        <v>N/A</v>
      </c>
    </row>
    <row r="31" spans="1:16" x14ac:dyDescent="0.35">
      <c r="A31" s="3" t="s">
        <v>283</v>
      </c>
      <c r="B31" s="2"/>
      <c r="C31" s="2"/>
      <c r="D31" s="851"/>
      <c r="E31" s="852"/>
      <c r="F31" s="249"/>
      <c r="G31" s="249"/>
      <c r="H31" s="249"/>
      <c r="I31" s="852"/>
      <c r="J31" s="855"/>
      <c r="K31" s="249"/>
      <c r="L31" s="249"/>
      <c r="M31" s="249"/>
      <c r="N31" s="56"/>
      <c r="O31" s="663"/>
    </row>
    <row r="32" spans="1:16" x14ac:dyDescent="0.35">
      <c r="A32" s="3" t="s">
        <v>284</v>
      </c>
      <c r="B32" s="1223" t="str">
        <f>LEFT(A32,8)</f>
        <v>SC13 TOD</v>
      </c>
      <c r="C32" s="2"/>
      <c r="D32" s="853">
        <f>IF(ISNUMBER(VLOOKUP($A33,'[1]A1.)RatesInput'!$B$286:$J$310,HLOOKUP(D$5,'[1]A1.)RatesInput'!$B$286:$J$310,3,0),0)),VLOOKUP($A33,'[1]A1.)RatesInput'!$B$286:$J$310,HLOOKUP(D$5,'[1]A1.)RatesInput'!$B$286:$J$310,3,0),0),0)</f>
        <v>14.08</v>
      </c>
      <c r="E32" s="854">
        <f>IF(ISNUMBER(VLOOKUP($A32,'[1]A1.)RatesInput'!$B$286:$J$310,HLOOKUP(D$5,'[1]A1.)RatesInput'!$B$286:$J$310,3,0),0)),VLOOKUP($A32,'[1]A1.)RatesInput'!$B$286:$J$310,HLOOKUP(D$5,'[1]A1.)RatesInput'!$B$286:$J$310,3,0),0),0)</f>
        <v>0</v>
      </c>
      <c r="F32" s="665">
        <f>E32-D32</f>
        <v>-14.08</v>
      </c>
      <c r="G32" s="670" t="str">
        <f>IF(ISNUMBER(ROUND(D32/E32,$B$46)),ROUND(D32/E32,$B$46),"N/A")</f>
        <v>N/A</v>
      </c>
      <c r="H32" s="664"/>
      <c r="I32" s="854">
        <f>IF(ISNUMBER(VLOOKUP($A33,'[1]A1.)RatesInput'!$B$315:$J$340,HLOOKUP(I$7,'[1]A1.)RatesInput'!$B$315:$J$340,3,0),0)),VLOOKUP($A33,'[1]A1.)RatesInput'!$B$315:$J$340,HLOOKUP(I$7,'[1]A1.)RatesInput'!$B$315:$J$340,3,0),0),0)</f>
        <v>11.72</v>
      </c>
      <c r="J32" s="854">
        <f>IF(ISNUMBER(VLOOKUP($A32,'[1]A1.)RatesInput'!$B$315:$J$340,HLOOKUP(I$7,'[1]A1.)RatesInput'!$B$315:$J$340,3,0),0)),VLOOKUP($A32,'[1]A1.)RatesInput'!$B$315:$J$340,HLOOKUP(I$7,'[1]A1.)RatesInput'!$B$315:$J$340,3,0),0),0)</f>
        <v>0</v>
      </c>
      <c r="K32" s="665">
        <f>J32-I32</f>
        <v>-11.72</v>
      </c>
      <c r="L32" s="670" t="str">
        <f>IF(ISNUMBER(ROUND(I32/J32,$B$46)),ROUND(I32/J32,$B$46),"N/A")</f>
        <v>N/A</v>
      </c>
      <c r="M32" s="664"/>
      <c r="N32" s="667" t="str">
        <f>IF(ISNUMBER(L32-G32),L32-G32,"N/A")</f>
        <v>N/A</v>
      </c>
      <c r="O32" s="668" t="str">
        <f>IF(ISNUMBER(ABS(N32)),IF(ABS(N32)&gt;$O$6,"Y","N"),"N/A")</f>
        <v>N/A</v>
      </c>
    </row>
    <row r="33" spans="1:16" x14ac:dyDescent="0.35">
      <c r="A33" s="3" t="s">
        <v>285</v>
      </c>
      <c r="B33" s="2"/>
      <c r="C33" s="2"/>
      <c r="D33" s="108"/>
      <c r="E33" s="108"/>
      <c r="F33" s="249"/>
      <c r="G33" s="249"/>
      <c r="H33" s="249"/>
      <c r="I33" s="108"/>
      <c r="J33" s="855"/>
      <c r="K33" s="249"/>
      <c r="L33" s="249"/>
      <c r="M33" s="249"/>
      <c r="N33" s="36"/>
    </row>
    <row r="34" spans="1:16" x14ac:dyDescent="0.35">
      <c r="B34" s="2"/>
      <c r="C34" s="2"/>
      <c r="D34" s="108"/>
      <c r="E34" s="108"/>
      <c r="F34" s="657"/>
      <c r="G34" s="657"/>
      <c r="H34" s="657"/>
      <c r="I34" s="108"/>
      <c r="J34" s="855"/>
      <c r="K34" s="657"/>
      <c r="L34" s="657"/>
      <c r="M34" s="657"/>
      <c r="N34" s="36"/>
    </row>
    <row r="35" spans="1:16" x14ac:dyDescent="0.35">
      <c r="A35" s="3" t="s">
        <v>286</v>
      </c>
      <c r="B35" s="1223" t="str">
        <f>LEFT(A35,8)</f>
        <v>NYPA NTD</v>
      </c>
      <c r="C35" s="2"/>
      <c r="D35" s="849">
        <f>IF(ISNUMBER(VLOOKUP($A36,'[1]A1.)RatesInput'!$B$286:$J$310,HLOOKUP(D$5,'[1]A1.)RatesInput'!$B$286:$J$310,3,0),0)),VLOOKUP($A36,'[1]A1.)RatesInput'!$B$286:$J$310,HLOOKUP(D$5,'[1]A1.)RatesInput'!$B$286:$J$310,3,0),0),0)</f>
        <v>18.27</v>
      </c>
      <c r="E35" s="850">
        <f>IF(ISNUMBER(VLOOKUP($A35,'[1]A1.)RatesInput'!$B$286:$J$310,HLOOKUP(D$5,'[1]A1.)RatesInput'!$B$286:$J$310,3,0),0)),VLOOKUP($A35,'[1]A1.)RatesInput'!$B$286:$J$310,HLOOKUP(D$5,'[1]A1.)RatesInput'!$B$286:$J$310,3,0),0),0)</f>
        <v>27.75</v>
      </c>
      <c r="F35" s="659">
        <f>E35-D35</f>
        <v>9.48</v>
      </c>
      <c r="G35" s="669">
        <f>IF(ISNUMBER(ROUND(D35/E35,$B$46)),ROUND(D35/E35,$B$46),"N/A")</f>
        <v>0.66</v>
      </c>
      <c r="H35" s="658"/>
      <c r="I35" s="850">
        <f>IF(ISNUMBER(VLOOKUP($A36,'[1]A1.)RatesInput'!$B$315:$J$340,HLOOKUP(I$7,'[1]A1.)RatesInput'!$B$315:$J$340,3,0),0)),VLOOKUP($A36,'[1]A1.)RatesInput'!$B$315:$J$340,HLOOKUP(I$7,'[1]A1.)RatesInput'!$B$315:$J$340,3,0),0),0)</f>
        <v>19.14</v>
      </c>
      <c r="J35" s="850">
        <f>IF(ISNUMBER(VLOOKUP($A35,'[1]A1.)RatesInput'!$B$315:$J$340,HLOOKUP(I$7,'[1]A1.)RatesInput'!$B$315:$J$340,3,0),0)),VLOOKUP($A35,'[1]A1.)RatesInput'!$B$315:$J$340,HLOOKUP(I$7,'[1]A1.)RatesInput'!$B$315:$J$340,3,0),0),0)</f>
        <v>27.55</v>
      </c>
      <c r="K35" s="659">
        <f>J35-I35</f>
        <v>8.41</v>
      </c>
      <c r="L35" s="669">
        <f>IF(ISNUMBER(ROUND(I35/J35,$B$46)),ROUND(I35/J35,$B$46),"N/A")</f>
        <v>0.69</v>
      </c>
      <c r="M35" s="658"/>
      <c r="N35" s="661">
        <f>IF(ISNUMBER(L35-G35),L35-G35,"N/A")</f>
        <v>2.9999999999999916E-2</v>
      </c>
      <c r="O35" s="662" t="str">
        <f>IF(ISNUMBER(ABS(N35)),IF(ABS(N35)&gt;$O$6,"Y","N"),"N/A")</f>
        <v>N</v>
      </c>
    </row>
    <row r="36" spans="1:16" x14ac:dyDescent="0.35">
      <c r="A36" s="3" t="s">
        <v>287</v>
      </c>
      <c r="B36" s="2"/>
      <c r="C36" s="2"/>
      <c r="D36" s="851"/>
      <c r="E36" s="852"/>
      <c r="F36" s="249"/>
      <c r="G36" s="249"/>
      <c r="H36" s="249"/>
      <c r="I36" s="852"/>
      <c r="J36" s="855"/>
      <c r="K36" s="249"/>
      <c r="L36" s="249"/>
      <c r="M36" s="249"/>
      <c r="N36" s="56"/>
      <c r="O36" s="663"/>
    </row>
    <row r="37" spans="1:16" x14ac:dyDescent="0.35">
      <c r="A37" s="3" t="s">
        <v>288</v>
      </c>
      <c r="B37" s="1223" t="str">
        <f>LEFT(A37,8)</f>
        <v>NYPA TOD</v>
      </c>
      <c r="C37" s="2"/>
      <c r="D37" s="853">
        <f>IF(ISNUMBER(VLOOKUP($A38,'[1]A1.)RatesInput'!$B$286:$J$310,HLOOKUP(D$5,'[1]A1.)RatesInput'!$B$286:$J$310,3,0),0)),VLOOKUP($A38,'[1]A1.)RatesInput'!$B$286:$J$310,HLOOKUP(D$5,'[1]A1.)RatesInput'!$B$286:$J$310,3,0),0),0)</f>
        <v>18.27</v>
      </c>
      <c r="E37" s="854">
        <f>IF(ISNUMBER(VLOOKUP($A37,'[1]A1.)RatesInput'!$B$286:$J$310,HLOOKUP(D$5,'[1]A1.)RatesInput'!$B$286:$J$310,3,0),0)),VLOOKUP($A37,'[1]A1.)RatesInput'!$B$286:$J$310,HLOOKUP(D$5,'[1]A1.)RatesInput'!$B$286:$J$310,3,0),0),0)</f>
        <v>27.75</v>
      </c>
      <c r="F37" s="665">
        <f>E37-D37</f>
        <v>9.48</v>
      </c>
      <c r="G37" s="670">
        <f>IF(ISNUMBER(ROUND(D37/E37,$B$46)),ROUND(D37/E37,$B$46),"N/A")</f>
        <v>0.66</v>
      </c>
      <c r="H37" s="664"/>
      <c r="I37" s="854">
        <f>IF(ISNUMBER(VLOOKUP($A38,'[1]A1.)RatesInput'!$B$315:$J$340,HLOOKUP(I$7,'[1]A1.)RatesInput'!$B$315:$J$340,3,0),0)),VLOOKUP($A38,'[1]A1.)RatesInput'!$B$315:$J$340,HLOOKUP(I$7,'[1]A1.)RatesInput'!$B$315:$J$340,3,0),0),0)</f>
        <v>17.21</v>
      </c>
      <c r="J37" s="854">
        <f>IF(ISNUMBER(VLOOKUP($A37,'[1]A1.)RatesInput'!$B$315:$J$340,HLOOKUP(I$7,'[1]A1.)RatesInput'!$B$315:$J$340,3,0),0)),VLOOKUP($A37,'[1]A1.)RatesInput'!$B$315:$J$340,HLOOKUP(I$7,'[1]A1.)RatesInput'!$B$315:$J$340,3,0),0),0)</f>
        <v>29.44</v>
      </c>
      <c r="K37" s="665">
        <f>J37-I37</f>
        <v>12.23</v>
      </c>
      <c r="L37" s="670">
        <f>IF(ISNUMBER(ROUND(I37/J37,$B$46)),ROUND(I37/J37,$B$46),"N/A")</f>
        <v>0.57999999999999996</v>
      </c>
      <c r="M37" s="664"/>
      <c r="N37" s="1228">
        <f>IF(ISNUMBER(L37-G37),L37-G37,"N/A")</f>
        <v>-8.0000000000000071E-2</v>
      </c>
      <c r="O37" s="1088" t="str">
        <f>IF(ISNUMBER(ABS(N37)),IF(ABS(N37)&gt;$O$6,"Y","N"),"N/A")</f>
        <v>Y</v>
      </c>
    </row>
    <row r="38" spans="1:16" x14ac:dyDescent="0.35">
      <c r="A38" s="3" t="s">
        <v>289</v>
      </c>
      <c r="B38" s="2"/>
      <c r="C38" s="2"/>
      <c r="D38" s="801"/>
      <c r="E38" s="801"/>
      <c r="F38" s="249"/>
      <c r="G38" s="249"/>
      <c r="H38" s="249"/>
      <c r="J38" s="249"/>
      <c r="K38" s="249"/>
      <c r="L38" s="249"/>
      <c r="M38" s="249"/>
    </row>
    <row r="39" spans="1:16" hidden="1" x14ac:dyDescent="0.35">
      <c r="F39" s="656"/>
      <c r="G39" s="656"/>
      <c r="H39" s="656"/>
      <c r="J39" s="656"/>
      <c r="K39" s="656"/>
      <c r="L39" s="656"/>
      <c r="M39" s="656"/>
      <c r="P39" s="36"/>
    </row>
    <row r="40" spans="1:16" hidden="1" x14ac:dyDescent="0.35">
      <c r="N40" s="36"/>
    </row>
    <row r="41" spans="1:16" hidden="1" x14ac:dyDescent="0.35">
      <c r="N41" s="36"/>
    </row>
    <row r="42" spans="1:16" x14ac:dyDescent="0.35">
      <c r="B42" s="410" t="s">
        <v>1340</v>
      </c>
      <c r="N42" s="36"/>
    </row>
    <row r="43" spans="1:16" x14ac:dyDescent="0.35">
      <c r="B43" s="410" t="str">
        <f>CONCATENATE("**Demand Rate is based on the 2019 Rates with ",FIXED('8B.)ED Shift_RedesignRateSum'!$D$5*100,0),"% Energy and Demand Revenue Shifting.")</f>
        <v>**Demand Rate is based on the 2019 Rates with 5% Energy and Demand Revenue Shifting.</v>
      </c>
      <c r="N43" s="36"/>
    </row>
    <row r="44" spans="1:16" x14ac:dyDescent="0.35">
      <c r="B44" s="410" t="str">
        <f>CONCATENATE("***Equal to or Above Set Absolute Percentage Point.  The high low tension shifting is based on the ",FIXED($O$6*100,0),"% criteria of the differences between high/low tension annual unit rate and annual unit cost.")</f>
        <v>***Equal to or Above Set Absolute Percentage Point.  The high low tension shifting is based on the 5% criteria of the differences between high/low tension annual unit rate and annual unit cost.</v>
      </c>
      <c r="N44" s="36"/>
    </row>
    <row r="45" spans="1:16" x14ac:dyDescent="0.35">
      <c r="N45" s="36"/>
    </row>
    <row r="46" spans="1:16" hidden="1" outlineLevel="1" x14ac:dyDescent="0.35">
      <c r="A46" s="3" t="s">
        <v>1332</v>
      </c>
      <c r="B46" s="40">
        <v>2</v>
      </c>
    </row>
    <row r="47" spans="1:16" s="88" customFormat="1" collapsed="1" x14ac:dyDescent="0.35"/>
    <row r="48" spans="1:16" ht="15.5" x14ac:dyDescent="0.35">
      <c r="B48" s="253" t="s">
        <v>290</v>
      </c>
    </row>
    <row r="49" spans="2:13" ht="15" thickBot="1" x14ac:dyDescent="0.4"/>
    <row r="50" spans="2:13" x14ac:dyDescent="0.35">
      <c r="B50" s="254"/>
      <c r="C50" s="255"/>
      <c r="D50" s="256">
        <f>D5</f>
        <v>2017</v>
      </c>
      <c r="E50" s="1042" t="s">
        <v>558</v>
      </c>
      <c r="F50" s="70"/>
      <c r="G50" s="70"/>
      <c r="H50" s="70"/>
      <c r="I50" s="70"/>
      <c r="J50" s="70"/>
      <c r="K50" s="70"/>
      <c r="L50" s="70"/>
      <c r="M50" s="70"/>
    </row>
    <row r="51" spans="2:13" x14ac:dyDescent="0.35">
      <c r="B51" s="257"/>
      <c r="C51" s="264" t="s">
        <v>291</v>
      </c>
      <c r="D51" s="258">
        <f>O6</f>
        <v>0.05</v>
      </c>
    </row>
    <row r="52" spans="2:13" x14ac:dyDescent="0.35">
      <c r="B52" s="257"/>
      <c r="C52" s="44"/>
      <c r="D52" s="259"/>
      <c r="E52" s="190"/>
      <c r="F52" s="190"/>
      <c r="G52" s="190"/>
      <c r="H52" s="190"/>
      <c r="I52" s="190"/>
      <c r="J52" s="190"/>
      <c r="K52" s="190"/>
      <c r="L52" s="190"/>
      <c r="M52" s="190"/>
    </row>
    <row r="53" spans="2:13" x14ac:dyDescent="0.35">
      <c r="B53" s="257"/>
      <c r="C53" s="44" t="str">
        <f>B10</f>
        <v>SC5 NTD</v>
      </c>
      <c r="D53" s="260" t="str">
        <f>O10</f>
        <v>N</v>
      </c>
      <c r="E53" s="190" t="s">
        <v>1339</v>
      </c>
      <c r="F53" s="190"/>
      <c r="G53" s="190"/>
      <c r="H53" s="190"/>
      <c r="I53" s="190"/>
      <c r="J53" s="190"/>
      <c r="K53" s="190"/>
      <c r="L53" s="190"/>
      <c r="M53" s="190"/>
    </row>
    <row r="54" spans="2:13" x14ac:dyDescent="0.35">
      <c r="B54" s="257"/>
      <c r="C54" s="44" t="str">
        <f>B12</f>
        <v>SC5 TOD</v>
      </c>
      <c r="D54" s="260" t="str">
        <f>O12</f>
        <v>Y</v>
      </c>
      <c r="E54" s="409" t="s">
        <v>1335</v>
      </c>
      <c r="F54" s="190"/>
      <c r="G54" s="190"/>
      <c r="H54" s="190"/>
      <c r="I54" s="190"/>
      <c r="J54" s="190"/>
      <c r="K54" s="190"/>
      <c r="L54" s="190"/>
      <c r="M54" s="190"/>
    </row>
    <row r="55" spans="2:13" x14ac:dyDescent="0.35">
      <c r="B55" s="257"/>
      <c r="C55" s="44"/>
      <c r="D55" s="260"/>
      <c r="E55" s="409"/>
      <c r="F55" s="190"/>
      <c r="G55" s="190"/>
      <c r="H55" s="190"/>
      <c r="I55" s="190"/>
      <c r="J55" s="190"/>
      <c r="K55" s="190"/>
      <c r="L55" s="190"/>
      <c r="M55" s="190"/>
    </row>
    <row r="56" spans="2:13" x14ac:dyDescent="0.35">
      <c r="B56" s="257"/>
      <c r="C56" s="44" t="str">
        <f>B15</f>
        <v>SC8 NTD</v>
      </c>
      <c r="D56" s="260" t="str">
        <f>O15</f>
        <v>Y</v>
      </c>
      <c r="E56" s="409" t="s">
        <v>2052</v>
      </c>
      <c r="F56" s="190"/>
      <c r="G56" s="190"/>
      <c r="H56" s="190"/>
      <c r="I56" s="190"/>
      <c r="J56" s="190"/>
      <c r="K56" s="190"/>
      <c r="L56" s="190"/>
      <c r="M56" s="190"/>
    </row>
    <row r="57" spans="2:13" x14ac:dyDescent="0.35">
      <c r="B57" s="257"/>
      <c r="C57" s="44" t="str">
        <f>B17</f>
        <v>SC8 TOD</v>
      </c>
      <c r="D57" s="260" t="str">
        <f>O17</f>
        <v>N</v>
      </c>
      <c r="E57" s="409" t="s">
        <v>1336</v>
      </c>
      <c r="F57" s="190"/>
      <c r="G57" s="190"/>
      <c r="H57" s="190"/>
      <c r="I57" s="190"/>
      <c r="J57" s="190"/>
      <c r="K57" s="190"/>
      <c r="L57" s="190"/>
      <c r="M57" s="190"/>
    </row>
    <row r="58" spans="2:13" x14ac:dyDescent="0.35">
      <c r="B58" s="257"/>
      <c r="C58" s="44"/>
      <c r="D58" s="260"/>
      <c r="E58" s="409"/>
      <c r="F58" s="190"/>
      <c r="G58" s="190"/>
      <c r="H58" s="190"/>
      <c r="I58" s="190"/>
      <c r="J58" s="190"/>
      <c r="K58" s="190"/>
      <c r="L58" s="190"/>
      <c r="M58" s="190"/>
    </row>
    <row r="59" spans="2:13" x14ac:dyDescent="0.35">
      <c r="B59" s="257"/>
      <c r="C59" s="44" t="str">
        <f>B20</f>
        <v>SC9 NTD</v>
      </c>
      <c r="D59" s="260" t="str">
        <f>O20</f>
        <v>Y</v>
      </c>
      <c r="E59" s="409" t="s">
        <v>2053</v>
      </c>
      <c r="F59" s="190"/>
      <c r="G59" s="190"/>
      <c r="H59" s="190"/>
      <c r="I59" s="190"/>
      <c r="J59" s="190"/>
      <c r="K59" s="190"/>
      <c r="L59" s="190"/>
      <c r="M59" s="190"/>
    </row>
    <row r="60" spans="2:13" x14ac:dyDescent="0.35">
      <c r="B60" s="257"/>
      <c r="C60" s="44" t="str">
        <f>B22</f>
        <v>SC9 TOD</v>
      </c>
      <c r="D60" s="260" t="str">
        <f>O22</f>
        <v>Y</v>
      </c>
      <c r="E60" s="409" t="s">
        <v>1337</v>
      </c>
      <c r="F60" s="190"/>
      <c r="G60" s="190"/>
      <c r="H60" s="190"/>
      <c r="I60" s="190"/>
      <c r="J60" s="190"/>
      <c r="K60" s="190"/>
      <c r="L60" s="190"/>
      <c r="M60" s="190"/>
    </row>
    <row r="61" spans="2:13" x14ac:dyDescent="0.35">
      <c r="B61" s="257"/>
      <c r="C61" s="44"/>
      <c r="D61" s="260"/>
      <c r="E61" s="409"/>
      <c r="F61" s="190"/>
      <c r="G61" s="190"/>
      <c r="H61" s="190"/>
      <c r="I61" s="190"/>
      <c r="J61" s="190"/>
      <c r="K61" s="190"/>
      <c r="L61" s="190"/>
      <c r="M61" s="190"/>
    </row>
    <row r="62" spans="2:13" x14ac:dyDescent="0.35">
      <c r="B62" s="257"/>
      <c r="C62" s="44" t="str">
        <f>B25</f>
        <v>SC12 NTD</v>
      </c>
      <c r="D62" s="260" t="str">
        <f>O25</f>
        <v>N</v>
      </c>
      <c r="E62" s="409" t="s">
        <v>1333</v>
      </c>
      <c r="F62" s="190"/>
      <c r="G62" s="190"/>
      <c r="H62" s="190"/>
      <c r="I62" s="190"/>
      <c r="J62" s="190"/>
      <c r="K62" s="190"/>
      <c r="L62" s="190"/>
      <c r="M62" s="190"/>
    </row>
    <row r="63" spans="2:13" x14ac:dyDescent="0.35">
      <c r="B63" s="257"/>
      <c r="C63" s="44" t="str">
        <f>B27</f>
        <v>SC12 TOD</v>
      </c>
      <c r="D63" s="260" t="str">
        <f>O27</f>
        <v>N</v>
      </c>
      <c r="E63" s="190" t="s">
        <v>1338</v>
      </c>
      <c r="F63" s="190"/>
      <c r="G63" s="190"/>
      <c r="H63" s="190"/>
      <c r="I63" s="190"/>
      <c r="J63" s="190"/>
      <c r="K63" s="190"/>
      <c r="L63" s="190"/>
      <c r="M63" s="190"/>
    </row>
    <row r="64" spans="2:13" x14ac:dyDescent="0.35">
      <c r="B64" s="257"/>
      <c r="C64" s="44"/>
      <c r="D64" s="260"/>
      <c r="E64" s="190"/>
      <c r="F64" s="190"/>
      <c r="G64" s="190"/>
      <c r="H64" s="190"/>
      <c r="I64" s="190"/>
      <c r="J64" s="190"/>
      <c r="K64" s="190"/>
      <c r="L64" s="190"/>
      <c r="M64" s="190"/>
    </row>
    <row r="65" spans="2:14" x14ac:dyDescent="0.35">
      <c r="B65" s="257"/>
      <c r="C65" s="44" t="str">
        <f>B30</f>
        <v>SC13 NTD</v>
      </c>
      <c r="D65" s="260" t="str">
        <f>O30</f>
        <v>N/A</v>
      </c>
      <c r="E65" s="190"/>
      <c r="F65" s="190"/>
      <c r="G65" s="190"/>
      <c r="H65" s="190"/>
      <c r="I65" s="190"/>
      <c r="J65" s="190"/>
      <c r="K65" s="190"/>
      <c r="L65" s="190"/>
      <c r="M65" s="190"/>
    </row>
    <row r="66" spans="2:14" x14ac:dyDescent="0.35">
      <c r="B66" s="257"/>
      <c r="C66" s="44" t="str">
        <f>B32</f>
        <v>SC13 TOD</v>
      </c>
      <c r="D66" s="260" t="str">
        <f>O32</f>
        <v>N/A</v>
      </c>
      <c r="E66" s="190"/>
      <c r="F66" s="190"/>
      <c r="G66" s="190"/>
      <c r="H66" s="190"/>
      <c r="I66" s="190"/>
      <c r="J66" s="190"/>
      <c r="K66" s="190"/>
      <c r="L66" s="190"/>
      <c r="M66" s="190"/>
    </row>
    <row r="67" spans="2:14" x14ac:dyDescent="0.35">
      <c r="B67" s="257"/>
      <c r="C67" s="44"/>
      <c r="D67" s="260"/>
      <c r="E67" s="190"/>
      <c r="F67" s="190"/>
      <c r="G67" s="190"/>
      <c r="H67" s="190"/>
      <c r="I67" s="190"/>
      <c r="J67" s="190"/>
      <c r="K67" s="190"/>
      <c r="L67" s="190"/>
      <c r="M67" s="190"/>
    </row>
    <row r="68" spans="2:14" x14ac:dyDescent="0.35">
      <c r="B68" s="257"/>
      <c r="C68" s="44" t="str">
        <f>B35</f>
        <v>NYPA NTD</v>
      </c>
      <c r="D68" s="260" t="str">
        <f>O35</f>
        <v>N</v>
      </c>
      <c r="E68" s="190" t="s">
        <v>1334</v>
      </c>
      <c r="F68" s="190"/>
      <c r="G68" s="190"/>
      <c r="H68" s="190"/>
      <c r="I68" s="190"/>
      <c r="J68" s="190"/>
      <c r="K68" s="190"/>
      <c r="L68" s="190"/>
      <c r="M68" s="190"/>
    </row>
    <row r="69" spans="2:14" x14ac:dyDescent="0.35">
      <c r="B69" s="257"/>
      <c r="C69" s="44" t="str">
        <f>B37</f>
        <v>NYPA TOD</v>
      </c>
      <c r="D69" s="260" t="str">
        <f>O37</f>
        <v>Y</v>
      </c>
      <c r="E69" s="190" t="s">
        <v>2307</v>
      </c>
      <c r="F69" s="190"/>
      <c r="G69" s="190"/>
      <c r="H69" s="190"/>
      <c r="I69" s="190"/>
      <c r="J69" s="190"/>
      <c r="K69" s="190"/>
      <c r="L69" s="190"/>
      <c r="M69" s="190"/>
    </row>
    <row r="70" spans="2:14" ht="15" thickBot="1" x14ac:dyDescent="0.4">
      <c r="B70" s="261"/>
      <c r="C70" s="262"/>
      <c r="D70" s="263"/>
      <c r="E70" s="190"/>
      <c r="F70" s="190"/>
      <c r="G70" s="190"/>
      <c r="H70" s="190"/>
      <c r="I70" s="190"/>
      <c r="J70" s="190"/>
      <c r="K70" s="190"/>
      <c r="L70" s="190"/>
      <c r="M70" s="190"/>
    </row>
    <row r="75" spans="2:14" x14ac:dyDescent="0.35">
      <c r="B75" s="655"/>
      <c r="C75" s="655"/>
      <c r="D75" s="655"/>
      <c r="E75" s="655"/>
      <c r="F75" s="655"/>
      <c r="G75" s="655"/>
      <c r="H75" s="655"/>
      <c r="I75" s="549"/>
      <c r="J75" s="549"/>
      <c r="K75" s="549"/>
      <c r="L75" s="549"/>
      <c r="M75" s="549"/>
      <c r="N75" s="549"/>
    </row>
    <row r="76" spans="2:14" x14ac:dyDescent="0.35"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5"/>
      <c r="M76" s="655"/>
      <c r="N76" s="655"/>
    </row>
    <row r="77" spans="2:14" x14ac:dyDescent="0.35"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</row>
    <row r="78" spans="2:14" x14ac:dyDescent="0.35"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</row>
    <row r="79" spans="2:14" x14ac:dyDescent="0.35">
      <c r="B79" s="655"/>
      <c r="C79" s="655"/>
      <c r="D79" s="655"/>
      <c r="E79" s="655"/>
      <c r="F79" s="655"/>
      <c r="G79" s="655"/>
      <c r="H79" s="655"/>
      <c r="I79" s="654"/>
      <c r="J79" s="654"/>
      <c r="K79" s="654"/>
      <c r="L79" s="654"/>
      <c r="M79" s="654"/>
      <c r="N79" s="654"/>
    </row>
    <row r="80" spans="2:14" x14ac:dyDescent="0.35">
      <c r="B80" s="655"/>
      <c r="C80" s="655"/>
      <c r="D80" s="655"/>
      <c r="E80" s="655"/>
      <c r="F80" s="655"/>
      <c r="G80" s="655"/>
      <c r="H80" s="655"/>
      <c r="I80" s="549"/>
      <c r="J80" s="549"/>
      <c r="K80" s="549"/>
      <c r="L80" s="549"/>
      <c r="M80" s="549"/>
      <c r="N80" s="549"/>
    </row>
    <row r="81" spans="2:14" x14ac:dyDescent="0.35"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</row>
    <row r="82" spans="2:14" x14ac:dyDescent="0.35"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</row>
    <row r="83" spans="2:14" x14ac:dyDescent="0.35"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</row>
    <row r="84" spans="2:14" x14ac:dyDescent="0.35">
      <c r="B84" s="655"/>
      <c r="C84" s="655"/>
      <c r="D84" s="655"/>
      <c r="E84" s="655"/>
      <c r="F84" s="655"/>
      <c r="G84" s="655"/>
      <c r="H84" s="655"/>
      <c r="I84" s="654"/>
      <c r="J84" s="654"/>
      <c r="K84" s="654"/>
      <c r="L84" s="654"/>
      <c r="M84" s="654"/>
      <c r="N84" s="654"/>
    </row>
    <row r="85" spans="2:14" x14ac:dyDescent="0.35">
      <c r="B85" s="655"/>
      <c r="C85" s="655"/>
      <c r="D85" s="655"/>
      <c r="E85" s="655"/>
      <c r="F85" s="655"/>
      <c r="G85" s="655"/>
      <c r="H85" s="655"/>
      <c r="I85" s="549"/>
      <c r="J85" s="549"/>
      <c r="K85" s="549"/>
      <c r="L85" s="549"/>
      <c r="M85" s="549"/>
      <c r="N85" s="549"/>
    </row>
    <row r="86" spans="2:14" x14ac:dyDescent="0.35">
      <c r="B86" s="655"/>
      <c r="C86" s="655"/>
      <c r="D86" s="655"/>
      <c r="E86" s="655"/>
      <c r="F86" s="655"/>
      <c r="G86" s="655"/>
      <c r="H86" s="655"/>
      <c r="I86" s="549"/>
      <c r="J86" s="549"/>
      <c r="K86" s="549"/>
      <c r="L86" s="549"/>
      <c r="M86" s="549"/>
      <c r="N86" s="549"/>
    </row>
    <row r="87" spans="2:14" x14ac:dyDescent="0.35">
      <c r="B87" s="655"/>
      <c r="C87" s="655"/>
      <c r="D87" s="655"/>
      <c r="E87" s="655"/>
      <c r="F87" s="655"/>
      <c r="G87" s="655"/>
      <c r="H87" s="655"/>
      <c r="I87" s="655"/>
      <c r="J87" s="655"/>
      <c r="K87" s="655"/>
      <c r="L87" s="655"/>
      <c r="M87" s="655"/>
      <c r="N87" s="655"/>
    </row>
    <row r="88" spans="2:14" x14ac:dyDescent="0.35"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</row>
    <row r="89" spans="2:14" x14ac:dyDescent="0.35"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</row>
    <row r="90" spans="2:14" x14ac:dyDescent="0.35">
      <c r="B90" s="655"/>
      <c r="C90" s="655"/>
      <c r="D90" s="655"/>
      <c r="E90" s="655"/>
      <c r="F90" s="655"/>
      <c r="G90" s="655"/>
      <c r="H90" s="655"/>
      <c r="I90" s="654"/>
      <c r="J90" s="654"/>
      <c r="K90" s="654"/>
      <c r="L90" s="654"/>
      <c r="M90" s="654"/>
      <c r="N90" s="654"/>
    </row>
    <row r="91" spans="2:14" x14ac:dyDescent="0.35">
      <c r="B91" s="655"/>
      <c r="C91" s="655"/>
      <c r="D91" s="655"/>
      <c r="E91" s="655"/>
      <c r="F91" s="655"/>
      <c r="G91" s="655"/>
      <c r="H91" s="655"/>
      <c r="I91" s="549"/>
      <c r="J91" s="549"/>
      <c r="K91" s="549"/>
      <c r="L91" s="549"/>
      <c r="M91" s="549"/>
      <c r="N91" s="549"/>
    </row>
    <row r="92" spans="2:14" x14ac:dyDescent="0.35"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</row>
    <row r="93" spans="2:14" x14ac:dyDescent="0.35"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</row>
    <row r="94" spans="2:14" x14ac:dyDescent="0.35">
      <c r="B94" s="655"/>
      <c r="C94" s="655"/>
      <c r="D94" s="655"/>
      <c r="E94" s="655"/>
      <c r="F94" s="655"/>
      <c r="G94" s="655"/>
      <c r="H94" s="655"/>
      <c r="I94" s="655"/>
      <c r="J94" s="655"/>
      <c r="K94" s="655"/>
      <c r="L94" s="655"/>
      <c r="M94" s="655"/>
      <c r="N94" s="655"/>
    </row>
    <row r="95" spans="2:14" x14ac:dyDescent="0.35">
      <c r="B95" s="655"/>
      <c r="C95" s="655"/>
      <c r="D95" s="655"/>
      <c r="E95" s="655"/>
      <c r="F95" s="655"/>
      <c r="G95" s="655"/>
      <c r="H95" s="655"/>
      <c r="I95" s="654"/>
      <c r="J95" s="654"/>
      <c r="K95" s="654"/>
      <c r="L95" s="654"/>
      <c r="M95" s="654"/>
      <c r="N95" s="654"/>
    </row>
    <row r="96" spans="2:14" x14ac:dyDescent="0.35">
      <c r="B96" s="655"/>
      <c r="C96" s="655"/>
      <c r="D96" s="655"/>
      <c r="E96" s="655"/>
      <c r="F96" s="655"/>
      <c r="G96" s="655"/>
      <c r="H96" s="655"/>
      <c r="I96" s="549"/>
      <c r="J96" s="549"/>
      <c r="K96" s="549"/>
      <c r="L96" s="549"/>
      <c r="M96" s="549"/>
      <c r="N96" s="549"/>
    </row>
    <row r="97" spans="2:14" x14ac:dyDescent="0.35"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</row>
    <row r="98" spans="2:14" x14ac:dyDescent="0.35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</row>
    <row r="99" spans="2:14" x14ac:dyDescent="0.35"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</row>
    <row r="100" spans="2:14" x14ac:dyDescent="0.35">
      <c r="B100" s="655"/>
      <c r="C100" s="655"/>
      <c r="D100" s="655"/>
      <c r="E100" s="655"/>
      <c r="F100" s="655"/>
      <c r="G100" s="655"/>
      <c r="H100" s="655"/>
      <c r="I100" s="654"/>
      <c r="J100" s="654"/>
      <c r="K100" s="654"/>
      <c r="L100" s="654"/>
      <c r="M100" s="654"/>
      <c r="N100" s="654"/>
    </row>
    <row r="101" spans="2:14" x14ac:dyDescent="0.35">
      <c r="B101" s="655"/>
      <c r="C101" s="655"/>
      <c r="D101" s="655"/>
      <c r="E101" s="655"/>
      <c r="F101" s="655"/>
      <c r="G101" s="655"/>
      <c r="H101" s="655"/>
      <c r="I101" s="549"/>
      <c r="J101" s="549"/>
      <c r="K101" s="549"/>
      <c r="L101" s="549"/>
      <c r="M101" s="549"/>
      <c r="N101" s="549"/>
    </row>
    <row r="102" spans="2:14" x14ac:dyDescent="0.35"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</row>
    <row r="103" spans="2:14" x14ac:dyDescent="0.35"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</row>
    <row r="104" spans="2:14" x14ac:dyDescent="0.35"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</row>
    <row r="105" spans="2:14" x14ac:dyDescent="0.35">
      <c r="B105" s="655"/>
      <c r="C105" s="655"/>
      <c r="D105" s="655"/>
      <c r="E105" s="655"/>
      <c r="F105" s="655"/>
      <c r="G105" s="655"/>
      <c r="H105" s="655"/>
      <c r="I105" s="654"/>
      <c r="J105" s="654"/>
      <c r="K105" s="654"/>
      <c r="L105" s="654"/>
      <c r="M105" s="654"/>
      <c r="N105" s="654"/>
    </row>
    <row r="106" spans="2:14" x14ac:dyDescent="0.35">
      <c r="B106" s="655"/>
      <c r="C106" s="655"/>
      <c r="D106" s="655"/>
      <c r="E106" s="655"/>
      <c r="F106" s="655"/>
      <c r="G106" s="655"/>
      <c r="H106" s="655"/>
      <c r="I106" s="549"/>
      <c r="J106" s="549"/>
      <c r="K106" s="549"/>
      <c r="L106" s="549"/>
      <c r="M106" s="549"/>
      <c r="N106" s="549"/>
    </row>
    <row r="107" spans="2:14" x14ac:dyDescent="0.35"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</row>
    <row r="108" spans="2:14" x14ac:dyDescent="0.35"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</row>
    <row r="109" spans="2:14" x14ac:dyDescent="0.35"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</row>
    <row r="110" spans="2:14" x14ac:dyDescent="0.35">
      <c r="B110" s="655"/>
      <c r="C110" s="655"/>
      <c r="D110" s="655"/>
      <c r="E110" s="655"/>
      <c r="F110" s="655"/>
      <c r="G110" s="655"/>
      <c r="H110" s="655"/>
      <c r="I110" s="654"/>
      <c r="J110" s="654"/>
      <c r="K110" s="654"/>
      <c r="L110" s="654"/>
      <c r="M110" s="654"/>
      <c r="N110" s="654"/>
    </row>
    <row r="111" spans="2:14" x14ac:dyDescent="0.35">
      <c r="B111" s="655"/>
      <c r="C111" s="655"/>
      <c r="D111" s="655"/>
      <c r="E111" s="655"/>
      <c r="F111" s="655"/>
      <c r="G111" s="655"/>
      <c r="H111" s="655"/>
      <c r="I111" s="549"/>
      <c r="J111" s="549"/>
      <c r="K111" s="549"/>
      <c r="L111" s="549"/>
      <c r="M111" s="549"/>
      <c r="N111" s="549"/>
    </row>
    <row r="112" spans="2:14" x14ac:dyDescent="0.35"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</row>
    <row r="113" spans="2:14" x14ac:dyDescent="0.35">
      <c r="B113" s="655"/>
      <c r="C113" s="655"/>
      <c r="D113" s="655"/>
      <c r="E113" s="655"/>
      <c r="F113" s="655"/>
      <c r="G113" s="655"/>
      <c r="H113" s="655"/>
      <c r="I113" s="655"/>
      <c r="J113" s="655"/>
      <c r="K113" s="655"/>
      <c r="L113" s="655"/>
      <c r="M113" s="655"/>
      <c r="N113" s="655"/>
    </row>
    <row r="114" spans="2:14" x14ac:dyDescent="0.35"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</row>
    <row r="115" spans="2:14" x14ac:dyDescent="0.35">
      <c r="B115" s="655"/>
      <c r="C115" s="655"/>
      <c r="D115" s="655"/>
      <c r="E115" s="655"/>
      <c r="F115" s="655"/>
      <c r="G115" s="655"/>
      <c r="H115" s="655"/>
      <c r="I115" s="654"/>
      <c r="J115" s="654"/>
      <c r="K115" s="654"/>
      <c r="L115" s="654"/>
      <c r="M115" s="654"/>
      <c r="N115" s="654"/>
    </row>
    <row r="116" spans="2:14" x14ac:dyDescent="0.35">
      <c r="B116" s="655"/>
      <c r="C116" s="655"/>
      <c r="D116" s="655"/>
      <c r="E116" s="655"/>
      <c r="F116" s="655"/>
      <c r="G116" s="655"/>
      <c r="H116" s="655"/>
      <c r="I116" s="549"/>
      <c r="J116" s="549"/>
      <c r="K116" s="549"/>
      <c r="L116" s="549"/>
      <c r="M116" s="549"/>
      <c r="N116" s="549"/>
    </row>
    <row r="117" spans="2:14" x14ac:dyDescent="0.35"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</row>
    <row r="118" spans="2:14" x14ac:dyDescent="0.35"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</row>
    <row r="119" spans="2:14" x14ac:dyDescent="0.35">
      <c r="B119" s="655"/>
      <c r="C119" s="655"/>
      <c r="D119" s="655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</row>
    <row r="120" spans="2:14" x14ac:dyDescent="0.35">
      <c r="B120" s="655"/>
      <c r="C120" s="655"/>
      <c r="D120" s="655"/>
      <c r="E120" s="655"/>
      <c r="F120" s="655"/>
      <c r="G120" s="655"/>
      <c r="H120" s="655"/>
      <c r="I120" s="654"/>
      <c r="J120" s="654"/>
      <c r="K120" s="654"/>
      <c r="L120" s="654"/>
      <c r="M120" s="654"/>
      <c r="N120" s="654"/>
    </row>
    <row r="121" spans="2:14" x14ac:dyDescent="0.35">
      <c r="B121" s="655"/>
      <c r="C121" s="655"/>
      <c r="D121" s="655"/>
      <c r="E121" s="655"/>
      <c r="F121" s="655"/>
      <c r="G121" s="655"/>
      <c r="H121" s="655"/>
      <c r="I121" s="549"/>
      <c r="J121" s="549"/>
      <c r="K121" s="549"/>
      <c r="L121" s="549"/>
      <c r="M121" s="549"/>
      <c r="N121" s="549"/>
    </row>
    <row r="122" spans="2:14" x14ac:dyDescent="0.35"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</row>
    <row r="123" spans="2:14" x14ac:dyDescent="0.35"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</row>
    <row r="124" spans="2:14" x14ac:dyDescent="0.35"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</row>
    <row r="125" spans="2:14" x14ac:dyDescent="0.35">
      <c r="B125" s="655"/>
      <c r="C125" s="655"/>
      <c r="D125" s="655"/>
      <c r="E125" s="655"/>
      <c r="F125" s="655"/>
      <c r="G125" s="655"/>
      <c r="H125" s="655"/>
      <c r="I125" s="654"/>
      <c r="J125" s="654"/>
      <c r="K125" s="654"/>
      <c r="L125" s="654"/>
      <c r="M125" s="654"/>
      <c r="N125" s="654"/>
    </row>
    <row r="126" spans="2:14" x14ac:dyDescent="0.35">
      <c r="B126" s="655"/>
      <c r="C126" s="655"/>
      <c r="D126" s="655"/>
      <c r="E126" s="655"/>
      <c r="F126" s="655"/>
      <c r="G126" s="655"/>
      <c r="H126" s="655"/>
      <c r="I126" s="549"/>
      <c r="J126" s="549"/>
      <c r="K126" s="549"/>
      <c r="L126" s="549"/>
      <c r="M126" s="549"/>
      <c r="N126" s="549"/>
    </row>
    <row r="127" spans="2:14" x14ac:dyDescent="0.35">
      <c r="B127" s="655"/>
      <c r="C127" s="655"/>
      <c r="D127" s="655"/>
      <c r="E127" s="655"/>
      <c r="F127" s="655"/>
      <c r="G127" s="655"/>
      <c r="H127" s="655"/>
      <c r="I127" s="549"/>
      <c r="J127" s="549"/>
      <c r="K127" s="549"/>
      <c r="L127" s="549"/>
      <c r="M127" s="549"/>
      <c r="N127" s="549"/>
    </row>
    <row r="128" spans="2:14" x14ac:dyDescent="0.35"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</row>
    <row r="129" spans="2:14" x14ac:dyDescent="0.35"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</row>
    <row r="130" spans="2:14" x14ac:dyDescent="0.35"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</row>
    <row r="131" spans="2:14" x14ac:dyDescent="0.35">
      <c r="B131" s="655"/>
      <c r="C131" s="655"/>
      <c r="D131" s="655"/>
      <c r="E131" s="655"/>
      <c r="F131" s="655"/>
      <c r="G131" s="655"/>
      <c r="H131" s="655"/>
      <c r="I131" s="654"/>
      <c r="J131" s="654"/>
      <c r="K131" s="654"/>
      <c r="L131" s="654"/>
      <c r="M131" s="654"/>
      <c r="N131" s="654"/>
    </row>
    <row r="132" spans="2:14" x14ac:dyDescent="0.35">
      <c r="B132" s="655"/>
      <c r="C132" s="655"/>
      <c r="D132" s="655"/>
      <c r="E132" s="655"/>
      <c r="F132" s="655"/>
      <c r="G132" s="655"/>
      <c r="H132" s="655"/>
      <c r="I132" s="549"/>
      <c r="J132" s="549"/>
      <c r="K132" s="549"/>
      <c r="L132" s="549"/>
      <c r="M132" s="549"/>
      <c r="N132" s="549"/>
    </row>
    <row r="133" spans="2:14" x14ac:dyDescent="0.35"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</row>
    <row r="134" spans="2:14" x14ac:dyDescent="0.35"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</row>
    <row r="135" spans="2:14" x14ac:dyDescent="0.35"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</row>
    <row r="136" spans="2:14" x14ac:dyDescent="0.35">
      <c r="B136" s="655"/>
      <c r="C136" s="655"/>
      <c r="D136" s="655"/>
      <c r="E136" s="655"/>
      <c r="F136" s="655"/>
      <c r="G136" s="655"/>
      <c r="H136" s="655"/>
      <c r="I136" s="654"/>
      <c r="J136" s="654"/>
      <c r="K136" s="654"/>
      <c r="L136" s="654"/>
      <c r="M136" s="654"/>
      <c r="N136" s="654"/>
    </row>
    <row r="137" spans="2:14" x14ac:dyDescent="0.35">
      <c r="B137" s="655"/>
      <c r="C137" s="655"/>
      <c r="D137" s="655"/>
      <c r="E137" s="655"/>
      <c r="F137" s="655"/>
      <c r="G137" s="655"/>
      <c r="H137" s="655"/>
    </row>
    <row r="138" spans="2:14" x14ac:dyDescent="0.35">
      <c r="B138" s="655"/>
      <c r="C138" s="655"/>
      <c r="D138" s="655"/>
      <c r="E138" s="655"/>
      <c r="F138" s="655"/>
      <c r="G138" s="655"/>
      <c r="H138" s="655"/>
    </row>
  </sheetData>
  <mergeCells count="3">
    <mergeCell ref="I5:L5"/>
    <mergeCell ref="D5:E5"/>
    <mergeCell ref="F5:G5"/>
  </mergeCells>
  <conditionalFormatting sqref="O40:O46 O9:O36">
    <cfRule type="cellIs" dxfId="2" priority="3" operator="equal">
      <formula>"Y"</formula>
    </cfRule>
  </conditionalFormatting>
  <conditionalFormatting sqref="D53:D69">
    <cfRule type="cellIs" dxfId="1" priority="2" operator="equal">
      <formula>"Y"</formula>
    </cfRule>
  </conditionalFormatting>
  <conditionalFormatting sqref="O37">
    <cfRule type="cellIs" dxfId="0" priority="1" operator="equal">
      <formula>"Y"</formula>
    </cfRule>
  </conditionalFormatting>
  <printOptions horizontalCentered="1"/>
  <pageMargins left="0.45" right="0.45" top="0.5" bottom="0.5" header="0.3" footer="0.3"/>
  <pageSetup scale="52" orientation="landscape" r:id="rId1"/>
  <headerFooter>
    <oddFooter>&amp;C&amp;F (Tab: &amp;A)&amp;RPage &amp;P / 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>
    <tabColor rgb="FF00B0F0"/>
  </sheetPr>
  <dimension ref="A1:Q183"/>
  <sheetViews>
    <sheetView workbookViewId="0">
      <selection activeCell="G221" sqref="G221"/>
    </sheetView>
  </sheetViews>
  <sheetFormatPr defaultColWidth="8.81640625" defaultRowHeight="14.5" x14ac:dyDescent="0.35"/>
  <cols>
    <col min="1" max="1" width="18.26953125" style="3" customWidth="1"/>
    <col min="2" max="4" width="3.7265625" style="3" customWidth="1"/>
    <col min="5" max="6" width="15.7265625" style="3" customWidth="1"/>
    <col min="7" max="8" width="17" style="3" customWidth="1"/>
    <col min="9" max="9" width="17" style="2" customWidth="1"/>
    <col min="10" max="11" width="17" style="3" customWidth="1"/>
    <col min="12" max="12" width="21.453125" style="3" customWidth="1"/>
    <col min="13" max="15" width="17" style="3" customWidth="1"/>
    <col min="16" max="16" width="16.7265625" style="3" customWidth="1"/>
    <col min="17" max="17" width="14.7265625" style="3" customWidth="1"/>
    <col min="18" max="18" width="14.453125" style="3" customWidth="1"/>
    <col min="19" max="21" width="5.1796875" style="3" customWidth="1"/>
    <col min="22" max="24" width="13.7265625" style="3" customWidth="1"/>
    <col min="25" max="16384" width="8.81640625" style="3"/>
  </cols>
  <sheetData>
    <row r="1" spans="1:17" ht="18.5" x14ac:dyDescent="0.35">
      <c r="A1" s="238" t="s">
        <v>2306</v>
      </c>
      <c r="B1" s="70"/>
      <c r="C1" s="70"/>
      <c r="D1" s="70"/>
    </row>
    <row r="2" spans="1:17" x14ac:dyDescent="0.35">
      <c r="A2" s="864" t="s">
        <v>248</v>
      </c>
      <c r="B2" s="180"/>
      <c r="C2" s="180"/>
      <c r="D2" s="180"/>
      <c r="E2" s="180"/>
    </row>
    <row r="3" spans="1:17" x14ac:dyDescent="0.35">
      <c r="A3" s="864" t="s">
        <v>249</v>
      </c>
      <c r="B3" s="180"/>
      <c r="C3" s="180"/>
      <c r="D3" s="180"/>
      <c r="E3" s="180"/>
      <c r="F3" s="863" t="s">
        <v>1428</v>
      </c>
      <c r="G3" s="1250">
        <f>'[1]A1.)RatesInput'!$G$3</f>
        <v>2017</v>
      </c>
    </row>
    <row r="4" spans="1:17" x14ac:dyDescent="0.35">
      <c r="E4" s="180"/>
      <c r="F4" s="863" t="s">
        <v>1078</v>
      </c>
      <c r="G4" s="805" t="str">
        <f>'9A.)HL_RedesignRateSummary'!$D$9</f>
        <v>Current</v>
      </c>
      <c r="H4" s="231"/>
      <c r="J4" s="180"/>
      <c r="K4" s="197" t="str">
        <f>$A$2</f>
        <v>SC5</v>
      </c>
      <c r="L4" s="2"/>
    </row>
    <row r="5" spans="1:17" x14ac:dyDescent="0.35">
      <c r="F5" s="863" t="s">
        <v>1079</v>
      </c>
      <c r="G5" s="805" t="str">
        <f>'9A.)HL_RedesignRateSummary'!$D$10</f>
        <v>ED shifting</v>
      </c>
      <c r="H5" s="232"/>
      <c r="K5" s="181" t="s">
        <v>147</v>
      </c>
      <c r="L5" s="2"/>
    </row>
    <row r="6" spans="1:17" x14ac:dyDescent="0.35">
      <c r="A6" s="3" t="str">
        <f>CONCATENATE($A$2," NTD (LT)")</f>
        <v>SC5 NTD (LT)</v>
      </c>
      <c r="B6" s="3" t="s">
        <v>168</v>
      </c>
      <c r="G6" s="860">
        <f>IF(ISNUMBER(VLOOKUP($A6,'[1]A1.)RatesInput'!$B$287:$J$309,HLOOKUP(G$4,'[1]A1.)RatesInput'!$B$287:$J$309,2,0),0)),VLOOKUP($A6,'[1]A1.)RatesInput'!$B$287:$J$309,HLOOKUP(G$4,'[1]A1.)RatesInput'!$B$287:$J$309,2,0),0),0)</f>
        <v>40.83</v>
      </c>
      <c r="H6" s="230"/>
      <c r="K6" s="2"/>
      <c r="L6" s="2"/>
      <c r="O6" s="30" t="s">
        <v>26</v>
      </c>
      <c r="P6" s="30" t="s">
        <v>25</v>
      </c>
      <c r="Q6" s="30" t="s">
        <v>44</v>
      </c>
    </row>
    <row r="7" spans="1:17" x14ac:dyDescent="0.35">
      <c r="A7" s="3" t="str">
        <f>CONCATENATE($A$2," NTD (HT)")</f>
        <v>SC5 NTD (HT)</v>
      </c>
      <c r="B7" s="3" t="s">
        <v>168</v>
      </c>
      <c r="G7" s="861">
        <f>IF(ISNUMBER(VLOOKUP($A7,'[1]A1.)RatesInput'!$B$287:$J$309,HLOOKUP(G$4,'[1]A1.)RatesInput'!$B$287:$J$309,2,0),0)),VLOOKUP($A7,'[1]A1.)RatesInput'!$B$287:$J$309,HLOOKUP(G$4,'[1]A1.)RatesInput'!$B$287:$J$309,2,0),0),0)</f>
        <v>27.01</v>
      </c>
      <c r="H7" s="230"/>
      <c r="K7" s="165" t="s">
        <v>114</v>
      </c>
      <c r="L7" s="164">
        <v>0</v>
      </c>
      <c r="M7" s="163" t="s">
        <v>143</v>
      </c>
      <c r="N7" s="164">
        <f>'[2]4C.)HY_DemandRatePxOut(Rate I)'!$E$7</f>
        <v>5</v>
      </c>
      <c r="O7" s="386">
        <f>'[2]4C.)HY_DemandRatePxOut(Rate I)'!$L$11</f>
        <v>10</v>
      </c>
      <c r="P7" s="386">
        <f>'[2]4C.)HY_DemandRatePxOut(Rate I)'!$N$11</f>
        <v>180</v>
      </c>
      <c r="Q7" s="386">
        <f>'[2]4B.)HY_EnergyRatePxOut(Rate I)'!$M$73</f>
        <v>151446</v>
      </c>
    </row>
    <row r="8" spans="1:17" x14ac:dyDescent="0.35">
      <c r="A8" s="3" t="str">
        <f>CONCATENATE($A$2," NTD (LT)")</f>
        <v>SC5 NTD (LT)</v>
      </c>
      <c r="B8" s="3" t="s">
        <v>169</v>
      </c>
      <c r="G8" s="861">
        <f>IF(ISNUMBER(VLOOKUP($A8,'[1]A1.)RatesInput'!$B$315:$J$340,HLOOKUP(G$5,'[1]A1.)RatesInput'!$B$315:$J$340,3,0),0)),VLOOKUP($A8,'[1]A1.)RatesInput'!$B$315:$J$340,HLOOKUP(G$5,'[1]A1.)RatesInput'!$B$315:$J$340,3,0),0),0)</f>
        <v>23.77</v>
      </c>
      <c r="H8" s="230"/>
      <c r="K8" s="170" t="s">
        <v>114</v>
      </c>
      <c r="L8" s="159"/>
      <c r="M8" s="158" t="s">
        <v>141</v>
      </c>
      <c r="N8" s="159">
        <f>N7</f>
        <v>5</v>
      </c>
      <c r="O8" s="387">
        <f>'[2]4C.)HY_DemandRatePxOut(Rate I)'!$L$12</f>
        <v>26</v>
      </c>
      <c r="P8" s="387">
        <f>'[2]4C.)HY_DemandRatePxOut(Rate I)'!$N$12</f>
        <v>190</v>
      </c>
      <c r="Q8" s="387">
        <f>'[2]4B.)HY_EnergyRatePxOut(Rate I)'!$M$74</f>
        <v>0</v>
      </c>
    </row>
    <row r="9" spans="1:17" ht="15" thickBot="1" x14ac:dyDescent="0.4">
      <c r="A9" s="3" t="str">
        <f>CONCATENATE($A$2," NTD (HT)")</f>
        <v>SC5 NTD (HT)</v>
      </c>
      <c r="B9" s="3" t="s">
        <v>169</v>
      </c>
      <c r="G9" s="862">
        <f>IF(ISNUMBER(VLOOKUP($A9,'[1]A1.)RatesInput'!$B$315:$J$340,HLOOKUP(G$5,'[1]A1.)RatesInput'!$B$315:$J$340,3,0),0)),VLOOKUP($A9,'[1]A1.)RatesInput'!$B$315:$J$340,HLOOKUP(G$5,'[1]A1.)RatesInput'!$B$315:$J$340,3,0),0),0)</f>
        <v>16.21</v>
      </c>
      <c r="H9" s="230"/>
      <c r="K9" s="168" t="s">
        <v>114</v>
      </c>
      <c r="L9" s="155"/>
      <c r="M9" s="176"/>
      <c r="N9" s="154"/>
      <c r="O9" s="172"/>
      <c r="P9" s="172"/>
      <c r="Q9" s="171"/>
    </row>
    <row r="10" spans="1:17" ht="15.5" thickTop="1" thickBot="1" x14ac:dyDescent="0.4">
      <c r="K10" s="1"/>
      <c r="L10" s="1"/>
      <c r="M10"/>
      <c r="N10"/>
      <c r="O10" s="151">
        <f>SUM(O7:O9)</f>
        <v>36</v>
      </c>
      <c r="P10" s="151">
        <f>SUM(P7:P9)</f>
        <v>370</v>
      </c>
      <c r="Q10" s="151">
        <f>SUM(Q7:Q9)</f>
        <v>151446</v>
      </c>
    </row>
    <row r="11" spans="1:17" ht="15.5" thickTop="1" thickBot="1" x14ac:dyDescent="0.4">
      <c r="F11" s="2"/>
      <c r="G11" s="422" t="str">
        <f>G$5</f>
        <v>ED shifting</v>
      </c>
      <c r="H11" s="423" t="s">
        <v>142</v>
      </c>
      <c r="K11" s="1"/>
      <c r="L11" s="1"/>
      <c r="M11"/>
      <c r="N11"/>
      <c r="O11"/>
      <c r="P11"/>
      <c r="Q11"/>
    </row>
    <row r="12" spans="1:17" ht="15" thickTop="1" x14ac:dyDescent="0.35">
      <c r="A12" s="3" t="s">
        <v>320</v>
      </c>
      <c r="F12" s="2"/>
      <c r="G12" s="309">
        <f>'9A.)HL_RedesignRateSummary'!D59</f>
        <v>178.73</v>
      </c>
      <c r="H12" s="865">
        <f>$E$130</f>
        <v>178.73</v>
      </c>
      <c r="I12" s="1068">
        <f>(H12/$N$7*4+H14/$N$7*8)/12</f>
        <v>27.204666666666668</v>
      </c>
      <c r="K12" s="165" t="s">
        <v>113</v>
      </c>
      <c r="L12" s="164">
        <f>$L$7</f>
        <v>0</v>
      </c>
      <c r="M12" s="164" t="str">
        <f>$M$7</f>
        <v>-</v>
      </c>
      <c r="N12" s="164">
        <f>$N$7</f>
        <v>5</v>
      </c>
      <c r="O12" s="386">
        <f>'[2]4C.)HY_DemandRatePxOut(Rate I)'!$L$7</f>
        <v>14</v>
      </c>
      <c r="P12" s="386">
        <f>'[2]4C.)HY_DemandRatePxOut(Rate I)'!$N$7</f>
        <v>370</v>
      </c>
      <c r="Q12" s="386">
        <f>'[2]4B.)HY_EnergyRatePxOut(Rate I)'!$M$68</f>
        <v>530566</v>
      </c>
    </row>
    <row r="13" spans="1:17" x14ac:dyDescent="0.35">
      <c r="A13" s="3" t="s">
        <v>321</v>
      </c>
      <c r="F13" s="2"/>
      <c r="G13" s="310">
        <f>'9A.)HL_RedesignRateSummary'!D60</f>
        <v>31.369999999999997</v>
      </c>
      <c r="H13" s="866">
        <f>$E$131</f>
        <v>31.369999999999997</v>
      </c>
      <c r="I13" s="1068">
        <f>(H13*4+H15*8)/12</f>
        <v>23.77</v>
      </c>
      <c r="K13" s="160" t="s">
        <v>113</v>
      </c>
      <c r="L13" s="159"/>
      <c r="M13" s="158" t="str">
        <f>$M$8</f>
        <v>&gt;</v>
      </c>
      <c r="N13" s="157">
        <f>$N$8</f>
        <v>5</v>
      </c>
      <c r="O13" s="387">
        <f>'[2]4C.)HY_DemandRatePxOut(Rate I)'!$L$8</f>
        <v>59.999999999999993</v>
      </c>
      <c r="P13" s="387">
        <f>'[2]4C.)HY_DemandRatePxOut(Rate I)'!$N$8</f>
        <v>1056</v>
      </c>
      <c r="Q13" s="387">
        <f>'[2]4B.)HY_EnergyRatePxOut(Rate I)'!$M$69</f>
        <v>0</v>
      </c>
    </row>
    <row r="14" spans="1:17" ht="15" thickBot="1" x14ac:dyDescent="0.4">
      <c r="A14" s="3" t="s">
        <v>322</v>
      </c>
      <c r="F14" s="2"/>
      <c r="G14" s="310">
        <f>'9A.)HL_RedesignRateSummary'!D61</f>
        <v>114.67</v>
      </c>
      <c r="H14" s="866">
        <f>$F$130</f>
        <v>114.67</v>
      </c>
      <c r="I14" s="1068"/>
      <c r="K14" s="155" t="s">
        <v>113</v>
      </c>
      <c r="L14" s="154"/>
      <c r="M14" s="154"/>
      <c r="N14" s="154"/>
      <c r="O14" s="172"/>
      <c r="P14" s="172"/>
      <c r="Q14" s="171"/>
    </row>
    <row r="15" spans="1:17" ht="15.5" thickTop="1" thickBot="1" x14ac:dyDescent="0.4">
      <c r="A15" s="3" t="s">
        <v>323</v>
      </c>
      <c r="F15" s="2"/>
      <c r="G15" s="310">
        <f>'9A.)HL_RedesignRateSummary'!D62</f>
        <v>19.97</v>
      </c>
      <c r="H15" s="866">
        <f>$F$131</f>
        <v>19.97</v>
      </c>
      <c r="I15" s="1068"/>
      <c r="K15" s="2"/>
      <c r="L15" s="2"/>
      <c r="O15" s="151">
        <f>SUM(O12:O14)</f>
        <v>74</v>
      </c>
      <c r="P15" s="151">
        <f>SUM(P12:P14)</f>
        <v>1426</v>
      </c>
      <c r="Q15" s="151">
        <f>SUM(Q12:Q14)</f>
        <v>530566</v>
      </c>
    </row>
    <row r="16" spans="1:17" ht="15" thickTop="1" x14ac:dyDescent="0.35">
      <c r="A16" s="3" t="s">
        <v>326</v>
      </c>
      <c r="F16" s="2"/>
      <c r="G16" s="310">
        <f>'9A.)HL_RedesignRateSummary'!D63</f>
        <v>136.30000000000001</v>
      </c>
      <c r="H16" s="866">
        <f>$E$133</f>
        <v>132.20000000000002</v>
      </c>
      <c r="I16" s="1068">
        <f>(H16/$N$7*4+H18/$N$7*8)/12</f>
        <v>17.897333333333336</v>
      </c>
      <c r="J16" s="201">
        <f>I16/I12</f>
        <v>0.65787732496875539</v>
      </c>
      <c r="K16" s="1"/>
      <c r="L16" s="1"/>
      <c r="M16"/>
      <c r="N16"/>
      <c r="O16"/>
      <c r="P16"/>
      <c r="Q16"/>
    </row>
    <row r="17" spans="1:17" x14ac:dyDescent="0.35">
      <c r="A17" s="3" t="s">
        <v>327</v>
      </c>
      <c r="F17" s="2"/>
      <c r="G17" s="310">
        <f>'9A.)HL_RedesignRateSummary'!D64</f>
        <v>23.81</v>
      </c>
      <c r="H17" s="866">
        <f>$E$134</f>
        <v>23.34</v>
      </c>
      <c r="I17" s="1068">
        <f>(H17*4+H19*8)/12</f>
        <v>15.74</v>
      </c>
      <c r="J17" s="201">
        <f>I17/I13</f>
        <v>0.6621792175010518</v>
      </c>
      <c r="K17" s="165" t="s">
        <v>112</v>
      </c>
      <c r="L17" s="164">
        <f>$L$7</f>
        <v>0</v>
      </c>
      <c r="M17" s="164" t="str">
        <f>$M$7</f>
        <v>-</v>
      </c>
      <c r="N17" s="164">
        <f>$N$7</f>
        <v>5</v>
      </c>
      <c r="O17" s="386">
        <f>'[2]4C.)HY_DemandRatePxOut(Rate I)'!$L$28</f>
        <v>0</v>
      </c>
      <c r="P17" s="386">
        <f>'[2]4C.)HY_DemandRatePxOut(Rate I)'!$N$28</f>
        <v>0</v>
      </c>
      <c r="Q17" s="386">
        <f>'[2]4B.)HY_EnergyRatePxOut(Rate I)'!$M$93</f>
        <v>0</v>
      </c>
    </row>
    <row r="18" spans="1:17" x14ac:dyDescent="0.35">
      <c r="A18" s="3" t="s">
        <v>328</v>
      </c>
      <c r="F18" s="2"/>
      <c r="G18" s="310">
        <f>'9A.)HL_RedesignRateSummary'!D65</f>
        <v>72.23</v>
      </c>
      <c r="H18" s="866">
        <f>$F$133</f>
        <v>68.13</v>
      </c>
      <c r="I18" s="1068"/>
      <c r="K18" s="170" t="s">
        <v>112</v>
      </c>
      <c r="L18" s="159"/>
      <c r="M18" s="158" t="str">
        <f>$M$8</f>
        <v>&gt;</v>
      </c>
      <c r="N18" s="157">
        <f>$N$8</f>
        <v>5</v>
      </c>
      <c r="O18" s="387">
        <f>'[2]4C.)HY_DemandRatePxOut(Rate I)'!$L$29</f>
        <v>0</v>
      </c>
      <c r="P18" s="387">
        <f>'[2]4C.)HY_DemandRatePxOut(Rate I)'!$N$29</f>
        <v>0</v>
      </c>
      <c r="Q18" s="387">
        <f>'[2]4B.)HY_EnergyRatePxOut(Rate I)'!$M$94</f>
        <v>0</v>
      </c>
    </row>
    <row r="19" spans="1:17" ht="15" thickBot="1" x14ac:dyDescent="0.4">
      <c r="A19" s="3" t="s">
        <v>329</v>
      </c>
      <c r="F19" s="2"/>
      <c r="G19" s="311">
        <f>'9A.)HL_RedesignRateSummary'!D66</f>
        <v>12.41</v>
      </c>
      <c r="H19" s="867">
        <f>$F$134</f>
        <v>11.94</v>
      </c>
      <c r="I19" s="1068"/>
      <c r="K19" s="168" t="s">
        <v>112</v>
      </c>
      <c r="L19" s="154"/>
      <c r="M19" s="154"/>
      <c r="N19" s="154"/>
      <c r="O19" s="153"/>
      <c r="P19" s="153"/>
      <c r="Q19" s="152"/>
    </row>
    <row r="20" spans="1:17" ht="15.5" thickTop="1" thickBot="1" x14ac:dyDescent="0.4">
      <c r="F20" s="2"/>
      <c r="H20" s="2"/>
      <c r="K20" s="1"/>
      <c r="L20" s="1"/>
      <c r="M20"/>
      <c r="N20"/>
      <c r="O20" s="151">
        <f>SUM(O17:O19)</f>
        <v>0</v>
      </c>
      <c r="P20" s="151">
        <f>SUM(P17:P19)</f>
        <v>0</v>
      </c>
      <c r="Q20" s="151">
        <f>SUM(Q17:Q19)</f>
        <v>0</v>
      </c>
    </row>
    <row r="21" spans="1:17" ht="15" thickTop="1" x14ac:dyDescent="0.35">
      <c r="A21" s="17" t="s">
        <v>139</v>
      </c>
      <c r="B21" s="17"/>
      <c r="D21" s="17"/>
      <c r="G21" s="689">
        <f>HLOOKUP($G$3,'[1]A1.)RatesInput'!$D$63:$J$83,'[1]A1.)RatesInput'!$A$80,0)</f>
        <v>1.01108</v>
      </c>
      <c r="H21" s="2"/>
      <c r="K21" s="1"/>
      <c r="L21" s="1"/>
      <c r="M21"/>
      <c r="N21"/>
      <c r="O21"/>
      <c r="P21"/>
      <c r="Q21"/>
    </row>
    <row r="22" spans="1:17" x14ac:dyDescent="0.35">
      <c r="A22" s="17" t="s">
        <v>137</v>
      </c>
      <c r="B22" s="17"/>
      <c r="C22" s="17"/>
      <c r="D22" s="17"/>
      <c r="G22" s="689">
        <f>HLOOKUP($G$3,'[1]A1.)RatesInput'!$D$63:$J$83,'[1]A1.)RatesInput'!$A$81,0)</f>
        <v>1.0119199999999999</v>
      </c>
      <c r="H22" s="2"/>
      <c r="K22" s="165" t="s">
        <v>111</v>
      </c>
      <c r="L22" s="164">
        <f>$L$7</f>
        <v>0</v>
      </c>
      <c r="M22" s="164" t="str">
        <f>$M$7</f>
        <v>-</v>
      </c>
      <c r="N22" s="164">
        <f>$N$7</f>
        <v>5</v>
      </c>
      <c r="O22" s="386">
        <f>'[2]4C.)HY_DemandRatePxOut(Rate I)'!$L$24</f>
        <v>0</v>
      </c>
      <c r="P22" s="386">
        <f>'[2]4C.)HY_DemandRatePxOut(Rate I)'!$N$24</f>
        <v>0</v>
      </c>
      <c r="Q22" s="386">
        <f>'[2]4B.)HY_EnergyRatePxOut(Rate I)'!$M$88</f>
        <v>0</v>
      </c>
    </row>
    <row r="23" spans="1:17" x14ac:dyDescent="0.35">
      <c r="A23" s="17" t="s">
        <v>136</v>
      </c>
      <c r="B23" s="17"/>
      <c r="C23" s="17"/>
      <c r="D23" s="17"/>
      <c r="G23" s="689">
        <f>HLOOKUP($G$3,'[1]A1.)RatesInput'!$D$63:$J$83,'[1]A1.)RatesInput'!$A$82,0)</f>
        <v>1.01067</v>
      </c>
      <c r="H23" s="2"/>
      <c r="K23" s="160" t="s">
        <v>111</v>
      </c>
      <c r="L23" s="159"/>
      <c r="M23" s="158" t="str">
        <f>$M$8</f>
        <v>&gt;</v>
      </c>
      <c r="N23" s="157">
        <f>$N$8</f>
        <v>5</v>
      </c>
      <c r="O23" s="387">
        <f>'[2]4C.)HY_DemandRatePxOut(Rate I)'!$L$25</f>
        <v>0</v>
      </c>
      <c r="P23" s="387">
        <f>'[2]4C.)HY_DemandRatePxOut(Rate I)'!$N$25</f>
        <v>0</v>
      </c>
      <c r="Q23" s="387">
        <f>'[2]4B.)HY_EnergyRatePxOut(Rate I)'!$M$89</f>
        <v>0</v>
      </c>
    </row>
    <row r="24" spans="1:17" ht="15" thickBot="1" x14ac:dyDescent="0.4">
      <c r="A24" s="17"/>
      <c r="B24" s="17"/>
      <c r="C24" s="17"/>
      <c r="D24" s="17"/>
      <c r="G24" s="2"/>
      <c r="H24" s="2"/>
      <c r="K24" s="155" t="s">
        <v>111</v>
      </c>
      <c r="L24" s="154"/>
      <c r="M24" s="154"/>
      <c r="N24" s="154"/>
      <c r="O24" s="153"/>
      <c r="P24" s="153"/>
      <c r="Q24" s="152"/>
    </row>
    <row r="25" spans="1:17" ht="15.5" thickTop="1" thickBot="1" x14ac:dyDescent="0.4">
      <c r="F25" s="100" t="s">
        <v>1077</v>
      </c>
      <c r="G25" s="868" t="str">
        <f>G$5</f>
        <v>ED shifting</v>
      </c>
      <c r="H25" s="2"/>
      <c r="K25" s="1"/>
      <c r="L25" s="1"/>
      <c r="M25"/>
      <c r="N25"/>
      <c r="O25" s="151">
        <f>SUM(O22:O24)</f>
        <v>0</v>
      </c>
      <c r="P25" s="151">
        <f>SUM(P22:P24)</f>
        <v>0</v>
      </c>
      <c r="Q25" s="151">
        <f>SUM(Q22:Q24)</f>
        <v>0</v>
      </c>
    </row>
    <row r="26" spans="1:17" x14ac:dyDescent="0.35">
      <c r="G26" s="135" t="s">
        <v>135</v>
      </c>
      <c r="H26" s="135" t="s">
        <v>134</v>
      </c>
    </row>
    <row r="27" spans="1:17" x14ac:dyDescent="0.35">
      <c r="A27" s="3" t="s">
        <v>302</v>
      </c>
      <c r="G27" s="245">
        <f>'8A.)HY_ED RevShifting'!$E$57</f>
        <v>41070</v>
      </c>
      <c r="H27" s="245">
        <f>'8A.)HY_ED RevShifting'!$D$57</f>
        <v>40621</v>
      </c>
    </row>
    <row r="28" spans="1:17" x14ac:dyDescent="0.35">
      <c r="A28" s="3" t="s">
        <v>130</v>
      </c>
      <c r="G28" s="245">
        <f>IF(ISNUMBER(HLOOKUP($G$25,'8A.)HY_ED RevShifting'!$G$56:$L$70,'8A.)HY_ED RevShifting'!$B$59,0)),HLOOKUP($G$25,'8A.)HY_ED RevShifting'!$G$56:$L$70,'8A.)HY_ED RevShifting'!$B$59,0),0)</f>
        <v>1361</v>
      </c>
      <c r="H28" s="245">
        <f>ROUND(G28/G21,0)</f>
        <v>1346</v>
      </c>
    </row>
    <row r="29" spans="1:17" x14ac:dyDescent="0.35">
      <c r="A29" s="3" t="s">
        <v>763</v>
      </c>
      <c r="G29" s="245">
        <f>'8A.)HY_ED RevShifting'!$G$57</f>
        <v>42431</v>
      </c>
      <c r="H29" s="108"/>
    </row>
    <row r="31" spans="1:17" s="88" customFormat="1" x14ac:dyDescent="0.35"/>
    <row r="32" spans="1:17" x14ac:dyDescent="0.35">
      <c r="A32" s="70" t="s">
        <v>2291</v>
      </c>
      <c r="B32" s="70"/>
      <c r="C32" s="70"/>
      <c r="D32" s="70"/>
    </row>
    <row r="33" spans="1:14" x14ac:dyDescent="0.35">
      <c r="A33" s="197" t="str">
        <f>CONCATENATE($A$2," ",$A$3)</f>
        <v>SC5 Rate I</v>
      </c>
      <c r="E33" s="100" t="s">
        <v>296</v>
      </c>
      <c r="F33" s="808">
        <f>'9A.)HL_RedesignRateSummary'!$F$4</f>
        <v>2019</v>
      </c>
    </row>
    <row r="34" spans="1:14" x14ac:dyDescent="0.35">
      <c r="A34" s="197"/>
      <c r="E34" s="100" t="s">
        <v>297</v>
      </c>
      <c r="F34" s="808">
        <f>'9A.)HL_RedesignRateSummary'!$F$5</f>
        <v>2017</v>
      </c>
    </row>
    <row r="35" spans="1:14" x14ac:dyDescent="0.35">
      <c r="B35" s="197"/>
      <c r="C35" s="197"/>
      <c r="D35" s="197"/>
      <c r="E35" s="100" t="s">
        <v>2150</v>
      </c>
      <c r="F35" s="808">
        <f>'9A.)HL_RedesignRateSummary'!F3</f>
        <v>2020</v>
      </c>
      <c r="G35" s="3" t="str">
        <f>'9A.)HL_RedesignRateSummary'!G3</f>
        <v>RY1</v>
      </c>
    </row>
    <row r="36" spans="1:14" x14ac:dyDescent="0.35">
      <c r="A36" s="334" t="s">
        <v>1541</v>
      </c>
      <c r="B36" s="410"/>
      <c r="C36" s="410"/>
      <c r="D36" s="410"/>
      <c r="E36" s="410"/>
      <c r="F36" s="410"/>
      <c r="G36" s="410"/>
    </row>
    <row r="37" spans="1:14" x14ac:dyDescent="0.35">
      <c r="A37" s="334"/>
      <c r="B37" s="410"/>
      <c r="C37" s="410"/>
      <c r="D37" s="410"/>
      <c r="E37" s="410"/>
      <c r="F37" s="410"/>
      <c r="G37" s="410"/>
    </row>
    <row r="38" spans="1:14" x14ac:dyDescent="0.35">
      <c r="A38" s="838" t="s">
        <v>378</v>
      </c>
      <c r="B38" s="410"/>
      <c r="C38" s="410"/>
      <c r="D38" s="410"/>
      <c r="E38" s="869"/>
      <c r="F38" s="410"/>
      <c r="G38" s="410"/>
    </row>
    <row r="39" spans="1:14" ht="15" thickBot="1" x14ac:dyDescent="0.4">
      <c r="A39" s="838"/>
      <c r="B39" s="410"/>
      <c r="C39" s="410"/>
      <c r="D39" s="410"/>
      <c r="E39" s="869"/>
      <c r="F39" s="410"/>
      <c r="G39" s="410"/>
    </row>
    <row r="40" spans="1:14" ht="15.5" thickTop="1" thickBot="1" x14ac:dyDescent="0.4">
      <c r="B40" s="199"/>
      <c r="C40" s="199"/>
      <c r="D40" s="199"/>
      <c r="E40" s="1316" t="s">
        <v>168</v>
      </c>
      <c r="F40" s="1317"/>
      <c r="G40" s="1317"/>
      <c r="H40" s="1318"/>
      <c r="J40" s="1316" t="s">
        <v>169</v>
      </c>
      <c r="K40" s="1317"/>
      <c r="L40" s="1317"/>
      <c r="M40" s="1317"/>
      <c r="N40" s="1318"/>
    </row>
    <row r="41" spans="1:14" ht="15" thickTop="1" x14ac:dyDescent="0.35">
      <c r="E41" s="1333" t="s">
        <v>171</v>
      </c>
      <c r="F41" s="1333"/>
      <c r="G41" s="30" t="s">
        <v>173</v>
      </c>
      <c r="H41" s="30" t="s">
        <v>174</v>
      </c>
      <c r="J41" s="1334" t="s">
        <v>176</v>
      </c>
      <c r="K41" s="1334"/>
      <c r="L41" s="30" t="s">
        <v>173</v>
      </c>
      <c r="M41" s="30" t="s">
        <v>174</v>
      </c>
      <c r="N41" s="30" t="s">
        <v>1</v>
      </c>
    </row>
    <row r="42" spans="1:14" x14ac:dyDescent="0.35">
      <c r="A42" s="199">
        <f>$G$3</f>
        <v>2017</v>
      </c>
      <c r="E42" s="118" t="s">
        <v>8</v>
      </c>
      <c r="F42" s="118" t="s">
        <v>9</v>
      </c>
      <c r="G42" s="30" t="s">
        <v>172</v>
      </c>
      <c r="H42" s="30" t="s">
        <v>175</v>
      </c>
      <c r="J42" s="118" t="s">
        <v>8</v>
      </c>
      <c r="K42" s="118" t="s">
        <v>9</v>
      </c>
      <c r="L42" s="30" t="s">
        <v>172</v>
      </c>
      <c r="M42" s="30" t="s">
        <v>175</v>
      </c>
    </row>
    <row r="43" spans="1:14" x14ac:dyDescent="0.35">
      <c r="E43" s="200" t="s">
        <v>79</v>
      </c>
      <c r="F43" s="200" t="s">
        <v>78</v>
      </c>
      <c r="G43" s="200" t="s">
        <v>181</v>
      </c>
      <c r="H43" s="200" t="s">
        <v>180</v>
      </c>
      <c r="J43" s="200" t="s">
        <v>177</v>
      </c>
      <c r="K43" s="200" t="s">
        <v>178</v>
      </c>
      <c r="L43" s="200" t="s">
        <v>179</v>
      </c>
      <c r="M43" s="200" t="s">
        <v>182</v>
      </c>
      <c r="N43" s="200" t="s">
        <v>183</v>
      </c>
    </row>
    <row r="44" spans="1:14" x14ac:dyDescent="0.35">
      <c r="A44" s="3" t="str">
        <f>CONCATENATE($A$2," NTD")</f>
        <v>SC5 NTD</v>
      </c>
      <c r="E44" s="27">
        <f>G7</f>
        <v>27.01</v>
      </c>
      <c r="F44" s="27">
        <f>G6</f>
        <v>40.83</v>
      </c>
      <c r="G44" s="35">
        <f>F44-E44</f>
        <v>13.819999999999997</v>
      </c>
      <c r="H44" s="871">
        <f>E44/F44</f>
        <v>0.66152338966446245</v>
      </c>
      <c r="J44" s="27">
        <f>G9</f>
        <v>16.21</v>
      </c>
      <c r="K44" s="27">
        <f>G8</f>
        <v>23.77</v>
      </c>
      <c r="L44" s="228">
        <f>K44-J44</f>
        <v>7.5599999999999987</v>
      </c>
      <c r="M44" s="871">
        <f>ROUND(J44/K44,2)</f>
        <v>0.68</v>
      </c>
      <c r="N44" s="201">
        <f>M44-H44</f>
        <v>1.8476610335537602E-2</v>
      </c>
    </row>
    <row r="46" spans="1:14" x14ac:dyDescent="0.35">
      <c r="J46" s="33" t="s">
        <v>520</v>
      </c>
      <c r="K46" s="40">
        <v>3</v>
      </c>
      <c r="L46" s="136" t="s">
        <v>165</v>
      </c>
    </row>
    <row r="47" spans="1:14" ht="15" thickBot="1" x14ac:dyDescent="0.4">
      <c r="A47" s="838" t="s">
        <v>379</v>
      </c>
      <c r="J47" s="33" t="s">
        <v>294</v>
      </c>
      <c r="K47" s="40">
        <v>3</v>
      </c>
      <c r="L47" s="136" t="s">
        <v>166</v>
      </c>
    </row>
    <row r="48" spans="1:14" ht="15.5" thickTop="1" thickBot="1" x14ac:dyDescent="0.4">
      <c r="B48" s="197"/>
      <c r="C48" s="197"/>
      <c r="D48" s="197"/>
      <c r="H48" s="1327" t="s">
        <v>293</v>
      </c>
      <c r="I48" s="266" t="s">
        <v>293</v>
      </c>
      <c r="J48" s="1327" t="s">
        <v>168</v>
      </c>
      <c r="K48" s="266" t="s">
        <v>190</v>
      </c>
      <c r="L48" s="266" t="s">
        <v>261</v>
      </c>
      <c r="M48" s="1063" t="s">
        <v>2060</v>
      </c>
    </row>
    <row r="49" spans="1:16" ht="15.5" thickTop="1" thickBot="1" x14ac:dyDescent="0.4">
      <c r="B49" s="197"/>
      <c r="C49" s="197"/>
      <c r="D49" s="197"/>
      <c r="E49" s="1335" t="s">
        <v>250</v>
      </c>
      <c r="F49" s="1336"/>
      <c r="G49" s="1337"/>
      <c r="H49" s="1328"/>
      <c r="I49" s="267" t="s">
        <v>187</v>
      </c>
      <c r="J49" s="1328"/>
      <c r="K49" s="267" t="s">
        <v>191</v>
      </c>
      <c r="L49" s="267" t="s">
        <v>187</v>
      </c>
      <c r="M49" s="1064" t="s">
        <v>2061</v>
      </c>
    </row>
    <row r="50" spans="1:16" ht="17" thickTop="1" x14ac:dyDescent="0.35">
      <c r="B50" s="197"/>
      <c r="C50" s="197"/>
      <c r="D50" s="197"/>
      <c r="E50" s="30" t="s">
        <v>42</v>
      </c>
      <c r="F50" s="30" t="s">
        <v>40</v>
      </c>
      <c r="G50" s="30" t="s">
        <v>208</v>
      </c>
      <c r="H50" s="56" t="s">
        <v>258</v>
      </c>
      <c r="I50" s="56" t="s">
        <v>257</v>
      </c>
      <c r="J50" s="265" t="s">
        <v>292</v>
      </c>
      <c r="K50" s="199" t="s">
        <v>389</v>
      </c>
      <c r="L50" s="199" t="s">
        <v>390</v>
      </c>
      <c r="M50" s="199"/>
    </row>
    <row r="51" spans="1:16" x14ac:dyDescent="0.35">
      <c r="B51" s="197"/>
      <c r="C51" s="197"/>
      <c r="D51" s="197"/>
      <c r="E51" s="200" t="s">
        <v>109</v>
      </c>
      <c r="F51" s="200" t="s">
        <v>108</v>
      </c>
      <c r="G51" s="671" t="s">
        <v>2054</v>
      </c>
      <c r="H51" s="200" t="s">
        <v>2055</v>
      </c>
      <c r="I51" s="200" t="s">
        <v>2056</v>
      </c>
      <c r="J51" s="200" t="s">
        <v>2057</v>
      </c>
      <c r="K51" s="671" t="s">
        <v>2058</v>
      </c>
      <c r="L51" s="671" t="s">
        <v>2059</v>
      </c>
    </row>
    <row r="52" spans="1:16" ht="15" thickBot="1" x14ac:dyDescent="0.4">
      <c r="A52" s="3" t="s">
        <v>255</v>
      </c>
      <c r="B52" s="829" t="s">
        <v>251</v>
      </c>
      <c r="C52" s="829" t="s">
        <v>143</v>
      </c>
      <c r="D52" s="567">
        <v>5</v>
      </c>
      <c r="E52" s="27">
        <f>ROUND(G12/$D52,2)</f>
        <v>35.75</v>
      </c>
      <c r="F52" s="27">
        <f>ROUND(G14/$D52,2)</f>
        <v>22.93</v>
      </c>
      <c r="G52" s="27">
        <f>ROUND((E52*4+F52*8)/12,2)</f>
        <v>27.2</v>
      </c>
    </row>
    <row r="53" spans="1:16" ht="15" thickBot="1" x14ac:dyDescent="0.4">
      <c r="A53" s="3" t="s">
        <v>256</v>
      </c>
      <c r="B53" s="108"/>
      <c r="C53" s="829" t="s">
        <v>141</v>
      </c>
      <c r="D53" s="567">
        <f>D52</f>
        <v>5</v>
      </c>
      <c r="E53" s="268">
        <f>G13</f>
        <v>31.369999999999997</v>
      </c>
      <c r="F53" s="269">
        <f>G15</f>
        <v>19.97</v>
      </c>
      <c r="G53" s="27">
        <f>ROUND((E53*4+F53*8)/12,2)</f>
        <v>23.77</v>
      </c>
      <c r="I53" s="3"/>
      <c r="J53" s="30"/>
      <c r="K53" s="30"/>
    </row>
    <row r="54" spans="1:16" x14ac:dyDescent="0.35">
      <c r="C54" s="123"/>
      <c r="D54" s="36"/>
      <c r="E54" s="198"/>
      <c r="I54" s="3"/>
    </row>
    <row r="55" spans="1:16" ht="15" thickBot="1" x14ac:dyDescent="0.4">
      <c r="A55" s="3" t="s">
        <v>259</v>
      </c>
      <c r="B55" s="123" t="str">
        <f>$B$52</f>
        <v>0</v>
      </c>
      <c r="C55" s="123" t="str">
        <f>$C$52</f>
        <v>-</v>
      </c>
      <c r="D55" s="123">
        <f>$D$52</f>
        <v>5</v>
      </c>
      <c r="E55" s="27">
        <f>ROUND(G16/$D55,2)</f>
        <v>27.26</v>
      </c>
      <c r="F55" s="27">
        <f>ROUND(G18/$D55,2)</f>
        <v>14.45</v>
      </c>
      <c r="G55" s="27">
        <f>ROUND((E55*4+F55*8)/12,2)</f>
        <v>18.72</v>
      </c>
      <c r="H55" s="521">
        <f>G52-G55</f>
        <v>8.48</v>
      </c>
      <c r="I55" s="81">
        <f>ROUND(G55/G52,2)</f>
        <v>0.69</v>
      </c>
      <c r="J55" s="203">
        <f>H44</f>
        <v>0.66152338966446245</v>
      </c>
      <c r="K55" s="870">
        <f>ROUND(I55-ROUND((I55-J55)*(K46/$K$47),4),2)</f>
        <v>0.66</v>
      </c>
      <c r="L55" s="314">
        <f>ROUND(H55/(1-I55)*(1-K55),2)</f>
        <v>9.3000000000000007</v>
      </c>
      <c r="M55" s="35">
        <f>ROUND((L55-H55)*D55,2)</f>
        <v>4.0999999999999996</v>
      </c>
      <c r="N55" s="3" t="s">
        <v>298</v>
      </c>
      <c r="O55" s="136" t="s">
        <v>2062</v>
      </c>
    </row>
    <row r="56" spans="1:16" ht="15" thickBot="1" x14ac:dyDescent="0.4">
      <c r="A56" s="3" t="s">
        <v>260</v>
      </c>
      <c r="C56" s="123" t="str">
        <f>$C$53</f>
        <v>&gt;</v>
      </c>
      <c r="D56" s="123">
        <f>$D$53</f>
        <v>5</v>
      </c>
      <c r="E56" s="268">
        <f>G17</f>
        <v>23.81</v>
      </c>
      <c r="F56" s="269">
        <f>G19</f>
        <v>12.41</v>
      </c>
      <c r="G56" s="27">
        <f>ROUND((E56*4+F56*8)/12,2)</f>
        <v>16.21</v>
      </c>
      <c r="H56" s="521">
        <f>G53-G56</f>
        <v>7.5599999999999987</v>
      </c>
      <c r="I56" s="81">
        <f>ROUND(G56/G53,2)</f>
        <v>0.68</v>
      </c>
      <c r="J56" s="203">
        <f>H44</f>
        <v>0.66152338966446245</v>
      </c>
      <c r="K56" s="870">
        <f>ROUND(I56-ROUND((I56-J56)*(K46/$K$47),4),2)</f>
        <v>0.66</v>
      </c>
      <c r="L56" s="314">
        <f>ROUND(H56/(1-I56)*(1-K56),2)</f>
        <v>8.0299999999999994</v>
      </c>
      <c r="M56" s="35">
        <f>ROUND((L56-H56),2)</f>
        <v>0.47</v>
      </c>
      <c r="N56" s="3" t="s">
        <v>188</v>
      </c>
      <c r="O56" s="136" t="s">
        <v>2063</v>
      </c>
    </row>
    <row r="57" spans="1:16" x14ac:dyDescent="0.35">
      <c r="A57" s="197"/>
      <c r="B57" s="197"/>
      <c r="C57" s="197"/>
      <c r="D57" s="197"/>
      <c r="E57" s="198"/>
    </row>
    <row r="58" spans="1:16" x14ac:dyDescent="0.35">
      <c r="A58" s="197"/>
      <c r="B58" s="197"/>
      <c r="C58" s="197"/>
      <c r="D58" s="197"/>
      <c r="E58" s="198"/>
    </row>
    <row r="59" spans="1:16" x14ac:dyDescent="0.35">
      <c r="A59" s="838" t="s">
        <v>380</v>
      </c>
      <c r="B59" s="197"/>
      <c r="C59" s="197"/>
      <c r="D59" s="197"/>
      <c r="E59" s="198"/>
    </row>
    <row r="60" spans="1:16" ht="15" thickBot="1" x14ac:dyDescent="0.4">
      <c r="A60" s="197"/>
      <c r="B60" s="197"/>
      <c r="C60" s="197"/>
      <c r="D60" s="197"/>
      <c r="E60" s="198"/>
      <c r="N60" s="33" t="s">
        <v>382</v>
      </c>
      <c r="O60" s="83">
        <f>F65</f>
        <v>114.67</v>
      </c>
      <c r="P60" s="136" t="s">
        <v>2064</v>
      </c>
    </row>
    <row r="61" spans="1:16" ht="15.5" thickTop="1" thickBot="1" x14ac:dyDescent="0.4">
      <c r="E61" s="1338" t="s">
        <v>397</v>
      </c>
      <c r="F61" s="1339"/>
      <c r="H61" s="1329" t="s">
        <v>377</v>
      </c>
      <c r="I61" s="1330"/>
      <c r="J61" s="1330"/>
      <c r="K61" s="1330"/>
      <c r="L61" s="1330"/>
      <c r="M61" s="1330"/>
      <c r="N61" s="1330"/>
      <c r="O61" s="1331"/>
    </row>
    <row r="62" spans="1:16" ht="15.5" thickTop="1" thickBot="1" x14ac:dyDescent="0.4">
      <c r="A62" s="197" t="str">
        <f>CONCATENATE($A$2," ",$A$3)</f>
        <v>SC5 Rate I</v>
      </c>
      <c r="B62" s="197"/>
      <c r="C62" s="197"/>
      <c r="D62" s="197"/>
      <c r="E62" s="1307" t="s">
        <v>250</v>
      </c>
      <c r="F62" s="1309"/>
      <c r="H62" s="1307" t="s">
        <v>254</v>
      </c>
      <c r="I62" s="1309"/>
      <c r="J62" s="1307" t="s">
        <v>299</v>
      </c>
      <c r="K62" s="1309"/>
      <c r="L62" s="1307" t="s">
        <v>77</v>
      </c>
      <c r="M62" s="1309"/>
      <c r="N62" s="1307" t="s">
        <v>381</v>
      </c>
      <c r="O62" s="1309"/>
    </row>
    <row r="63" spans="1:16" ht="15" thickTop="1" x14ac:dyDescent="0.35">
      <c r="A63" s="197"/>
      <c r="B63" s="197"/>
      <c r="C63" s="197"/>
      <c r="D63" s="197"/>
      <c r="E63" s="30" t="s">
        <v>42</v>
      </c>
      <c r="F63" s="30" t="s">
        <v>40</v>
      </c>
      <c r="G63" s="33"/>
      <c r="H63" s="30" t="s">
        <v>42</v>
      </c>
      <c r="I63" s="30" t="s">
        <v>40</v>
      </c>
      <c r="J63" s="30" t="s">
        <v>42</v>
      </c>
      <c r="K63" s="30" t="s">
        <v>40</v>
      </c>
      <c r="L63" s="30" t="s">
        <v>42</v>
      </c>
      <c r="M63" s="30" t="s">
        <v>40</v>
      </c>
      <c r="N63" s="30" t="s">
        <v>42</v>
      </c>
      <c r="O63" s="30" t="s">
        <v>40</v>
      </c>
    </row>
    <row r="64" spans="1:16" ht="15" thickBot="1" x14ac:dyDescent="0.4">
      <c r="A64" s="197"/>
      <c r="B64" s="197"/>
      <c r="C64" s="197"/>
      <c r="D64" s="197"/>
      <c r="E64" s="200" t="s">
        <v>50</v>
      </c>
      <c r="F64" s="200" t="s">
        <v>49</v>
      </c>
      <c r="G64" s="33" t="s">
        <v>388</v>
      </c>
      <c r="H64" s="200" t="s">
        <v>2066</v>
      </c>
      <c r="I64" s="30"/>
      <c r="J64" s="330">
        <f>M55</f>
        <v>4.0999999999999996</v>
      </c>
      <c r="K64" s="136" t="s">
        <v>1733</v>
      </c>
      <c r="L64" s="30"/>
      <c r="M64" s="30"/>
      <c r="N64" s="30"/>
      <c r="O64" s="30"/>
    </row>
    <row r="65" spans="1:16" ht="15" thickBot="1" x14ac:dyDescent="0.4">
      <c r="A65" s="3" t="s">
        <v>252</v>
      </c>
      <c r="B65" s="123" t="str">
        <f>$B$52</f>
        <v>0</v>
      </c>
      <c r="C65" s="123" t="str">
        <f>$C$52</f>
        <v>-</v>
      </c>
      <c r="D65" s="123">
        <f>$D$52</f>
        <v>5</v>
      </c>
      <c r="E65" s="312">
        <f>G12</f>
        <v>178.73</v>
      </c>
      <c r="F65" s="312">
        <f>G14</f>
        <v>114.67</v>
      </c>
      <c r="G65" s="33" t="s">
        <v>384</v>
      </c>
      <c r="H65" s="313">
        <f>E65-$F$65</f>
        <v>64.059999999999988</v>
      </c>
      <c r="I65" s="314"/>
      <c r="J65" s="313">
        <f>H65</f>
        <v>64.059999999999988</v>
      </c>
      <c r="K65" s="314"/>
      <c r="L65" s="315" t="str">
        <f>CONCATENATE($M$65," + ",J65)</f>
        <v>X + 64.06</v>
      </c>
      <c r="M65" s="316" t="s">
        <v>32</v>
      </c>
      <c r="N65" s="315">
        <f>$O$60+J65</f>
        <v>178.73</v>
      </c>
      <c r="O65" s="316">
        <f>$O$60+K65</f>
        <v>114.67</v>
      </c>
    </row>
    <row r="66" spans="1:16" ht="15" thickBot="1" x14ac:dyDescent="0.4">
      <c r="C66" s="123" t="str">
        <f>$C$53</f>
        <v>&gt;</v>
      </c>
      <c r="D66" s="123">
        <f>$D$53</f>
        <v>5</v>
      </c>
      <c r="E66" s="321">
        <f>G13</f>
        <v>31.369999999999997</v>
      </c>
      <c r="F66" s="322">
        <f>G15</f>
        <v>19.97</v>
      </c>
      <c r="G66" s="33"/>
      <c r="H66" s="313"/>
      <c r="I66" s="314"/>
      <c r="J66" s="313"/>
      <c r="K66" s="314"/>
      <c r="L66" s="317"/>
      <c r="M66" s="318"/>
      <c r="N66" s="317"/>
      <c r="O66" s="318"/>
    </row>
    <row r="67" spans="1:16" x14ac:dyDescent="0.35">
      <c r="C67" s="123"/>
      <c r="D67" s="36"/>
      <c r="E67" s="200" t="s">
        <v>48</v>
      </c>
      <c r="F67" s="200" t="s">
        <v>47</v>
      </c>
      <c r="H67" s="200" t="s">
        <v>2067</v>
      </c>
      <c r="I67" s="200" t="s">
        <v>2068</v>
      </c>
      <c r="J67" s="200" t="s">
        <v>2069</v>
      </c>
      <c r="K67" s="200" t="s">
        <v>2070</v>
      </c>
      <c r="L67" s="337"/>
      <c r="M67" s="338"/>
      <c r="N67" s="337"/>
      <c r="O67" s="338"/>
    </row>
    <row r="68" spans="1:16" ht="15" thickBot="1" x14ac:dyDescent="0.4">
      <c r="A68" s="3" t="s">
        <v>253</v>
      </c>
      <c r="B68" s="123" t="str">
        <f>$B$52</f>
        <v>0</v>
      </c>
      <c r="C68" s="123" t="str">
        <f>$C$52</f>
        <v>-</v>
      </c>
      <c r="D68" s="123">
        <f>$D$52</f>
        <v>5</v>
      </c>
      <c r="E68" s="312">
        <f>G16</f>
        <v>136.30000000000001</v>
      </c>
      <c r="F68" s="312">
        <f>G18</f>
        <v>72.23</v>
      </c>
      <c r="G68" s="33" t="s">
        <v>385</v>
      </c>
      <c r="H68" s="313">
        <f>E68-$F$65</f>
        <v>21.63000000000001</v>
      </c>
      <c r="I68" s="313">
        <f>F68-$F$65</f>
        <v>-42.44</v>
      </c>
      <c r="J68" s="313">
        <f>H68-$J$64</f>
        <v>17.530000000000008</v>
      </c>
      <c r="K68" s="313">
        <f>I68-$J$64</f>
        <v>-46.54</v>
      </c>
      <c r="L68" s="319" t="str">
        <f>CONCATENATE($M$65," + ",J68)</f>
        <v>X + 17.53</v>
      </c>
      <c r="M68" s="320" t="str">
        <f>CONCATENATE($M$65," + ",K68)</f>
        <v>X + -46.54</v>
      </c>
      <c r="N68" s="319">
        <f>$O$60+J68</f>
        <v>132.20000000000002</v>
      </c>
      <c r="O68" s="320">
        <f>$O$60+K68</f>
        <v>68.13</v>
      </c>
    </row>
    <row r="69" spans="1:16" ht="15" thickBot="1" x14ac:dyDescent="0.4">
      <c r="C69" s="123" t="str">
        <f>$C$53</f>
        <v>&gt;</v>
      </c>
      <c r="D69" s="123">
        <f>$D$53</f>
        <v>5</v>
      </c>
      <c r="E69" s="321">
        <f>G17</f>
        <v>23.81</v>
      </c>
      <c r="F69" s="322">
        <f>G19</f>
        <v>12.41</v>
      </c>
      <c r="G69" s="33"/>
    </row>
    <row r="70" spans="1:16" ht="15" thickBot="1" x14ac:dyDescent="0.4">
      <c r="A70" s="197"/>
      <c r="B70" s="197"/>
      <c r="C70" s="197"/>
      <c r="D70" s="197"/>
      <c r="E70" s="198"/>
      <c r="G70" s="33"/>
      <c r="N70" s="33" t="s">
        <v>383</v>
      </c>
      <c r="O70" s="83">
        <f>F66</f>
        <v>19.97</v>
      </c>
      <c r="P70" s="136" t="s">
        <v>2065</v>
      </c>
    </row>
    <row r="71" spans="1:16" ht="15.5" thickTop="1" thickBot="1" x14ac:dyDescent="0.4">
      <c r="A71" s="197"/>
      <c r="B71" s="197"/>
      <c r="C71" s="197"/>
      <c r="D71" s="197"/>
      <c r="E71" s="198"/>
      <c r="G71" s="33"/>
      <c r="H71" s="1329" t="s">
        <v>376</v>
      </c>
      <c r="I71" s="1330"/>
      <c r="J71" s="1330"/>
      <c r="K71" s="1330"/>
      <c r="L71" s="1330"/>
      <c r="M71" s="1330"/>
      <c r="N71" s="1330"/>
      <c r="O71" s="1331"/>
    </row>
    <row r="72" spans="1:16" ht="15.5" thickTop="1" thickBot="1" x14ac:dyDescent="0.4">
      <c r="A72" s="197"/>
      <c r="B72" s="197"/>
      <c r="C72" s="197"/>
      <c r="D72" s="197"/>
      <c r="E72" s="198"/>
      <c r="G72" s="33"/>
      <c r="H72" s="1307" t="s">
        <v>254</v>
      </c>
      <c r="I72" s="1309"/>
      <c r="J72" s="1307" t="s">
        <v>299</v>
      </c>
      <c r="K72" s="1309"/>
      <c r="L72" s="1307" t="s">
        <v>77</v>
      </c>
      <c r="M72" s="1309"/>
      <c r="N72" s="1307" t="s">
        <v>381</v>
      </c>
      <c r="O72" s="1309"/>
    </row>
    <row r="73" spans="1:16" ht="15" thickTop="1" x14ac:dyDescent="0.35">
      <c r="A73" s="197"/>
      <c r="B73" s="197"/>
      <c r="C73" s="197"/>
      <c r="D73" s="197"/>
      <c r="E73" s="198"/>
      <c r="G73" s="33"/>
      <c r="H73" s="30" t="s">
        <v>42</v>
      </c>
      <c r="I73" s="30" t="s">
        <v>40</v>
      </c>
      <c r="J73" s="30" t="s">
        <v>42</v>
      </c>
      <c r="K73" s="30" t="s">
        <v>40</v>
      </c>
      <c r="L73" s="30" t="s">
        <v>42</v>
      </c>
      <c r="M73" s="30" t="s">
        <v>40</v>
      </c>
      <c r="N73" s="30" t="s">
        <v>42</v>
      </c>
      <c r="O73" s="30" t="s">
        <v>40</v>
      </c>
    </row>
    <row r="74" spans="1:16" ht="15" thickBot="1" x14ac:dyDescent="0.4">
      <c r="A74" s="197"/>
      <c r="B74" s="197"/>
      <c r="C74" s="197"/>
      <c r="D74" s="197"/>
      <c r="E74" s="198"/>
      <c r="G74" s="33" t="s">
        <v>388</v>
      </c>
      <c r="H74" s="200" t="s">
        <v>2066</v>
      </c>
      <c r="I74" s="30"/>
      <c r="J74" s="330">
        <f>M56</f>
        <v>0.47</v>
      </c>
      <c r="K74" s="136" t="s">
        <v>1734</v>
      </c>
      <c r="L74" s="30"/>
      <c r="M74" s="30"/>
      <c r="N74" s="30"/>
      <c r="O74" s="30"/>
    </row>
    <row r="75" spans="1:16" x14ac:dyDescent="0.35">
      <c r="A75" s="197"/>
      <c r="B75" s="197"/>
      <c r="C75" s="197"/>
      <c r="D75" s="197"/>
      <c r="E75" s="198"/>
      <c r="G75" s="33" t="s">
        <v>386</v>
      </c>
      <c r="H75" s="323">
        <f>E66-$F$66</f>
        <v>11.399999999999999</v>
      </c>
      <c r="I75" s="323"/>
      <c r="J75" s="340">
        <f>H75</f>
        <v>11.399999999999999</v>
      </c>
      <c r="K75" s="340"/>
      <c r="L75" s="324" t="str">
        <f>CONCATENATE($M$75," + ",J75)</f>
        <v>X + 11.4</v>
      </c>
      <c r="M75" s="325" t="s">
        <v>32</v>
      </c>
      <c r="N75" s="324">
        <f>$O$70+J75</f>
        <v>31.369999999999997</v>
      </c>
      <c r="O75" s="325">
        <f>O70</f>
        <v>19.97</v>
      </c>
    </row>
    <row r="76" spans="1:16" x14ac:dyDescent="0.35">
      <c r="A76" s="197"/>
      <c r="B76" s="197"/>
      <c r="C76" s="197"/>
      <c r="D76" s="197"/>
      <c r="E76" s="198"/>
      <c r="G76" s="33"/>
      <c r="H76" s="200" t="s">
        <v>2067</v>
      </c>
      <c r="I76" s="200" t="s">
        <v>2068</v>
      </c>
      <c r="J76" s="200" t="s">
        <v>2071</v>
      </c>
      <c r="K76" s="200" t="s">
        <v>2072</v>
      </c>
      <c r="L76" s="326"/>
      <c r="M76" s="327"/>
      <c r="N76" s="326"/>
      <c r="O76" s="327"/>
    </row>
    <row r="77" spans="1:16" ht="15" thickBot="1" x14ac:dyDescent="0.4">
      <c r="A77" s="197"/>
      <c r="B77" s="197"/>
      <c r="C77" s="197"/>
      <c r="D77" s="197"/>
      <c r="E77" s="198"/>
      <c r="G77" s="33" t="s">
        <v>387</v>
      </c>
      <c r="H77" s="323">
        <f>E69-$F$66</f>
        <v>3.84</v>
      </c>
      <c r="I77" s="323">
        <f>F69-$F$66</f>
        <v>-7.5599999999999987</v>
      </c>
      <c r="J77" s="340">
        <f>H77-$J$74</f>
        <v>3.37</v>
      </c>
      <c r="K77" s="340">
        <f>I77-$J$74</f>
        <v>-8.0299999999999994</v>
      </c>
      <c r="L77" s="328" t="str">
        <f>CONCATENATE($M$75," + ",J77)</f>
        <v>X + 3.37</v>
      </c>
      <c r="M77" s="329" t="str">
        <f>CONCATENATE($M$75," + ",K77)</f>
        <v>X + -8.03</v>
      </c>
      <c r="N77" s="328">
        <f>$O$70+J77</f>
        <v>23.34</v>
      </c>
      <c r="O77" s="329">
        <f>$O$70+K77</f>
        <v>11.94</v>
      </c>
    </row>
    <row r="78" spans="1:16" x14ac:dyDescent="0.35">
      <c r="A78" s="197"/>
      <c r="B78" s="197"/>
      <c r="C78" s="197"/>
      <c r="D78" s="197"/>
      <c r="E78" s="198"/>
      <c r="G78" s="33"/>
    </row>
    <row r="79" spans="1:16" x14ac:dyDescent="0.35">
      <c r="A79" s="407" t="s">
        <v>1543</v>
      </c>
      <c r="B79" s="197"/>
      <c r="C79" s="197"/>
      <c r="D79" s="197"/>
      <c r="E79" s="198"/>
    </row>
    <row r="80" spans="1:16" x14ac:dyDescent="0.35">
      <c r="A80"/>
      <c r="B80"/>
      <c r="C80"/>
      <c r="D80"/>
      <c r="F80" s="135" t="s">
        <v>26</v>
      </c>
      <c r="G80" s="135" t="s">
        <v>116</v>
      </c>
      <c r="H80" s="135" t="s">
        <v>115</v>
      </c>
      <c r="L80" s="35"/>
      <c r="M80" s="35"/>
      <c r="N80" s="35"/>
      <c r="O80" s="35"/>
    </row>
    <row r="81" spans="1:13" x14ac:dyDescent="0.35">
      <c r="A81" t="s">
        <v>114</v>
      </c>
      <c r="B81" s="296">
        <f>$L$7</f>
        <v>0</v>
      </c>
      <c r="C81" s="296" t="str">
        <f>$M$7</f>
        <v>-</v>
      </c>
      <c r="D81" s="296">
        <f>$N$7</f>
        <v>5</v>
      </c>
      <c r="E81" s="3" t="s">
        <v>25</v>
      </c>
      <c r="F81" s="515">
        <f>O10</f>
        <v>36</v>
      </c>
      <c r="G81" s="516">
        <f>G12</f>
        <v>178.73</v>
      </c>
      <c r="H81" s="134">
        <f>ROUND(F81*G81,0)</f>
        <v>6434</v>
      </c>
      <c r="I81" s="136" t="s">
        <v>2073</v>
      </c>
    </row>
    <row r="82" spans="1:13" x14ac:dyDescent="0.35">
      <c r="A82" t="s">
        <v>113</v>
      </c>
      <c r="B82" s="296">
        <f>$L$12</f>
        <v>0</v>
      </c>
      <c r="C82" s="296" t="str">
        <f>$M$12</f>
        <v>-</v>
      </c>
      <c r="D82" s="296">
        <f>$N$12</f>
        <v>5</v>
      </c>
      <c r="E82" s="3" t="s">
        <v>25</v>
      </c>
      <c r="F82" s="515">
        <f>O15</f>
        <v>74</v>
      </c>
      <c r="G82" s="516">
        <f>G14</f>
        <v>114.67</v>
      </c>
      <c r="H82" s="134">
        <f>ROUND(F82*G82,0)</f>
        <v>8486</v>
      </c>
      <c r="I82" s="136" t="s">
        <v>2074</v>
      </c>
      <c r="L82" s="35"/>
      <c r="M82" s="35"/>
    </row>
    <row r="83" spans="1:13" x14ac:dyDescent="0.35">
      <c r="A83" t="s">
        <v>112</v>
      </c>
      <c r="B83" s="296">
        <f>$L$17</f>
        <v>0</v>
      </c>
      <c r="C83" s="296" t="str">
        <f>$M$17</f>
        <v>-</v>
      </c>
      <c r="D83" s="296">
        <f>$N$17</f>
        <v>5</v>
      </c>
      <c r="E83" s="3" t="s">
        <v>25</v>
      </c>
      <c r="F83" s="515">
        <f>O20</f>
        <v>0</v>
      </c>
      <c r="G83" s="516">
        <f>N68</f>
        <v>132.20000000000002</v>
      </c>
      <c r="H83" s="134">
        <f>ROUND(F83*G83,0)</f>
        <v>0</v>
      </c>
      <c r="I83" s="136" t="s">
        <v>2075</v>
      </c>
    </row>
    <row r="84" spans="1:13" x14ac:dyDescent="0.35">
      <c r="A84" t="s">
        <v>111</v>
      </c>
      <c r="B84" s="296">
        <f>$L$22</f>
        <v>0</v>
      </c>
      <c r="C84" s="296" t="str">
        <f>$M$22</f>
        <v>-</v>
      </c>
      <c r="D84" s="296">
        <f>$N$22</f>
        <v>5</v>
      </c>
      <c r="E84" s="3" t="s">
        <v>25</v>
      </c>
      <c r="F84" s="515">
        <f>O25</f>
        <v>0</v>
      </c>
      <c r="G84" s="516">
        <f>O68</f>
        <v>68.13</v>
      </c>
      <c r="H84" s="134">
        <f>ROUND(F84*G84,0)</f>
        <v>0</v>
      </c>
      <c r="I84" s="136" t="s">
        <v>2076</v>
      </c>
    </row>
    <row r="85" spans="1:13" x14ac:dyDescent="0.35">
      <c r="A85" t="s">
        <v>110</v>
      </c>
      <c r="B85"/>
      <c r="C85"/>
      <c r="D85"/>
      <c r="F85"/>
      <c r="G85"/>
      <c r="H85" s="140">
        <f>SUM(H81:H84)</f>
        <v>14920</v>
      </c>
      <c r="I85" s="136" t="s">
        <v>2077</v>
      </c>
    </row>
    <row r="86" spans="1:13" ht="15" thickBot="1" x14ac:dyDescent="0.4">
      <c r="A86" t="s">
        <v>391</v>
      </c>
      <c r="B86"/>
      <c r="C86"/>
      <c r="D86"/>
      <c r="F86"/>
      <c r="G86"/>
      <c r="H86" s="280"/>
      <c r="I86" s="136" t="s">
        <v>2078</v>
      </c>
    </row>
    <row r="87" spans="1:13" ht="15.5" thickTop="1" thickBot="1" x14ac:dyDescent="0.4">
      <c r="A87" t="s">
        <v>392</v>
      </c>
      <c r="B87"/>
      <c r="C87"/>
      <c r="D87"/>
      <c r="F87"/>
      <c r="G87"/>
      <c r="H87" s="138">
        <f>ROUND(H85*(1+H86),0)</f>
        <v>14920</v>
      </c>
      <c r="I87" s="136" t="s">
        <v>2079</v>
      </c>
    </row>
    <row r="88" spans="1:13" ht="15" thickTop="1" x14ac:dyDescent="0.35">
      <c r="A88" s="197"/>
      <c r="B88" s="197"/>
      <c r="C88" s="197"/>
      <c r="D88" s="197"/>
      <c r="E88" s="198"/>
    </row>
    <row r="89" spans="1:13" x14ac:dyDescent="0.35">
      <c r="A89" s="197"/>
      <c r="B89" s="197"/>
      <c r="C89" s="197"/>
      <c r="D89" s="197"/>
      <c r="E89" s="198"/>
    </row>
    <row r="90" spans="1:13" x14ac:dyDescent="0.35">
      <c r="A90" s="407" t="s">
        <v>1542</v>
      </c>
      <c r="B90" s="197"/>
      <c r="C90" s="197"/>
      <c r="D90" s="197"/>
      <c r="E90" s="198"/>
    </row>
    <row r="91" spans="1:13" x14ac:dyDescent="0.35">
      <c r="A91" s="197" t="str">
        <f>CONCATENATE($A$2," ",$A$3)</f>
        <v>SC5 Rate I</v>
      </c>
      <c r="B91" s="197"/>
      <c r="C91" s="197"/>
      <c r="D91" s="197"/>
      <c r="E91" s="198"/>
    </row>
    <row r="92" spans="1:13" x14ac:dyDescent="0.35">
      <c r="A92" s="226" t="s">
        <v>301</v>
      </c>
      <c r="B92" s="197"/>
      <c r="C92" s="197"/>
      <c r="D92" s="197"/>
      <c r="E92" s="198"/>
      <c r="H92" s="278">
        <f>H27</f>
        <v>40621</v>
      </c>
      <c r="J92" s="136" t="s">
        <v>1694</v>
      </c>
    </row>
    <row r="93" spans="1:13" x14ac:dyDescent="0.35">
      <c r="A93" s="226" t="s">
        <v>303</v>
      </c>
      <c r="B93" s="197"/>
      <c r="C93" s="197"/>
      <c r="D93" s="197"/>
      <c r="E93" s="198"/>
      <c r="H93" s="279">
        <f>H28</f>
        <v>1346</v>
      </c>
      <c r="J93" s="136" t="s">
        <v>1695</v>
      </c>
    </row>
    <row r="94" spans="1:13" x14ac:dyDescent="0.35">
      <c r="B94" s="197"/>
      <c r="C94" s="197"/>
      <c r="D94" s="197"/>
      <c r="E94" s="198"/>
      <c r="I94" s="277">
        <f>H92+H93</f>
        <v>41967</v>
      </c>
      <c r="J94" s="136" t="s">
        <v>2080</v>
      </c>
    </row>
    <row r="95" spans="1:13" ht="15" thickBot="1" x14ac:dyDescent="0.4">
      <c r="A95" s="226" t="s">
        <v>393</v>
      </c>
      <c r="B95" s="197"/>
      <c r="C95" s="197"/>
      <c r="D95" s="197"/>
      <c r="E95" s="198"/>
      <c r="I95" s="278">
        <f>H87</f>
        <v>14920</v>
      </c>
      <c r="J95" s="136" t="s">
        <v>2081</v>
      </c>
    </row>
    <row r="96" spans="1:13" ht="15.5" thickTop="1" thickBot="1" x14ac:dyDescent="0.4">
      <c r="A96" s="75" t="s">
        <v>394</v>
      </c>
      <c r="B96" s="197"/>
      <c r="C96" s="197"/>
      <c r="D96" s="197"/>
      <c r="E96" s="198"/>
      <c r="I96" s="333">
        <f>I94-I95</f>
        <v>27047</v>
      </c>
      <c r="J96" s="136" t="s">
        <v>2082</v>
      </c>
    </row>
    <row r="97" spans="1:11" ht="15" thickTop="1" x14ac:dyDescent="0.35">
      <c r="A97" s="197"/>
      <c r="B97" s="197"/>
      <c r="C97" s="197"/>
      <c r="D97" s="197"/>
      <c r="E97" s="198"/>
    </row>
    <row r="98" spans="1:11" x14ac:dyDescent="0.35">
      <c r="A98" s="197"/>
      <c r="B98" s="197"/>
      <c r="C98" s="197"/>
      <c r="D98" s="197"/>
      <c r="E98" s="198"/>
    </row>
    <row r="99" spans="1:11" x14ac:dyDescent="0.35">
      <c r="A99" s="334" t="s">
        <v>395</v>
      </c>
      <c r="B99" s="197"/>
      <c r="C99" s="197"/>
      <c r="D99" s="197"/>
      <c r="E99" s="198"/>
    </row>
    <row r="100" spans="1:11" x14ac:dyDescent="0.35">
      <c r="A100" s="197" t="str">
        <f>CONCATENATE($A$2," ",$A$3)</f>
        <v>SC5 Rate I</v>
      </c>
      <c r="B100" s="197"/>
      <c r="C100" s="197"/>
      <c r="D100" s="197"/>
      <c r="E100" s="198"/>
    </row>
    <row r="101" spans="1:11" ht="15" thickBot="1" x14ac:dyDescent="0.4">
      <c r="A101" s="86" t="s">
        <v>300</v>
      </c>
      <c r="B101" s="197"/>
      <c r="C101" s="197"/>
      <c r="D101" s="197"/>
      <c r="E101" s="30"/>
      <c r="G101" s="30" t="s">
        <v>25</v>
      </c>
    </row>
    <row r="102" spans="1:11" x14ac:dyDescent="0.35">
      <c r="A102" s="3" t="s">
        <v>114</v>
      </c>
      <c r="B102" s="197"/>
      <c r="C102" s="271" t="str">
        <f>C66</f>
        <v>&gt;</v>
      </c>
      <c r="D102" s="271">
        <f>D66</f>
        <v>5</v>
      </c>
      <c r="E102" s="3" t="s">
        <v>25</v>
      </c>
      <c r="G102" s="274">
        <f>P8</f>
        <v>190</v>
      </c>
      <c r="H102" s="74" t="str">
        <f>CONCATENATE("* [",$L$75,"]")</f>
        <v>* [X + 11.4]</v>
      </c>
      <c r="I102" s="136" t="s">
        <v>2091</v>
      </c>
    </row>
    <row r="103" spans="1:11" x14ac:dyDescent="0.35">
      <c r="A103" s="3" t="s">
        <v>113</v>
      </c>
      <c r="B103" s="197"/>
      <c r="C103" s="272" t="str">
        <f>$C$102</f>
        <v>&gt;</v>
      </c>
      <c r="D103" s="272">
        <f>$D$102</f>
        <v>5</v>
      </c>
      <c r="E103" s="3" t="s">
        <v>25</v>
      </c>
      <c r="G103" s="274">
        <f>P13</f>
        <v>1056</v>
      </c>
      <c r="H103" s="107" t="str">
        <f>CONCATENATE("* [",$M$75,"]")</f>
        <v>* [X]</v>
      </c>
      <c r="I103" s="136" t="s">
        <v>1763</v>
      </c>
    </row>
    <row r="104" spans="1:11" x14ac:dyDescent="0.35">
      <c r="A104" s="3" t="s">
        <v>112</v>
      </c>
      <c r="B104" s="197"/>
      <c r="C104" s="272" t="str">
        <f t="shared" ref="C104:C105" si="0">$C$102</f>
        <v>&gt;</v>
      </c>
      <c r="D104" s="272">
        <f t="shared" ref="D104:D105" si="1">$D$102</f>
        <v>5</v>
      </c>
      <c r="E104" s="3" t="s">
        <v>25</v>
      </c>
      <c r="G104" s="274">
        <f>P18</f>
        <v>0</v>
      </c>
      <c r="H104" s="107" t="str">
        <f>CONCATENATE("* [",$L$77,"]")</f>
        <v>* [X + 3.37]</v>
      </c>
      <c r="I104" s="136" t="s">
        <v>2092</v>
      </c>
    </row>
    <row r="105" spans="1:11" ht="15" thickBot="1" x14ac:dyDescent="0.4">
      <c r="A105" s="3" t="s">
        <v>111</v>
      </c>
      <c r="B105" s="197"/>
      <c r="C105" s="272" t="str">
        <f t="shared" si="0"/>
        <v>&gt;</v>
      </c>
      <c r="D105" s="272">
        <f t="shared" si="1"/>
        <v>5</v>
      </c>
      <c r="E105" s="3" t="s">
        <v>25</v>
      </c>
      <c r="G105" s="1062">
        <f>P23</f>
        <v>0</v>
      </c>
      <c r="H105" s="275" t="str">
        <f>CONCATENATE("* [",$M$77,"]")</f>
        <v>* [X + -8.03]</v>
      </c>
      <c r="I105" s="136" t="s">
        <v>2093</v>
      </c>
    </row>
    <row r="106" spans="1:11" x14ac:dyDescent="0.35">
      <c r="B106" s="197"/>
      <c r="C106" s="197"/>
      <c r="D106" s="197"/>
      <c r="E106" s="273"/>
      <c r="F106" s="273"/>
      <c r="G106" s="28">
        <f>SUM(G102:G105)</f>
        <v>1246</v>
      </c>
      <c r="H106" s="136" t="s">
        <v>1708</v>
      </c>
    </row>
    <row r="107" spans="1:11" x14ac:dyDescent="0.35">
      <c r="A107" s="70" t="s">
        <v>38</v>
      </c>
    </row>
    <row r="108" spans="1:11" x14ac:dyDescent="0.35">
      <c r="A108" s="197" t="str">
        <f>CONCATENATE($A$2," ",$A$3)</f>
        <v>SC5 Rate I</v>
      </c>
    </row>
    <row r="109" spans="1:11" x14ac:dyDescent="0.35">
      <c r="A109" s="3" t="s">
        <v>114</v>
      </c>
      <c r="B109" s="271" t="str">
        <f>C102</f>
        <v>&gt;</v>
      </c>
      <c r="C109" s="271">
        <f>D102</f>
        <v>5</v>
      </c>
      <c r="D109" s="3" t="s">
        <v>25</v>
      </c>
      <c r="E109" s="34">
        <f>I96</f>
        <v>27047</v>
      </c>
      <c r="F109" s="36" t="s">
        <v>31</v>
      </c>
      <c r="G109" s="28">
        <f>G102</f>
        <v>190</v>
      </c>
      <c r="H109" s="3" t="s">
        <v>396</v>
      </c>
      <c r="I109" s="308">
        <f>ROUND(G109*$J$75,0)</f>
        <v>2166</v>
      </c>
      <c r="J109" s="3" t="s">
        <v>62</v>
      </c>
      <c r="K109" s="136" t="s">
        <v>2083</v>
      </c>
    </row>
    <row r="110" spans="1:11" x14ac:dyDescent="0.35">
      <c r="A110" s="3" t="s">
        <v>113</v>
      </c>
      <c r="B110" s="272" t="str">
        <f>$C$102</f>
        <v>&gt;</v>
      </c>
      <c r="C110" s="272">
        <f>$D$102</f>
        <v>5</v>
      </c>
      <c r="D110" s="3" t="s">
        <v>25</v>
      </c>
      <c r="G110" s="28">
        <f>G103</f>
        <v>1056</v>
      </c>
      <c r="H110" s="3" t="s">
        <v>396</v>
      </c>
      <c r="I110" s="308">
        <f>ROUND(G110*$K$75,0)</f>
        <v>0</v>
      </c>
      <c r="J110" s="3" t="s">
        <v>62</v>
      </c>
      <c r="K110" s="136" t="s">
        <v>1763</v>
      </c>
    </row>
    <row r="111" spans="1:11" x14ac:dyDescent="0.35">
      <c r="A111" s="3" t="s">
        <v>112</v>
      </c>
      <c r="B111" s="272" t="str">
        <f t="shared" ref="B111:B112" si="2">$C$102</f>
        <v>&gt;</v>
      </c>
      <c r="C111" s="272">
        <f t="shared" ref="C111:C112" si="3">$D$102</f>
        <v>5</v>
      </c>
      <c r="D111" s="3" t="s">
        <v>25</v>
      </c>
      <c r="G111" s="28">
        <f>G104</f>
        <v>0</v>
      </c>
      <c r="H111" s="3" t="s">
        <v>396</v>
      </c>
      <c r="I111" s="308">
        <f>ROUND(G111*$J$77,0)</f>
        <v>0</v>
      </c>
      <c r="J111" s="3" t="s">
        <v>62</v>
      </c>
      <c r="K111" s="136" t="s">
        <v>2084</v>
      </c>
    </row>
    <row r="112" spans="1:11" x14ac:dyDescent="0.35">
      <c r="A112" s="3" t="s">
        <v>111</v>
      </c>
      <c r="B112" s="272" t="str">
        <f t="shared" si="2"/>
        <v>&gt;</v>
      </c>
      <c r="C112" s="272">
        <f t="shared" si="3"/>
        <v>5</v>
      </c>
      <c r="D112" s="3" t="s">
        <v>25</v>
      </c>
      <c r="G112" s="38">
        <f>G105</f>
        <v>0</v>
      </c>
      <c r="H112" s="3" t="s">
        <v>396</v>
      </c>
      <c r="I112" s="335">
        <f>ROUND(G112*$K$77,0)</f>
        <v>0</v>
      </c>
      <c r="J112" s="3" t="s">
        <v>62</v>
      </c>
      <c r="K112" s="136" t="s">
        <v>2085</v>
      </c>
    </row>
    <row r="113" spans="1:11" x14ac:dyDescent="0.35">
      <c r="E113" s="34">
        <f>E109</f>
        <v>27047</v>
      </c>
      <c r="F113" s="36" t="s">
        <v>31</v>
      </c>
      <c r="G113" s="28">
        <f>SUM(G109:G112)</f>
        <v>1246</v>
      </c>
      <c r="H113" s="3" t="s">
        <v>396</v>
      </c>
      <c r="I113" s="103">
        <f>SUM(I109:I112)</f>
        <v>2166</v>
      </c>
      <c r="J113" s="136" t="s">
        <v>2086</v>
      </c>
      <c r="K113" s="136" t="s">
        <v>2087</v>
      </c>
    </row>
    <row r="114" spans="1:11" x14ac:dyDescent="0.35">
      <c r="E114" s="34"/>
      <c r="F114" s="36"/>
      <c r="G114" s="28"/>
      <c r="I114" s="103"/>
      <c r="K114" s="136" t="s">
        <v>2088</v>
      </c>
    </row>
    <row r="115" spans="1:11" x14ac:dyDescent="0.35">
      <c r="E115" s="34">
        <f>E113-I113</f>
        <v>24881</v>
      </c>
      <c r="F115" s="36" t="s">
        <v>31</v>
      </c>
      <c r="G115" s="28">
        <f>G113</f>
        <v>1246</v>
      </c>
      <c r="H115" s="3" t="s">
        <v>32</v>
      </c>
      <c r="I115" s="103"/>
      <c r="K115" s="136" t="s">
        <v>2089</v>
      </c>
    </row>
    <row r="116" spans="1:11" ht="15" thickBot="1" x14ac:dyDescent="0.4">
      <c r="G116" s="28"/>
      <c r="I116" s="103"/>
      <c r="K116" s="136"/>
    </row>
    <row r="117" spans="1:11" ht="15.5" thickTop="1" thickBot="1" x14ac:dyDescent="0.4">
      <c r="E117" s="33" t="s">
        <v>32</v>
      </c>
      <c r="F117" s="36" t="s">
        <v>31</v>
      </c>
      <c r="G117" s="336">
        <f>ROUND(E115/G115,2)</f>
        <v>19.97</v>
      </c>
      <c r="H117" s="136" t="s">
        <v>2094</v>
      </c>
      <c r="I117" s="103"/>
      <c r="K117" s="136" t="s">
        <v>2090</v>
      </c>
    </row>
    <row r="118" spans="1:11" ht="15" thickTop="1" x14ac:dyDescent="0.35"/>
    <row r="119" spans="1:11" x14ac:dyDescent="0.35">
      <c r="A119" s="126" t="s">
        <v>400</v>
      </c>
      <c r="B119" s="70"/>
      <c r="C119" s="70"/>
      <c r="D119" s="70"/>
    </row>
    <row r="120" spans="1:11" x14ac:dyDescent="0.35">
      <c r="A120" s="197" t="str">
        <f>CONCATENATE($A$2," ",$A$3)</f>
        <v>SC5 Rate I</v>
      </c>
      <c r="B120" s="70"/>
      <c r="C120" s="70"/>
      <c r="D120" s="70"/>
    </row>
    <row r="121" spans="1:11" x14ac:dyDescent="0.35">
      <c r="A121" s="75" t="s">
        <v>374</v>
      </c>
      <c r="B121" s="1332">
        <f>$F$33</f>
        <v>2019</v>
      </c>
      <c r="C121" s="1332"/>
      <c r="D121" s="1332"/>
    </row>
    <row r="122" spans="1:11" x14ac:dyDescent="0.35">
      <c r="A122" s="75" t="s">
        <v>297</v>
      </c>
      <c r="B122" s="1332">
        <f>$F$34</f>
        <v>2017</v>
      </c>
      <c r="C122" s="1332"/>
      <c r="D122" s="1332"/>
    </row>
    <row r="123" spans="1:11" x14ac:dyDescent="0.35">
      <c r="A123" s="190"/>
      <c r="B123" s="190"/>
      <c r="C123" s="190"/>
      <c r="D123" s="190"/>
    </row>
    <row r="124" spans="1:11" x14ac:dyDescent="0.35">
      <c r="A124" s="42" t="str">
        <f>CONCATENATE($A$33," at Proposed Demand Rates")</f>
        <v>SC5 Rate I at Proposed Demand Rates</v>
      </c>
      <c r="B124" s="190"/>
      <c r="C124" s="190"/>
      <c r="D124" s="190"/>
    </row>
    <row r="125" spans="1:11" ht="15" thickBot="1" x14ac:dyDescent="0.4">
      <c r="A125" s="42"/>
      <c r="B125" s="190"/>
      <c r="C125" s="190"/>
      <c r="D125" s="190"/>
    </row>
    <row r="126" spans="1:11" ht="15.5" thickTop="1" thickBot="1" x14ac:dyDescent="0.4">
      <c r="A126" s="190"/>
      <c r="B126" s="190"/>
      <c r="C126" s="190"/>
      <c r="D126" s="190"/>
      <c r="E126" s="1338" t="s">
        <v>398</v>
      </c>
      <c r="F126" s="1339"/>
    </row>
    <row r="127" spans="1:11" ht="15.5" thickTop="1" thickBot="1" x14ac:dyDescent="0.4">
      <c r="A127" s="197" t="str">
        <f>CONCATENATE($A$2," ",$A$3)</f>
        <v>SC5 Rate I</v>
      </c>
      <c r="B127" s="197"/>
      <c r="C127" s="197"/>
      <c r="D127" s="197"/>
      <c r="E127" s="1307" t="s">
        <v>235</v>
      </c>
      <c r="F127" s="1309"/>
      <c r="H127" s="1307" t="s">
        <v>399</v>
      </c>
      <c r="I127" s="1309"/>
    </row>
    <row r="128" spans="1:11" ht="15" thickTop="1" x14ac:dyDescent="0.35">
      <c r="A128" s="197"/>
      <c r="B128" s="197"/>
      <c r="C128" s="197"/>
      <c r="D128" s="197"/>
      <c r="E128" s="30" t="s">
        <v>42</v>
      </c>
      <c r="F128" s="30" t="s">
        <v>40</v>
      </c>
      <c r="H128" s="30" t="s">
        <v>42</v>
      </c>
      <c r="I128" s="30" t="s">
        <v>40</v>
      </c>
    </row>
    <row r="129" spans="1:11" x14ac:dyDescent="0.35">
      <c r="A129" s="197"/>
      <c r="B129" s="197"/>
      <c r="C129" s="197"/>
      <c r="D129" s="197"/>
      <c r="E129" s="30"/>
      <c r="F129" s="30"/>
    </row>
    <row r="130" spans="1:11" ht="15" thickBot="1" x14ac:dyDescent="0.4">
      <c r="A130" s="3" t="s">
        <v>252</v>
      </c>
      <c r="B130" s="123" t="str">
        <f>$B$52</f>
        <v>0</v>
      </c>
      <c r="C130" s="123" t="str">
        <f>$C$52</f>
        <v>-</v>
      </c>
      <c r="D130" s="123">
        <f>$D$52</f>
        <v>5</v>
      </c>
      <c r="E130" s="339">
        <f>G81</f>
        <v>178.73</v>
      </c>
      <c r="F130" s="339">
        <f>G82</f>
        <v>114.67</v>
      </c>
      <c r="G130" s="136" t="s">
        <v>2095</v>
      </c>
    </row>
    <row r="131" spans="1:11" ht="15" thickBot="1" x14ac:dyDescent="0.4">
      <c r="C131" s="123" t="str">
        <f>$C$53</f>
        <v>&gt;</v>
      </c>
      <c r="D131" s="123">
        <f>$D$53</f>
        <v>5</v>
      </c>
      <c r="E131" s="321">
        <f>J75+$G$117</f>
        <v>31.369999999999997</v>
      </c>
      <c r="F131" s="322">
        <f>K75+$G$117</f>
        <v>19.97</v>
      </c>
      <c r="G131" s="136" t="s">
        <v>2096</v>
      </c>
      <c r="H131" s="35"/>
    </row>
    <row r="132" spans="1:11" x14ac:dyDescent="0.35">
      <c r="C132" s="123"/>
      <c r="D132" s="36"/>
      <c r="E132" s="27"/>
      <c r="F132" s="27"/>
      <c r="G132" s="136"/>
    </row>
    <row r="133" spans="1:11" ht="15" thickBot="1" x14ac:dyDescent="0.4">
      <c r="A133" s="3" t="s">
        <v>253</v>
      </c>
      <c r="B133" s="123" t="str">
        <f>$B$52</f>
        <v>0</v>
      </c>
      <c r="C133" s="123" t="str">
        <f>$C$52</f>
        <v>-</v>
      </c>
      <c r="D133" s="123">
        <f>$D$52</f>
        <v>5</v>
      </c>
      <c r="E133" s="339">
        <f>G83</f>
        <v>132.20000000000002</v>
      </c>
      <c r="F133" s="339">
        <f>G84</f>
        <v>68.13</v>
      </c>
      <c r="G133" s="136" t="s">
        <v>2097</v>
      </c>
      <c r="H133" s="27">
        <f>E130-E133</f>
        <v>46.529999999999973</v>
      </c>
      <c r="I133" s="27">
        <f>F130-F133</f>
        <v>46.540000000000006</v>
      </c>
      <c r="J133" s="136" t="s">
        <v>2099</v>
      </c>
      <c r="K133" s="136" t="s">
        <v>2100</v>
      </c>
    </row>
    <row r="134" spans="1:11" ht="15" thickBot="1" x14ac:dyDescent="0.4">
      <c r="C134" s="123" t="str">
        <f>$C$53</f>
        <v>&gt;</v>
      </c>
      <c r="D134" s="123">
        <f>$D$53</f>
        <v>5</v>
      </c>
      <c r="E134" s="321">
        <f>J77+$G$117</f>
        <v>23.34</v>
      </c>
      <c r="F134" s="322">
        <f>K77+$G$117</f>
        <v>11.94</v>
      </c>
      <c r="G134" s="136" t="s">
        <v>2098</v>
      </c>
      <c r="H134" s="27">
        <f>E131-E134</f>
        <v>8.0299999999999976</v>
      </c>
      <c r="I134" s="27">
        <f>F131-F134</f>
        <v>8.0299999999999994</v>
      </c>
      <c r="J134" s="136" t="s">
        <v>2101</v>
      </c>
      <c r="K134" s="136" t="s">
        <v>2102</v>
      </c>
    </row>
    <row r="135" spans="1:11" x14ac:dyDescent="0.35">
      <c r="A135" s="190"/>
      <c r="B135" s="190"/>
      <c r="C135" s="190"/>
      <c r="D135" s="190"/>
    </row>
    <row r="136" spans="1:11" x14ac:dyDescent="0.35">
      <c r="A136" s="190"/>
      <c r="B136" s="190"/>
      <c r="C136" s="190"/>
      <c r="D136" s="190"/>
    </row>
    <row r="137" spans="1:11" x14ac:dyDescent="0.35">
      <c r="A137" s="126" t="s">
        <v>401</v>
      </c>
      <c r="B137" s="190"/>
      <c r="C137" s="190"/>
      <c r="D137" s="190"/>
    </row>
    <row r="138" spans="1:11" x14ac:dyDescent="0.35">
      <c r="A138" s="75" t="s">
        <v>402</v>
      </c>
      <c r="B138" s="1332">
        <f>$F$33</f>
        <v>2019</v>
      </c>
      <c r="C138" s="1332"/>
      <c r="D138" s="1332"/>
    </row>
    <row r="139" spans="1:11" x14ac:dyDescent="0.35">
      <c r="A139" s="190"/>
      <c r="B139" s="190"/>
      <c r="C139" s="190"/>
      <c r="D139" s="190"/>
    </row>
    <row r="140" spans="1:11" x14ac:dyDescent="0.35">
      <c r="A140" s="410"/>
      <c r="B140" s="190"/>
      <c r="C140" s="190"/>
      <c r="D140" s="190"/>
      <c r="G140" s="30"/>
      <c r="I140" s="30" t="s">
        <v>14</v>
      </c>
    </row>
    <row r="141" spans="1:11" x14ac:dyDescent="0.35">
      <c r="A141" s="835" t="s">
        <v>27</v>
      </c>
      <c r="E141" s="30" t="s">
        <v>26</v>
      </c>
      <c r="F141" s="30" t="s">
        <v>25</v>
      </c>
      <c r="G141" s="30" t="s">
        <v>235</v>
      </c>
      <c r="I141" s="30" t="s">
        <v>6</v>
      </c>
    </row>
    <row r="142" spans="1:11" x14ac:dyDescent="0.35">
      <c r="A142" s="410" t="s">
        <v>9</v>
      </c>
      <c r="B142" s="123" t="str">
        <f>$B$52</f>
        <v>0</v>
      </c>
      <c r="C142" s="123" t="str">
        <f>$C$52</f>
        <v>-</v>
      </c>
      <c r="D142" s="123">
        <f>$D$52</f>
        <v>5</v>
      </c>
      <c r="E142" s="29">
        <f>O7</f>
        <v>10</v>
      </c>
      <c r="F142" s="29">
        <f>P7</f>
        <v>180</v>
      </c>
      <c r="G142" s="35">
        <f>E130</f>
        <v>178.73</v>
      </c>
      <c r="H142" s="136" t="s">
        <v>1690</v>
      </c>
      <c r="I142" s="39">
        <f>ROUND(G142*(F142/D142),0)</f>
        <v>6434</v>
      </c>
    </row>
    <row r="143" spans="1:11" x14ac:dyDescent="0.35">
      <c r="A143" s="410"/>
      <c r="C143" s="123" t="str">
        <f>$C$53</f>
        <v>&gt;</v>
      </c>
      <c r="D143" s="123">
        <f>$D$53</f>
        <v>5</v>
      </c>
      <c r="E143" s="29">
        <f>O8</f>
        <v>26</v>
      </c>
      <c r="F143" s="29">
        <f t="shared" ref="F143:F144" si="4">P8</f>
        <v>190</v>
      </c>
      <c r="G143" s="35">
        <f>E131</f>
        <v>31.369999999999997</v>
      </c>
      <c r="H143" s="136" t="s">
        <v>1710</v>
      </c>
      <c r="I143" s="26">
        <f>ROUND(G143*F143,0)</f>
        <v>5960</v>
      </c>
    </row>
    <row r="144" spans="1:11" x14ac:dyDescent="0.35">
      <c r="A144" s="410"/>
      <c r="B144" s="36"/>
      <c r="C144" s="36"/>
      <c r="D144" s="36"/>
      <c r="E144" s="38">
        <f>O9</f>
        <v>0</v>
      </c>
      <c r="F144" s="38">
        <f t="shared" si="4"/>
        <v>0</v>
      </c>
      <c r="G144" s="35"/>
      <c r="I144" s="37"/>
    </row>
    <row r="145" spans="1:11" x14ac:dyDescent="0.35">
      <c r="A145" s="410"/>
      <c r="B145" s="36"/>
      <c r="C145" s="36"/>
      <c r="D145" s="36"/>
      <c r="E145" s="28">
        <f>E142+E143+E144</f>
        <v>36</v>
      </c>
      <c r="F145" s="28">
        <f>F142+F143+F144</f>
        <v>370</v>
      </c>
      <c r="G145" s="35"/>
      <c r="I145" s="34">
        <f>I142+I143+I144</f>
        <v>12394</v>
      </c>
      <c r="J145" s="34"/>
      <c r="K145" s="36" t="s">
        <v>10</v>
      </c>
    </row>
    <row r="146" spans="1:11" x14ac:dyDescent="0.35">
      <c r="A146" s="410"/>
      <c r="B146" s="36"/>
      <c r="C146" s="36"/>
      <c r="D146" s="36"/>
      <c r="E146" s="28"/>
      <c r="F146" s="28"/>
      <c r="G146" s="35"/>
      <c r="H146" s="33" t="s">
        <v>22</v>
      </c>
      <c r="I146" s="34">
        <f>ROUND(I145*(K146-1),0)</f>
        <v>148</v>
      </c>
      <c r="J146" s="33" t="s">
        <v>23</v>
      </c>
      <c r="K146" s="40">
        <f>$G$22</f>
        <v>1.0119199999999999</v>
      </c>
    </row>
    <row r="147" spans="1:11" x14ac:dyDescent="0.35">
      <c r="A147" s="410"/>
      <c r="B147" s="36"/>
      <c r="C147" s="36"/>
      <c r="D147" s="36"/>
      <c r="E147" s="28"/>
      <c r="F147" s="28"/>
      <c r="G147" s="35"/>
      <c r="H147" s="33" t="s">
        <v>21</v>
      </c>
      <c r="I147" s="32">
        <f>I145+I146</f>
        <v>12542</v>
      </c>
      <c r="J147" s="8"/>
    </row>
    <row r="148" spans="1:11" x14ac:dyDescent="0.35">
      <c r="A148" s="410"/>
      <c r="I148" s="3"/>
    </row>
    <row r="149" spans="1:11" x14ac:dyDescent="0.35">
      <c r="A149" s="410" t="s">
        <v>8</v>
      </c>
      <c r="B149" s="123" t="str">
        <f>$B$52</f>
        <v>0</v>
      </c>
      <c r="C149" s="123" t="str">
        <f>$C$52</f>
        <v>-</v>
      </c>
      <c r="D149" s="123">
        <f>$D$52</f>
        <v>5</v>
      </c>
      <c r="E149" s="29">
        <f>O17</f>
        <v>0</v>
      </c>
      <c r="F149" s="29">
        <f>P17</f>
        <v>0</v>
      </c>
      <c r="G149" s="35">
        <f>E133</f>
        <v>132.20000000000002</v>
      </c>
      <c r="H149" s="136" t="s">
        <v>1692</v>
      </c>
      <c r="I149" s="39">
        <f>ROUND(G149*(F149/D149),0)</f>
        <v>0</v>
      </c>
    </row>
    <row r="150" spans="1:11" x14ac:dyDescent="0.35">
      <c r="A150" s="410"/>
      <c r="C150" s="123" t="str">
        <f>$C$53</f>
        <v>&gt;</v>
      </c>
      <c r="D150" s="123">
        <f>$D$53</f>
        <v>5</v>
      </c>
      <c r="E150" s="29">
        <f t="shared" ref="E150:E151" si="5">O18</f>
        <v>0</v>
      </c>
      <c r="F150" s="29">
        <f t="shared" ref="F150:F151" si="6">P18</f>
        <v>0</v>
      </c>
      <c r="G150" s="35">
        <f>E134</f>
        <v>23.34</v>
      </c>
      <c r="H150" s="136" t="s">
        <v>1712</v>
      </c>
      <c r="I150" s="26">
        <f>ROUND(G150*F150,0)</f>
        <v>0</v>
      </c>
    </row>
    <row r="151" spans="1:11" x14ac:dyDescent="0.35">
      <c r="A151" s="410"/>
      <c r="B151" s="36"/>
      <c r="C151" s="36"/>
      <c r="D151" s="36"/>
      <c r="E151" s="38">
        <f t="shared" si="5"/>
        <v>0</v>
      </c>
      <c r="F151" s="38">
        <f t="shared" si="6"/>
        <v>0</v>
      </c>
      <c r="G151" s="35"/>
      <c r="I151" s="37">
        <f>ROUND(G151*F151,0)</f>
        <v>0</v>
      </c>
    </row>
    <row r="152" spans="1:11" x14ac:dyDescent="0.35">
      <c r="A152" s="410"/>
      <c r="E152" s="28">
        <f>E149+E150+E151</f>
        <v>0</v>
      </c>
      <c r="F152" s="28">
        <f>F149+F150+F151</f>
        <v>0</v>
      </c>
      <c r="G152" s="35"/>
      <c r="I152" s="34">
        <f>I149+I150+I151</f>
        <v>0</v>
      </c>
    </row>
    <row r="153" spans="1:11" x14ac:dyDescent="0.35">
      <c r="A153" s="410"/>
      <c r="E153" s="28"/>
      <c r="F153" s="28"/>
      <c r="G153" s="35"/>
      <c r="H153" s="33" t="s">
        <v>22</v>
      </c>
      <c r="I153" s="34">
        <f>ROUND(I152*(K146-1),0)</f>
        <v>0</v>
      </c>
    </row>
    <row r="154" spans="1:11" x14ac:dyDescent="0.35">
      <c r="A154" s="410"/>
      <c r="E154" s="28"/>
      <c r="F154" s="28"/>
      <c r="G154" s="35"/>
      <c r="H154" s="33" t="s">
        <v>21</v>
      </c>
      <c r="I154" s="32">
        <f>I152+I153</f>
        <v>0</v>
      </c>
    </row>
    <row r="155" spans="1:11" x14ac:dyDescent="0.35">
      <c r="A155" s="410"/>
      <c r="E155" s="28"/>
      <c r="F155" s="28"/>
      <c r="G155" s="35"/>
      <c r="H155" s="33"/>
      <c r="I155" s="34"/>
    </row>
    <row r="156" spans="1:11" x14ac:dyDescent="0.35">
      <c r="A156" s="835" t="s">
        <v>24</v>
      </c>
      <c r="G156" s="30" t="s">
        <v>235</v>
      </c>
      <c r="I156" s="30" t="s">
        <v>6</v>
      </c>
      <c r="J156" s="17"/>
    </row>
    <row r="157" spans="1:11" x14ac:dyDescent="0.35">
      <c r="A157" s="410" t="s">
        <v>9</v>
      </c>
      <c r="B157" s="123" t="str">
        <f>$B$52</f>
        <v>0</v>
      </c>
      <c r="C157" s="123" t="str">
        <f>$C$52</f>
        <v>-</v>
      </c>
      <c r="D157" s="123">
        <f>$D$52</f>
        <v>5</v>
      </c>
      <c r="E157" s="29">
        <f t="shared" ref="E157:F159" si="7">O12</f>
        <v>14</v>
      </c>
      <c r="F157" s="29">
        <f t="shared" si="7"/>
        <v>370</v>
      </c>
      <c r="G157" s="35">
        <f>F130</f>
        <v>114.67</v>
      </c>
      <c r="H157" s="136" t="s">
        <v>1691</v>
      </c>
      <c r="I157" s="39">
        <f>ROUND(G157*(F157/D157),0)</f>
        <v>8486</v>
      </c>
      <c r="J157" s="17"/>
    </row>
    <row r="158" spans="1:11" x14ac:dyDescent="0.35">
      <c r="A158" s="410"/>
      <c r="C158" s="123" t="str">
        <f>$C$53</f>
        <v>&gt;</v>
      </c>
      <c r="D158" s="123">
        <f>$D$53</f>
        <v>5</v>
      </c>
      <c r="E158" s="29">
        <f t="shared" si="7"/>
        <v>59.999999999999993</v>
      </c>
      <c r="F158" s="29">
        <f t="shared" si="7"/>
        <v>1056</v>
      </c>
      <c r="G158" s="35">
        <f>F131</f>
        <v>19.97</v>
      </c>
      <c r="H158" s="136" t="s">
        <v>1711</v>
      </c>
      <c r="I158" s="26">
        <f>ROUND(G158*F158,0)</f>
        <v>21088</v>
      </c>
      <c r="J158" s="17"/>
    </row>
    <row r="159" spans="1:11" x14ac:dyDescent="0.35">
      <c r="A159" s="410"/>
      <c r="B159" s="36"/>
      <c r="C159" s="36"/>
      <c r="D159" s="36"/>
      <c r="E159" s="38">
        <f t="shared" si="7"/>
        <v>0</v>
      </c>
      <c r="F159" s="38">
        <f t="shared" si="7"/>
        <v>0</v>
      </c>
      <c r="G159" s="35"/>
      <c r="I159" s="37">
        <f>ROUND(G159*F159,0)</f>
        <v>0</v>
      </c>
      <c r="J159" s="17"/>
    </row>
    <row r="160" spans="1:11" x14ac:dyDescent="0.35">
      <c r="A160" s="410"/>
      <c r="B160" s="36"/>
      <c r="C160" s="36"/>
      <c r="D160" s="36"/>
      <c r="E160" s="28">
        <f>E157+E158+E159</f>
        <v>74</v>
      </c>
      <c r="F160" s="28">
        <f>F157+F158+F159</f>
        <v>1426</v>
      </c>
      <c r="G160" s="35"/>
      <c r="I160" s="34">
        <f>I157+I158+I159</f>
        <v>29574</v>
      </c>
      <c r="K160" s="36" t="s">
        <v>7</v>
      </c>
    </row>
    <row r="161" spans="1:13" x14ac:dyDescent="0.35">
      <c r="A161" s="410"/>
      <c r="B161" s="36"/>
      <c r="C161" s="36"/>
      <c r="D161" s="36"/>
      <c r="E161" s="28"/>
      <c r="F161" s="28"/>
      <c r="G161" s="35"/>
      <c r="H161" s="33" t="s">
        <v>22</v>
      </c>
      <c r="I161" s="34">
        <f>ROUND(I160*(K161-1),0)</f>
        <v>316</v>
      </c>
      <c r="J161" s="33" t="s">
        <v>23</v>
      </c>
      <c r="K161" s="40">
        <f>$G$23</f>
        <v>1.01067</v>
      </c>
    </row>
    <row r="162" spans="1:13" x14ac:dyDescent="0.35">
      <c r="A162" s="410"/>
      <c r="B162" s="36"/>
      <c r="C162" s="36"/>
      <c r="D162" s="36"/>
      <c r="E162" s="28"/>
      <c r="F162" s="28"/>
      <c r="G162" s="35"/>
      <c r="H162" s="33" t="s">
        <v>21</v>
      </c>
      <c r="I162" s="32">
        <f>I160+I161</f>
        <v>29890</v>
      </c>
      <c r="J162" s="8"/>
    </row>
    <row r="163" spans="1:13" x14ac:dyDescent="0.35">
      <c r="A163" s="410"/>
      <c r="I163" s="3"/>
    </row>
    <row r="164" spans="1:13" x14ac:dyDescent="0.35">
      <c r="A164" s="410" t="s">
        <v>8</v>
      </c>
      <c r="B164" s="123" t="str">
        <f>$B$52</f>
        <v>0</v>
      </c>
      <c r="C164" s="123" t="str">
        <f>$C$52</f>
        <v>-</v>
      </c>
      <c r="D164" s="123">
        <f>$D$52</f>
        <v>5</v>
      </c>
      <c r="E164" s="29">
        <f t="shared" ref="E164:F166" si="8">O22</f>
        <v>0</v>
      </c>
      <c r="F164" s="29">
        <f t="shared" si="8"/>
        <v>0</v>
      </c>
      <c r="G164" s="35">
        <f>F133</f>
        <v>68.13</v>
      </c>
      <c r="H164" s="136" t="s">
        <v>2103</v>
      </c>
      <c r="I164" s="39">
        <f>ROUND(G164*(F164/D164),0)</f>
        <v>0</v>
      </c>
      <c r="J164" s="17"/>
    </row>
    <row r="165" spans="1:13" x14ac:dyDescent="0.35">
      <c r="A165" s="410"/>
      <c r="C165" s="123" t="str">
        <f>$C$53</f>
        <v>&gt;</v>
      </c>
      <c r="D165" s="123">
        <f>$D$53</f>
        <v>5</v>
      </c>
      <c r="E165" s="29">
        <f t="shared" si="8"/>
        <v>0</v>
      </c>
      <c r="F165" s="29">
        <f t="shared" si="8"/>
        <v>0</v>
      </c>
      <c r="G165" s="35">
        <f>F134</f>
        <v>11.94</v>
      </c>
      <c r="H165" s="136" t="s">
        <v>1713</v>
      </c>
      <c r="I165" s="26">
        <f>ROUND(G165*F165,0)</f>
        <v>0</v>
      </c>
      <c r="J165" s="17"/>
    </row>
    <row r="166" spans="1:13" x14ac:dyDescent="0.35">
      <c r="B166" s="36"/>
      <c r="C166" s="36"/>
      <c r="D166" s="36"/>
      <c r="E166" s="38">
        <f t="shared" si="8"/>
        <v>0</v>
      </c>
      <c r="F166" s="38">
        <f t="shared" si="8"/>
        <v>0</v>
      </c>
      <c r="G166" s="35"/>
      <c r="I166" s="37">
        <f>ROUND(G166*F166,0)</f>
        <v>0</v>
      </c>
      <c r="J166" s="17"/>
    </row>
    <row r="167" spans="1:13" x14ac:dyDescent="0.35">
      <c r="B167" s="36"/>
      <c r="C167" s="36"/>
      <c r="D167" s="36"/>
      <c r="E167" s="28">
        <f>E164+E165+E166</f>
        <v>0</v>
      </c>
      <c r="F167" s="28">
        <f>F164+F165+F166</f>
        <v>0</v>
      </c>
      <c r="G167" s="35"/>
      <c r="I167" s="34">
        <f>I164+I165+I166</f>
        <v>0</v>
      </c>
      <c r="J167" s="17"/>
    </row>
    <row r="168" spans="1:13" x14ac:dyDescent="0.35">
      <c r="H168" s="33" t="s">
        <v>22</v>
      </c>
      <c r="I168" s="34">
        <f>ROUND(I167*(K161-1),0)</f>
        <v>0</v>
      </c>
      <c r="J168" s="17"/>
    </row>
    <row r="169" spans="1:13" x14ac:dyDescent="0.35">
      <c r="H169" s="33" t="s">
        <v>21</v>
      </c>
      <c r="I169" s="32">
        <f>I167+I168</f>
        <v>0</v>
      </c>
      <c r="J169" s="8"/>
    </row>
    <row r="170" spans="1:13" ht="15" thickBot="1" x14ac:dyDescent="0.4">
      <c r="I170" s="3"/>
    </row>
    <row r="171" spans="1:13" ht="15.5" thickTop="1" thickBot="1" x14ac:dyDescent="0.4">
      <c r="I171" s="24">
        <f>I147+I154+I162+I169</f>
        <v>42432</v>
      </c>
      <c r="J171" s="8"/>
    </row>
    <row r="172" spans="1:13" ht="15.5" thickTop="1" thickBot="1" x14ac:dyDescent="0.4">
      <c r="I172" s="3"/>
      <c r="L172" s="17"/>
    </row>
    <row r="173" spans="1:13" x14ac:dyDescent="0.35">
      <c r="A173" s="882" t="str">
        <f>$A$33</f>
        <v>SC5 Rate I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1" t="s">
        <v>6</v>
      </c>
      <c r="M173" s="2"/>
    </row>
    <row r="174" spans="1:13" x14ac:dyDescent="0.35">
      <c r="A174" s="11" t="s">
        <v>402</v>
      </c>
      <c r="B174" s="1306">
        <f>$F$33</f>
        <v>2019</v>
      </c>
      <c r="C174" s="1306"/>
      <c r="D174" s="1306"/>
      <c r="E174" s="10"/>
      <c r="F174" s="10"/>
      <c r="G174" s="10"/>
      <c r="H174" s="10"/>
      <c r="I174" s="10"/>
      <c r="J174" s="10"/>
      <c r="K174" s="13"/>
      <c r="L174" s="17"/>
      <c r="M174" s="2"/>
    </row>
    <row r="175" spans="1:13" x14ac:dyDescent="0.35">
      <c r="A175" s="699" t="s">
        <v>403</v>
      </c>
      <c r="B175" s="19"/>
      <c r="C175" s="19"/>
      <c r="D175" s="19"/>
      <c r="E175" s="10"/>
      <c r="F175" s="10"/>
      <c r="G175" s="10"/>
      <c r="H175" s="10"/>
      <c r="I175" s="10"/>
      <c r="J175" s="10"/>
      <c r="K175" s="12">
        <f>I171</f>
        <v>42432</v>
      </c>
      <c r="L175" s="288"/>
      <c r="M175" s="2"/>
    </row>
    <row r="176" spans="1:13" x14ac:dyDescent="0.35">
      <c r="A176" s="20"/>
      <c r="B176" s="19"/>
      <c r="C176" s="19"/>
      <c r="D176" s="19"/>
      <c r="E176" s="10"/>
      <c r="F176" s="10"/>
      <c r="G176" s="10"/>
      <c r="H176" s="10"/>
      <c r="I176" s="10"/>
      <c r="J176" s="10"/>
      <c r="K176" s="470"/>
      <c r="L176" s="17"/>
      <c r="M176" s="2"/>
    </row>
    <row r="177" spans="1:13" x14ac:dyDescent="0.3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471"/>
      <c r="L177" s="8"/>
      <c r="M177" s="2"/>
    </row>
    <row r="178" spans="1:13" x14ac:dyDescent="0.35">
      <c r="A178" s="11" t="s">
        <v>404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2">
        <f>K175+K176+K177</f>
        <v>42432</v>
      </c>
      <c r="L178" s="8"/>
    </row>
    <row r="179" spans="1:13" x14ac:dyDescent="0.35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3"/>
      <c r="L179" s="8"/>
    </row>
    <row r="180" spans="1:13" x14ac:dyDescent="0.35">
      <c r="A180" s="11"/>
      <c r="B180" s="10" t="s">
        <v>405</v>
      </c>
      <c r="C180" s="10"/>
      <c r="D180" s="10"/>
      <c r="E180" s="10"/>
      <c r="F180" s="10"/>
      <c r="G180" s="10"/>
      <c r="H180" s="10"/>
      <c r="I180" s="10"/>
      <c r="J180" s="10"/>
      <c r="K180" s="828">
        <f>G29</f>
        <v>42431</v>
      </c>
      <c r="L180" s="8"/>
    </row>
    <row r="181" spans="1:13" x14ac:dyDescent="0.35">
      <c r="A181" s="11"/>
      <c r="B181" s="10" t="s">
        <v>1</v>
      </c>
      <c r="C181" s="10"/>
      <c r="D181" s="10"/>
      <c r="E181" s="10"/>
      <c r="F181" s="10"/>
      <c r="G181" s="10"/>
      <c r="H181" s="10"/>
      <c r="I181" s="10"/>
      <c r="J181" s="10"/>
      <c r="K181" s="12">
        <f>K178-K180</f>
        <v>1</v>
      </c>
      <c r="L181" s="8"/>
    </row>
    <row r="182" spans="1:13" x14ac:dyDescent="0.35">
      <c r="A182" s="11"/>
      <c r="B182" s="10" t="s">
        <v>0</v>
      </c>
      <c r="C182" s="10"/>
      <c r="D182" s="10"/>
      <c r="E182" s="10"/>
      <c r="F182" s="10"/>
      <c r="G182" s="10"/>
      <c r="H182" s="10"/>
      <c r="I182" s="10"/>
      <c r="J182" s="10"/>
      <c r="K182" s="9">
        <f>K178/K180-1</f>
        <v>2.3567674577451569E-5</v>
      </c>
      <c r="L182" s="8"/>
    </row>
    <row r="183" spans="1:13" ht="15" thickBot="1" x14ac:dyDescent="0.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4"/>
    </row>
  </sheetData>
  <mergeCells count="26">
    <mergeCell ref="B138:D138"/>
    <mergeCell ref="B174:D174"/>
    <mergeCell ref="E127:F127"/>
    <mergeCell ref="E61:F61"/>
    <mergeCell ref="E126:F126"/>
    <mergeCell ref="H127:I127"/>
    <mergeCell ref="L62:M62"/>
    <mergeCell ref="N62:O62"/>
    <mergeCell ref="N72:O72"/>
    <mergeCell ref="H71:O71"/>
    <mergeCell ref="J40:N40"/>
    <mergeCell ref="J48:J49"/>
    <mergeCell ref="H61:O61"/>
    <mergeCell ref="B121:D121"/>
    <mergeCell ref="B122:D122"/>
    <mergeCell ref="E41:F41"/>
    <mergeCell ref="J41:K41"/>
    <mergeCell ref="E40:H40"/>
    <mergeCell ref="E62:F62"/>
    <mergeCell ref="H72:I72"/>
    <mergeCell ref="H62:I62"/>
    <mergeCell ref="E49:G49"/>
    <mergeCell ref="H48:H49"/>
    <mergeCell ref="J72:K72"/>
    <mergeCell ref="L72:M72"/>
    <mergeCell ref="J62:K62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6">
    <tabColor rgb="FF00B0F0"/>
    <pageSetUpPr fitToPage="1"/>
  </sheetPr>
  <dimension ref="A1:S57"/>
  <sheetViews>
    <sheetView topLeftCell="A34" workbookViewId="0">
      <selection activeCell="F63" sqref="F63"/>
    </sheetView>
  </sheetViews>
  <sheetFormatPr defaultRowHeight="14.5" x14ac:dyDescent="0.35"/>
  <cols>
    <col min="1" max="1" width="7.54296875" customWidth="1"/>
    <col min="2" max="2" width="24.453125" customWidth="1"/>
    <col min="3" max="3" width="32.7265625" customWidth="1"/>
    <col min="4" max="5" width="19.1796875" customWidth="1"/>
    <col min="6" max="6" width="22.26953125" customWidth="1"/>
    <col min="7" max="7" width="14.26953125" customWidth="1"/>
    <col min="11" max="11" width="22.26953125" style="385" customWidth="1"/>
    <col min="12" max="12" width="14.26953125" style="385" customWidth="1"/>
    <col min="14" max="14" width="13" customWidth="1"/>
    <col min="17" max="17" width="12.81640625" customWidth="1"/>
    <col min="18" max="18" width="22.26953125" style="385" customWidth="1"/>
    <col min="19" max="19" width="14.26953125" style="385" customWidth="1"/>
  </cols>
  <sheetData>
    <row r="1" spans="1:19" ht="18.5" x14ac:dyDescent="0.45">
      <c r="A1" s="189" t="s">
        <v>1495</v>
      </c>
      <c r="R1" s="756"/>
      <c r="S1" s="756"/>
    </row>
    <row r="2" spans="1:19" x14ac:dyDescent="0.35">
      <c r="G2" s="754">
        <v>5.0000000000000001E-4</v>
      </c>
      <c r="M2" s="385"/>
      <c r="N2" s="385"/>
      <c r="O2" s="385"/>
      <c r="R2" s="756"/>
      <c r="S2" s="756"/>
    </row>
    <row r="3" spans="1:19" x14ac:dyDescent="0.35">
      <c r="D3" s="428" t="s">
        <v>1148</v>
      </c>
      <c r="E3" s="428" t="s">
        <v>1497</v>
      </c>
      <c r="F3" s="428" t="s">
        <v>243</v>
      </c>
      <c r="G3" s="428" t="s">
        <v>245</v>
      </c>
      <c r="M3" s="385"/>
      <c r="N3" s="385"/>
      <c r="O3" s="385"/>
      <c r="R3" s="756"/>
      <c r="S3" s="756"/>
    </row>
    <row r="4" spans="1:19" x14ac:dyDescent="0.35">
      <c r="A4" t="s">
        <v>1496</v>
      </c>
      <c r="B4" t="s">
        <v>1074</v>
      </c>
      <c r="C4" t="str">
        <f>'8B.)ED Shift_RedesignRateSum'!C22</f>
        <v>SC5 Rate I</v>
      </c>
      <c r="D4" s="603">
        <f>'8B.)ED Shift_RedesignRateSum'!E39</f>
        <v>68283</v>
      </c>
      <c r="E4" s="603">
        <f>'8B.)ED Shift_RedesignRateSum'!F39</f>
        <v>68280</v>
      </c>
      <c r="F4" s="134">
        <f>E4-D4</f>
        <v>-3</v>
      </c>
      <c r="G4" s="383">
        <f>E4/D4-1</f>
        <v>-4.3934800755707215E-5</v>
      </c>
      <c r="M4" s="385"/>
      <c r="N4" s="385"/>
      <c r="O4" s="385"/>
      <c r="R4" s="756"/>
      <c r="S4" s="756"/>
    </row>
    <row r="5" spans="1:19" x14ac:dyDescent="0.35">
      <c r="C5" t="str">
        <f>'8B.)ED Shift_RedesignRateSum'!C43</f>
        <v>SC8 Rate I</v>
      </c>
      <c r="D5" s="603">
        <f>'8B.)ED Shift_RedesignRateSum'!E60</f>
        <v>134447658</v>
      </c>
      <c r="E5" s="603">
        <f>'8B.)ED Shift_RedesignRateSum'!F60</f>
        <v>134445845</v>
      </c>
      <c r="F5" s="134">
        <f t="shared" ref="F5:F7" si="0">E5-D5</f>
        <v>-1813</v>
      </c>
      <c r="G5" s="383">
        <f t="shared" ref="G5:G7" si="1">E5/D5-1</f>
        <v>-1.3484801646757028E-5</v>
      </c>
      <c r="M5" s="385"/>
      <c r="N5" s="385"/>
      <c r="O5" s="385"/>
      <c r="R5" s="756"/>
      <c r="S5" s="756"/>
    </row>
    <row r="6" spans="1:19" x14ac:dyDescent="0.35">
      <c r="C6" t="str">
        <f>'8B.)ED Shift_RedesignRateSum'!C63</f>
        <v>SC9 Rate I</v>
      </c>
      <c r="D6" s="603">
        <f>'8B.)ED Shift_RedesignRateSum'!E80</f>
        <v>1473027897</v>
      </c>
      <c r="E6" s="603">
        <f>'8B.)ED Shift_RedesignRateSum'!F80</f>
        <v>1473325191</v>
      </c>
      <c r="F6" s="134">
        <f t="shared" si="0"/>
        <v>297294</v>
      </c>
      <c r="G6" s="383">
        <f t="shared" si="1"/>
        <v>2.0182509822497252E-4</v>
      </c>
      <c r="M6" s="385"/>
      <c r="N6" s="385"/>
      <c r="O6" s="385"/>
      <c r="R6" s="756"/>
      <c r="S6" s="756"/>
    </row>
    <row r="7" spans="1:19" x14ac:dyDescent="0.35">
      <c r="C7" t="str">
        <f>'8B.)ED Shift_RedesignRateSum'!C83</f>
        <v>SC12 Rate I</v>
      </c>
      <c r="D7" s="603">
        <f>'8B.)ED Shift_RedesignRateSum'!E100</f>
        <v>11014263</v>
      </c>
      <c r="E7" s="603">
        <f>'8B.)ED Shift_RedesignRateSum'!F100</f>
        <v>11015909</v>
      </c>
      <c r="F7" s="134">
        <f t="shared" si="0"/>
        <v>1646</v>
      </c>
      <c r="G7" s="383">
        <f t="shared" si="1"/>
        <v>1.4944259093874201E-4</v>
      </c>
      <c r="M7" s="385"/>
      <c r="N7" s="385"/>
      <c r="O7" s="385"/>
      <c r="R7" s="756"/>
      <c r="S7" s="756"/>
    </row>
    <row r="8" spans="1:19" x14ac:dyDescent="0.35">
      <c r="M8" s="385"/>
      <c r="N8" s="385"/>
      <c r="O8" s="385"/>
      <c r="R8" s="756"/>
      <c r="S8" s="756"/>
    </row>
    <row r="9" spans="1:19" x14ac:dyDescent="0.35">
      <c r="D9" s="428" t="s">
        <v>1148</v>
      </c>
      <c r="E9" s="428" t="s">
        <v>1497</v>
      </c>
      <c r="F9" s="428" t="s">
        <v>243</v>
      </c>
      <c r="G9" s="428" t="s">
        <v>245</v>
      </c>
      <c r="M9" s="385"/>
      <c r="N9" s="385"/>
      <c r="O9" s="385"/>
      <c r="R9" s="756"/>
      <c r="S9" s="756"/>
    </row>
    <row r="10" spans="1:19" x14ac:dyDescent="0.35">
      <c r="A10" t="s">
        <v>1498</v>
      </c>
      <c r="B10" t="s">
        <v>1499</v>
      </c>
      <c r="C10" t="str">
        <f>'9A.)HL_RedesignRateSummary'!D6</f>
        <v>SC8 Rate II TODL</v>
      </c>
      <c r="D10" s="603" t="str">
        <f>'9A.)HL_RedesignRateSummary'!D27</f>
        <v/>
      </c>
      <c r="E10" s="603" t="str">
        <f>'9A.)HL_RedesignRateSummary'!E27</f>
        <v/>
      </c>
      <c r="F10" s="134"/>
      <c r="G10" s="383"/>
      <c r="M10" s="385"/>
      <c r="N10" s="385"/>
      <c r="O10" s="385"/>
      <c r="R10" s="756"/>
      <c r="S10" s="756"/>
    </row>
    <row r="11" spans="1:19" x14ac:dyDescent="0.35">
      <c r="B11" t="s">
        <v>1500</v>
      </c>
      <c r="C11" t="str">
        <f>'9A.)HL_RedesignRateSummary'!D30</f>
        <v>SC12 Rate II TODL</v>
      </c>
      <c r="D11" s="603" t="str">
        <f>'9A.)HL_RedesignRateSummary'!D51</f>
        <v/>
      </c>
      <c r="E11" s="603" t="str">
        <f>'9A.)HL_RedesignRateSummary'!E51</f>
        <v/>
      </c>
      <c r="F11" s="134"/>
      <c r="G11" s="383"/>
      <c r="M11" s="385"/>
      <c r="N11" s="385"/>
      <c r="O11" s="385"/>
      <c r="R11" s="756"/>
      <c r="S11" s="756"/>
    </row>
    <row r="12" spans="1:19" x14ac:dyDescent="0.35">
      <c r="C12" t="str">
        <f>'9A.)HL_RedesignRateSummary'!D54</f>
        <v xml:space="preserve">SC5 Rate I </v>
      </c>
      <c r="D12" s="603" t="str">
        <f>'9A.)HL_RedesignRateSummary'!D74</f>
        <v/>
      </c>
      <c r="E12" s="603" t="str">
        <f>'9A.)HL_RedesignRateSummary'!E74</f>
        <v/>
      </c>
      <c r="F12" s="134"/>
      <c r="G12" s="383"/>
      <c r="M12" s="385"/>
      <c r="N12" s="385"/>
      <c r="O12" s="385"/>
      <c r="R12" s="756"/>
      <c r="S12" s="756"/>
    </row>
    <row r="13" spans="1:19" x14ac:dyDescent="0.35">
      <c r="C13" t="str">
        <f>'9A.)HL_RedesignRateSummary'!D77</f>
        <v xml:space="preserve">SC12 Rate I </v>
      </c>
      <c r="D13" s="603" t="str">
        <f>'9A.)HL_RedesignRateSummary'!D97</f>
        <v/>
      </c>
      <c r="E13" s="603" t="str">
        <f>'9A.)HL_RedesignRateSummary'!E97</f>
        <v/>
      </c>
      <c r="F13" s="134"/>
      <c r="G13" s="383"/>
      <c r="M13" s="385"/>
      <c r="N13" s="385"/>
      <c r="O13" s="385"/>
      <c r="R13" s="756"/>
      <c r="S13" s="756"/>
    </row>
    <row r="14" spans="1:19" x14ac:dyDescent="0.35">
      <c r="C14" t="str">
        <f>'9A.)HL_RedesignRateSummary'!D100</f>
        <v>NYPA  Rate I</v>
      </c>
      <c r="D14" s="603" t="str">
        <f>'9A.)HL_RedesignRateSummary'!D116</f>
        <v/>
      </c>
      <c r="E14" s="603" t="str">
        <f>'9A.)HL_RedesignRateSummary'!E116</f>
        <v/>
      </c>
      <c r="F14" s="134"/>
      <c r="G14" s="383"/>
      <c r="M14" s="385"/>
      <c r="N14" s="385"/>
      <c r="O14" s="385"/>
      <c r="R14" s="756"/>
      <c r="S14" s="756"/>
    </row>
    <row r="15" spans="1:19" x14ac:dyDescent="0.35">
      <c r="C15" t="str">
        <f>'9A.)HL_RedesignRateSummary'!D119</f>
        <v>SC5 Rate II TODL</v>
      </c>
      <c r="D15" s="603">
        <f>'9A.)HL_RedesignRateSummary'!D140</f>
        <v>2414182</v>
      </c>
      <c r="E15" s="603">
        <f>'9A.)HL_RedesignRateSummary'!E140</f>
        <v>2413575</v>
      </c>
      <c r="F15" s="134"/>
      <c r="G15" s="383"/>
      <c r="M15" s="385"/>
      <c r="N15" s="385"/>
      <c r="O15" s="385"/>
      <c r="R15" s="756"/>
      <c r="S15" s="756"/>
    </row>
    <row r="16" spans="1:19" x14ac:dyDescent="0.35">
      <c r="C16" t="str">
        <f>'9A.)HL_RedesignRateSummary'!D143</f>
        <v>SC9 Rate II TODL</v>
      </c>
      <c r="D16" s="603">
        <f>'9A.)HL_RedesignRateSummary'!D164</f>
        <v>466672245</v>
      </c>
      <c r="E16" s="603">
        <f>'9A.)HL_RedesignRateSummary'!E164</f>
        <v>466725458</v>
      </c>
      <c r="F16" s="134"/>
      <c r="G16" s="383"/>
      <c r="M16" s="385"/>
      <c r="N16" s="385"/>
      <c r="O16" s="385"/>
      <c r="R16" s="756"/>
      <c r="S16" s="756"/>
    </row>
    <row r="17" spans="1:19" x14ac:dyDescent="0.35">
      <c r="M17" s="385"/>
      <c r="N17" s="385"/>
      <c r="O17" s="385"/>
      <c r="R17" s="756"/>
      <c r="S17" s="756"/>
    </row>
    <row r="18" spans="1:19" x14ac:dyDescent="0.35">
      <c r="D18" s="428" t="s">
        <v>1148</v>
      </c>
      <c r="E18" s="428" t="s">
        <v>1497</v>
      </c>
      <c r="F18" s="428" t="s">
        <v>243</v>
      </c>
      <c r="G18" s="428" t="s">
        <v>245</v>
      </c>
      <c r="M18" s="385"/>
      <c r="N18" s="385"/>
      <c r="O18" s="385"/>
      <c r="R18" s="756"/>
      <c r="S18" s="756"/>
    </row>
    <row r="19" spans="1:19" x14ac:dyDescent="0.35">
      <c r="A19" t="s">
        <v>1501</v>
      </c>
      <c r="B19" t="s">
        <v>161</v>
      </c>
      <c r="C19" t="str">
        <f>'10A.)EnergyRateDesignSummary'!D6</f>
        <v>SC1 Rate I</v>
      </c>
      <c r="D19" s="603">
        <f>'10A.)EnergyRateDesignSummary'!D28</f>
        <v>2129367945.6876757</v>
      </c>
      <c r="E19" s="603">
        <f>'10A.)EnergyRateDesignSummary'!E28</f>
        <v>2129744227</v>
      </c>
      <c r="F19" s="134">
        <f t="shared" ref="F19:F25" si="2">E19-D19</f>
        <v>376281.31232428551</v>
      </c>
      <c r="G19" s="383">
        <f t="shared" ref="G19:G25" si="3">E19/D19-1</f>
        <v>1.7671032997679248E-4</v>
      </c>
      <c r="M19" s="385"/>
      <c r="N19" s="385"/>
      <c r="O19" s="385"/>
      <c r="Q19" s="130"/>
      <c r="R19" s="756"/>
      <c r="S19" s="756"/>
    </row>
    <row r="20" spans="1:19" x14ac:dyDescent="0.35">
      <c r="C20" t="str">
        <f>'10A.)EnergyRateDesignSummary'!D31</f>
        <v>SC1 Rate II</v>
      </c>
      <c r="D20" s="603">
        <f>'10A.)EnergyRateDesignSummary'!D49</f>
        <v>2129367945.6876757</v>
      </c>
      <c r="E20" s="603">
        <f>'10A.)EnergyRateDesignSummary'!E49</f>
        <v>2129660884</v>
      </c>
      <c r="F20" s="134">
        <f t="shared" si="2"/>
        <v>292938.31232428551</v>
      </c>
      <c r="G20" s="383">
        <f t="shared" si="3"/>
        <v>1.3757054665797241E-4</v>
      </c>
      <c r="M20" s="385"/>
      <c r="N20" s="385"/>
      <c r="O20" s="385"/>
      <c r="Q20" s="130"/>
      <c r="R20" s="756"/>
      <c r="S20" s="756"/>
    </row>
    <row r="21" spans="1:19" x14ac:dyDescent="0.35">
      <c r="C21" t="str">
        <f>'10A.)EnergyRateDesignSummary'!D52</f>
        <v>SC1 Rate III</v>
      </c>
      <c r="D21" s="603">
        <f>'10A.)EnergyRateDesignSummary'!D70</f>
        <v>2128982298.6876757</v>
      </c>
      <c r="E21" s="603">
        <f>'10A.)EnergyRateDesignSummary'!E70</f>
        <v>2128705116</v>
      </c>
      <c r="F21" s="134">
        <f t="shared" si="2"/>
        <v>-277182.68767571449</v>
      </c>
      <c r="G21" s="383">
        <f t="shared" si="3"/>
        <v>-1.3019492357757567E-4</v>
      </c>
      <c r="M21" s="385"/>
      <c r="N21" s="385"/>
      <c r="O21" s="385"/>
      <c r="Q21" s="130"/>
      <c r="R21" s="756"/>
      <c r="S21" s="756"/>
    </row>
    <row r="22" spans="1:19" x14ac:dyDescent="0.35">
      <c r="C22" t="str">
        <f>'10A.)EnergyRateDesignSummary'!D73</f>
        <v>SC2 Rate I</v>
      </c>
      <c r="D22" s="603">
        <f>'10A.)EnergyRateDesignSummary'!D91</f>
        <v>404281225</v>
      </c>
      <c r="E22" s="603">
        <f>'10A.)EnergyRateDesignSummary'!E91</f>
        <v>404307921</v>
      </c>
      <c r="F22" s="134">
        <f t="shared" si="2"/>
        <v>26696</v>
      </c>
      <c r="G22" s="383">
        <f t="shared" si="3"/>
        <v>6.6033242082985666E-5</v>
      </c>
      <c r="M22" s="385"/>
      <c r="N22" s="385"/>
      <c r="O22" s="385"/>
      <c r="R22" s="756"/>
      <c r="S22" s="756"/>
    </row>
    <row r="23" spans="1:19" x14ac:dyDescent="0.35">
      <c r="C23" t="str">
        <f>'10A.)EnergyRateDesignSummary'!D94</f>
        <v>SC2 Rate II</v>
      </c>
      <c r="D23" s="603">
        <f>'10A.)EnergyRateDesignSummary'!D112</f>
        <v>404281225</v>
      </c>
      <c r="E23" s="603">
        <f>'10A.)EnergyRateDesignSummary'!E112</f>
        <v>404171841</v>
      </c>
      <c r="F23" s="134">
        <f t="shared" si="2"/>
        <v>-109384</v>
      </c>
      <c r="G23" s="383">
        <f t="shared" si="3"/>
        <v>-2.7056413515125222E-4</v>
      </c>
      <c r="M23" s="385"/>
      <c r="N23" s="385"/>
      <c r="O23" s="385"/>
      <c r="R23" s="756"/>
      <c r="S23" s="756"/>
    </row>
    <row r="24" spans="1:19" x14ac:dyDescent="0.35">
      <c r="C24" t="str">
        <f>'10A.)EnergyRateDesignSummary'!D115</f>
        <v>SC6</v>
      </c>
      <c r="D24" s="603">
        <f>'10A.)EnergyRateDesignSummary'!D129</f>
        <v>2020500</v>
      </c>
      <c r="E24" s="603">
        <f>'10A.)EnergyRateDesignSummary'!E129</f>
        <v>2020708</v>
      </c>
      <c r="F24" s="134">
        <f t="shared" si="2"/>
        <v>208</v>
      </c>
      <c r="G24" s="383">
        <f t="shared" si="3"/>
        <v>1.0294481563977165E-4</v>
      </c>
      <c r="M24" s="385"/>
      <c r="N24" s="385"/>
      <c r="O24" s="385"/>
      <c r="R24" s="756"/>
      <c r="S24" s="756"/>
    </row>
    <row r="25" spans="1:19" x14ac:dyDescent="0.35">
      <c r="C25" t="str">
        <f>'10A.)EnergyRateDesignSummary'!D132</f>
        <v>SC12 Rate I</v>
      </c>
      <c r="D25" s="603">
        <f>'10A.)EnergyRateDesignSummary'!D147</f>
        <v>166159</v>
      </c>
      <c r="E25" s="603">
        <f>'10A.)EnergyRateDesignSummary'!E147</f>
        <v>166162</v>
      </c>
      <c r="F25" s="134">
        <f t="shared" si="2"/>
        <v>3</v>
      </c>
      <c r="G25" s="383">
        <f t="shared" si="3"/>
        <v>1.8054995516436634E-5</v>
      </c>
      <c r="M25" s="385"/>
      <c r="N25" s="385"/>
      <c r="O25" s="385"/>
      <c r="R25" s="756"/>
      <c r="S25" s="756"/>
    </row>
    <row r="26" spans="1:19" x14ac:dyDescent="0.35">
      <c r="M26" s="385"/>
      <c r="N26" s="385"/>
      <c r="O26" s="385"/>
      <c r="R26" s="756"/>
      <c r="S26" s="756"/>
    </row>
    <row r="27" spans="1:19" x14ac:dyDescent="0.35">
      <c r="D27" s="428" t="s">
        <v>1148</v>
      </c>
      <c r="E27" s="428" t="s">
        <v>1497</v>
      </c>
      <c r="F27" s="428" t="s">
        <v>243</v>
      </c>
      <c r="G27" s="428" t="s">
        <v>245</v>
      </c>
      <c r="M27" s="385"/>
      <c r="N27" s="385"/>
      <c r="O27" s="385"/>
      <c r="R27" s="756"/>
      <c r="S27" s="756"/>
    </row>
    <row r="28" spans="1:19" x14ac:dyDescent="0.35">
      <c r="A28" t="s">
        <v>1502</v>
      </c>
      <c r="B28" t="s">
        <v>158</v>
      </c>
      <c r="C28" t="str">
        <f>'11A.)DemandRateDesignSummary'!D6</f>
        <v>SC5 Rate I</v>
      </c>
      <c r="D28" s="603">
        <f>'11A.)DemandRateDesignSummary'!D29</f>
        <v>74208</v>
      </c>
      <c r="E28" s="603">
        <f>'11A.)DemandRateDesignSummary'!E29</f>
        <v>74197</v>
      </c>
      <c r="F28" s="134">
        <f t="shared" ref="F28:F32" si="4">E28-D28</f>
        <v>-11</v>
      </c>
      <c r="G28" s="383">
        <f t="shared" ref="G28:G32" si="5">E28/D28-1</f>
        <v>-1.4823199655022989E-4</v>
      </c>
      <c r="M28" s="385"/>
      <c r="N28" s="385"/>
      <c r="O28" s="385"/>
      <c r="R28" s="756"/>
      <c r="S28" s="756"/>
    </row>
    <row r="29" spans="1:19" x14ac:dyDescent="0.35">
      <c r="C29" t="str">
        <f>'11A.)DemandRateDesignSummary'!D32</f>
        <v>SC8 Rate I</v>
      </c>
      <c r="D29" s="603">
        <f>'11A.)DemandRateDesignSummary'!D57</f>
        <v>152299351.30661654</v>
      </c>
      <c r="E29" s="603">
        <f>'11A.)DemandRateDesignSummary'!E57</f>
        <v>152374136.30661654</v>
      </c>
      <c r="F29" s="134">
        <f t="shared" si="4"/>
        <v>74785</v>
      </c>
      <c r="G29" s="383">
        <f t="shared" si="5"/>
        <v>4.9103951762363707E-4</v>
      </c>
      <c r="M29" s="385"/>
      <c r="N29" s="385"/>
      <c r="O29" s="385"/>
      <c r="R29" s="756"/>
      <c r="S29" s="756"/>
    </row>
    <row r="30" spans="1:19" x14ac:dyDescent="0.35">
      <c r="C30" t="str">
        <f>'11A.)DemandRateDesignSummary'!D60</f>
        <v>SC9 Rate I</v>
      </c>
      <c r="D30" s="603">
        <f>'11A.)DemandRateDesignSummary'!D85</f>
        <v>1660027094.2468896</v>
      </c>
      <c r="E30" s="603">
        <f>'11A.)DemandRateDesignSummary'!E85</f>
        <v>1659963957.2468894</v>
      </c>
      <c r="F30" s="134">
        <f t="shared" si="4"/>
        <v>-63137.000000238419</v>
      </c>
      <c r="G30" s="383">
        <f t="shared" si="5"/>
        <v>-3.8033716569518816E-5</v>
      </c>
      <c r="M30" s="385"/>
      <c r="N30" s="385"/>
      <c r="O30" s="385"/>
      <c r="R30" s="756"/>
      <c r="S30" s="756"/>
    </row>
    <row r="31" spans="1:19" x14ac:dyDescent="0.35">
      <c r="C31" t="str">
        <f>'11A.)DemandRateDesignSummary'!D88</f>
        <v>SC12 Rate I</v>
      </c>
      <c r="D31" s="603">
        <f>'11A.)DemandRateDesignSummary'!D113</f>
        <v>11745150</v>
      </c>
      <c r="E31" s="603">
        <f>'11A.)DemandRateDesignSummary'!E113</f>
        <v>11649090</v>
      </c>
      <c r="F31" s="134">
        <f t="shared" si="4"/>
        <v>-96060</v>
      </c>
      <c r="G31" s="383">
        <f t="shared" si="5"/>
        <v>-8.1786950358232469E-3</v>
      </c>
      <c r="M31" s="385"/>
      <c r="N31" s="385"/>
      <c r="O31" s="385"/>
      <c r="R31" s="756"/>
      <c r="S31" s="756"/>
    </row>
    <row r="32" spans="1:19" x14ac:dyDescent="0.35">
      <c r="C32" t="str">
        <f>'11A.)DemandRateDesignSummary'!D116</f>
        <v>NYPA Rate I</v>
      </c>
      <c r="D32" s="603">
        <f>'11A.)DemandRateDesignSummary'!D138</f>
        <v>441901876.66933841</v>
      </c>
      <c r="E32" s="603">
        <f>'11A.)DemandRateDesignSummary'!E138</f>
        <v>441990315</v>
      </c>
      <c r="F32" s="134">
        <f t="shared" si="4"/>
        <v>88438.330661594868</v>
      </c>
      <c r="G32" s="383">
        <f t="shared" si="5"/>
        <v>2.0013114976591417E-4</v>
      </c>
      <c r="M32" s="385"/>
      <c r="N32" s="385"/>
      <c r="O32" s="385"/>
      <c r="R32" s="756"/>
      <c r="S32" s="756"/>
    </row>
    <row r="33" spans="1:19" x14ac:dyDescent="0.35">
      <c r="M33" s="385"/>
      <c r="N33" s="385"/>
      <c r="O33" s="385"/>
      <c r="R33" s="756"/>
      <c r="S33" s="756"/>
    </row>
    <row r="34" spans="1:19" x14ac:dyDescent="0.35">
      <c r="D34" s="428" t="s">
        <v>1148</v>
      </c>
      <c r="E34" s="428" t="s">
        <v>1497</v>
      </c>
      <c r="F34" s="428" t="s">
        <v>243</v>
      </c>
      <c r="G34" s="428" t="s">
        <v>245</v>
      </c>
      <c r="M34" s="385"/>
      <c r="N34" s="385"/>
      <c r="O34" s="385"/>
      <c r="R34" s="756"/>
      <c r="S34" s="756"/>
    </row>
    <row r="35" spans="1:19" x14ac:dyDescent="0.35">
      <c r="A35" t="s">
        <v>1503</v>
      </c>
      <c r="B35" t="s">
        <v>1504</v>
      </c>
      <c r="C35" t="str">
        <f>'12A.)TODL_RateDesignSummary'!D6</f>
        <v>SC5 Rate II</v>
      </c>
      <c r="D35" s="603">
        <f>'12A.)TODL_RateDesignSummary'!D33</f>
        <v>3367982</v>
      </c>
      <c r="E35" s="603">
        <f>'12A.)TODL_RateDesignSummary'!E33</f>
        <v>3366801</v>
      </c>
      <c r="F35" s="134">
        <f t="shared" ref="F35:F40" si="6">E35-D35</f>
        <v>-1181</v>
      </c>
      <c r="G35" s="383">
        <f t="shared" ref="G35:G40" si="7">E35/D35-1</f>
        <v>-3.5065508069820339E-4</v>
      </c>
      <c r="M35" s="385"/>
      <c r="N35" s="385"/>
      <c r="O35" s="385"/>
      <c r="R35" s="756"/>
      <c r="S35" s="756"/>
    </row>
    <row r="36" spans="1:19" x14ac:dyDescent="0.35">
      <c r="C36" t="str">
        <f>'12A.)TODL_RateDesignSummary'!D36</f>
        <v>SC8 Rate II</v>
      </c>
      <c r="D36" s="603">
        <f>'12A.)TODL_RateDesignSummary'!D63</f>
        <v>10801478</v>
      </c>
      <c r="E36" s="603">
        <f>'12A.)TODL_RateDesignSummary'!E63</f>
        <v>10798443</v>
      </c>
      <c r="F36" s="134">
        <f t="shared" si="6"/>
        <v>-3035</v>
      </c>
      <c r="G36" s="383">
        <f t="shared" si="7"/>
        <v>-2.8098006587617963E-4</v>
      </c>
      <c r="M36" s="385"/>
      <c r="N36" s="385"/>
      <c r="O36" s="385"/>
      <c r="R36" s="756"/>
      <c r="S36" s="756"/>
    </row>
    <row r="37" spans="1:19" x14ac:dyDescent="0.35">
      <c r="C37" t="str">
        <f>'12A.)TODL_RateDesignSummary'!D66</f>
        <v>SC9 Rate II</v>
      </c>
      <c r="D37" s="603">
        <f>'12A.)TODL_RateDesignSummary'!D96</f>
        <v>539582375.40150297</v>
      </c>
      <c r="E37" s="603">
        <f>'12A.)TODL_RateDesignSummary'!E96</f>
        <v>539647295.40150297</v>
      </c>
      <c r="F37" s="134">
        <f t="shared" si="6"/>
        <v>64920</v>
      </c>
      <c r="G37" s="383">
        <f t="shared" si="7"/>
        <v>1.203152715127942E-4</v>
      </c>
      <c r="M37" s="385"/>
      <c r="N37" s="385"/>
      <c r="O37" s="385"/>
      <c r="R37" s="756"/>
      <c r="S37" s="756"/>
    </row>
    <row r="38" spans="1:19" x14ac:dyDescent="0.35">
      <c r="C38" t="str">
        <f>'12A.)TODL_RateDesignSummary'!D99</f>
        <v>SC12 Rate II</v>
      </c>
      <c r="D38" s="603">
        <f>'12A.)TODL_RateDesignSummary'!D126</f>
        <v>13189403</v>
      </c>
      <c r="E38" s="603">
        <f>'12A.)TODL_RateDesignSummary'!E126</f>
        <v>13189815</v>
      </c>
      <c r="F38" s="134">
        <f t="shared" si="6"/>
        <v>412</v>
      </c>
      <c r="G38" s="383">
        <f t="shared" si="7"/>
        <v>3.1237198529820986E-5</v>
      </c>
      <c r="M38" s="385"/>
      <c r="N38" s="385"/>
      <c r="O38" s="385"/>
      <c r="R38" s="756"/>
      <c r="S38" s="756"/>
    </row>
    <row r="39" spans="1:19" x14ac:dyDescent="0.35">
      <c r="C39" t="str">
        <f>'12A.)TODL_RateDesignSummary'!D129</f>
        <v>SC13 Rate II</v>
      </c>
      <c r="D39" s="603">
        <f>'12A.)TODL_RateDesignSummary'!D157</f>
        <v>2421360.2195303999</v>
      </c>
      <c r="E39" s="603">
        <f>'12A.)TODL_RateDesignSummary'!E157</f>
        <v>2422011.2195303999</v>
      </c>
      <c r="F39" s="134">
        <f t="shared" si="6"/>
        <v>651</v>
      </c>
      <c r="G39" s="383">
        <f t="shared" si="7"/>
        <v>2.6885714680080497E-4</v>
      </c>
      <c r="M39" s="385"/>
      <c r="N39" s="385"/>
      <c r="O39" s="385"/>
      <c r="R39" s="756"/>
      <c r="S39" s="756"/>
    </row>
    <row r="40" spans="1:19" x14ac:dyDescent="0.35">
      <c r="C40" t="str">
        <f>'12A.)TODL_RateDesignSummary'!D160</f>
        <v>NYPA Rate II</v>
      </c>
      <c r="D40" s="603">
        <f>'12A.)TODL_RateDesignSummary'!D180</f>
        <v>186708530.11253503</v>
      </c>
      <c r="E40" s="603">
        <f>'12A.)TODL_RateDesignSummary'!E180</f>
        <v>186571667.28107375</v>
      </c>
      <c r="F40" s="134">
        <f t="shared" si="6"/>
        <v>-136862.83146128058</v>
      </c>
      <c r="G40" s="383">
        <f t="shared" si="7"/>
        <v>-7.3302934460883762E-4</v>
      </c>
      <c r="M40" s="385"/>
      <c r="N40" s="385"/>
      <c r="O40" s="385"/>
      <c r="R40" s="756"/>
      <c r="S40" s="756"/>
    </row>
    <row r="41" spans="1:19" ht="15.75" customHeight="1" x14ac:dyDescent="0.35">
      <c r="M41" s="385"/>
      <c r="N41" s="385"/>
      <c r="O41" s="385"/>
      <c r="R41" s="756"/>
      <c r="S41" s="756"/>
    </row>
    <row r="42" spans="1:19" x14ac:dyDescent="0.35">
      <c r="D42" s="428" t="s">
        <v>1148</v>
      </c>
      <c r="E42" s="428" t="s">
        <v>1497</v>
      </c>
      <c r="F42" s="428" t="s">
        <v>243</v>
      </c>
      <c r="G42" s="428" t="s">
        <v>245</v>
      </c>
      <c r="M42" s="385"/>
      <c r="N42" s="385"/>
      <c r="O42" s="385"/>
      <c r="R42" s="756"/>
      <c r="S42" s="756"/>
    </row>
    <row r="43" spans="1:19" x14ac:dyDescent="0.35">
      <c r="A43" t="s">
        <v>1505</v>
      </c>
      <c r="B43" t="s">
        <v>1506</v>
      </c>
      <c r="C43" t="str">
        <f>'13A.)TODM_RateDesignSummary'!D6</f>
        <v>SC8 Rate III</v>
      </c>
      <c r="D43" s="603">
        <f>'13A.)TODM_RateDesignSummary'!D34</f>
        <v>152299351.30661654</v>
      </c>
      <c r="E43" s="603">
        <f>'13A.)TODM_RateDesignSummary'!E34</f>
        <v>152272958</v>
      </c>
      <c r="F43" s="134">
        <f t="shared" ref="F43:F45" si="8">E43-D43</f>
        <v>-26393.306616544724</v>
      </c>
      <c r="G43" s="383">
        <f t="shared" ref="G43:G45" si="9">E43/D43-1</f>
        <v>-1.732988774417743E-4</v>
      </c>
      <c r="M43" s="385"/>
      <c r="N43" s="385"/>
      <c r="O43" s="385"/>
      <c r="R43" s="756"/>
      <c r="S43" s="756"/>
    </row>
    <row r="44" spans="1:19" x14ac:dyDescent="0.35">
      <c r="C44" t="str">
        <f>'13A.)TODM_RateDesignSummary'!D37</f>
        <v>SC9 Rate III</v>
      </c>
      <c r="D44" s="603">
        <f>'13A.)TODM_RateDesignSummary'!D67</f>
        <v>1660027094.2468894</v>
      </c>
      <c r="E44" s="603">
        <f>'13A.)TODM_RateDesignSummary'!E67</f>
        <v>1660963761.2468894</v>
      </c>
      <c r="F44" s="134">
        <f t="shared" si="8"/>
        <v>936667</v>
      </c>
      <c r="G44" s="383">
        <f t="shared" si="9"/>
        <v>5.6424801935239799E-4</v>
      </c>
      <c r="M44" s="385"/>
      <c r="N44" s="385"/>
      <c r="O44" s="385"/>
      <c r="R44" s="756"/>
      <c r="S44" s="756"/>
    </row>
    <row r="45" spans="1:19" x14ac:dyDescent="0.35">
      <c r="C45" t="str">
        <f>'13A.)TODM_RateDesignSummary'!D70</f>
        <v>SC12 Rate III</v>
      </c>
      <c r="D45" s="603">
        <f>'13A.)TODM_RateDesignSummary'!D97</f>
        <v>11578991.170842405</v>
      </c>
      <c r="E45" s="603">
        <f>'13A.)TODM_RateDesignSummary'!E97</f>
        <v>11577606</v>
      </c>
      <c r="F45" s="134">
        <f t="shared" si="8"/>
        <v>-1385.1708424054086</v>
      </c>
      <c r="G45" s="383">
        <f t="shared" si="9"/>
        <v>-1.196279383901544E-4</v>
      </c>
      <c r="M45" s="385"/>
      <c r="N45" s="385"/>
      <c r="O45" s="385"/>
      <c r="R45" s="756"/>
      <c r="S45" s="756"/>
    </row>
    <row r="46" spans="1:19" x14ac:dyDescent="0.35">
      <c r="D46" s="603"/>
      <c r="E46" s="603"/>
      <c r="F46" s="134"/>
      <c r="G46" s="383"/>
      <c r="M46" s="385"/>
      <c r="N46" s="385"/>
      <c r="O46" s="385"/>
      <c r="R46" s="756"/>
      <c r="S46" s="756"/>
    </row>
    <row r="47" spans="1:19" x14ac:dyDescent="0.35">
      <c r="D47" s="428" t="s">
        <v>1148</v>
      </c>
      <c r="E47" s="428" t="s">
        <v>1497</v>
      </c>
      <c r="F47" s="428" t="s">
        <v>243</v>
      </c>
      <c r="G47" s="428" t="s">
        <v>245</v>
      </c>
      <c r="M47" s="385"/>
      <c r="N47" s="385"/>
      <c r="O47" s="385"/>
      <c r="R47" s="756"/>
      <c r="S47" s="756"/>
    </row>
    <row r="48" spans="1:19" x14ac:dyDescent="0.35">
      <c r="A48" t="s">
        <v>1507</v>
      </c>
      <c r="B48" t="s">
        <v>1508</v>
      </c>
      <c r="C48" t="str">
        <f>'15A.)MD Shift_RedesignRateSum'!C10</f>
        <v>SC5 Rate I</v>
      </c>
      <c r="D48" s="603">
        <f>'15A.)MD Shift_RedesignRateSum'!E27</f>
        <v>68283</v>
      </c>
      <c r="E48" s="603">
        <f>'15A.)MD Shift_RedesignRateSum'!F27</f>
        <v>68280</v>
      </c>
      <c r="F48" s="134">
        <f t="shared" ref="F48:F50" si="10">E48-D48</f>
        <v>-3</v>
      </c>
      <c r="G48" s="383">
        <f t="shared" ref="G48:G50" si="11">E48/D48-1</f>
        <v>-4.3934800755707215E-5</v>
      </c>
      <c r="M48" s="385"/>
      <c r="N48" s="385"/>
      <c r="O48" s="385"/>
      <c r="R48" s="756"/>
      <c r="S48" s="756"/>
    </row>
    <row r="49" spans="3:19" x14ac:dyDescent="0.35">
      <c r="C49" t="str">
        <f>'15A.)MD Shift_RedesignRateSum'!C31</f>
        <v>SC8 Rate I</v>
      </c>
      <c r="D49" s="603">
        <f>'15A.)MD Shift_RedesignRateSum'!E48</f>
        <v>134447658</v>
      </c>
      <c r="E49" s="603">
        <f>'15A.)MD Shift_RedesignRateSum'!F48</f>
        <v>134411549</v>
      </c>
      <c r="F49" s="134">
        <f t="shared" si="10"/>
        <v>-36109</v>
      </c>
      <c r="G49" s="383">
        <f t="shared" si="11"/>
        <v>-2.6857291928428229E-4</v>
      </c>
      <c r="M49" s="385"/>
      <c r="N49" s="385"/>
      <c r="O49" s="385"/>
      <c r="R49" s="756"/>
      <c r="S49" s="756"/>
    </row>
    <row r="50" spans="3:19" x14ac:dyDescent="0.35">
      <c r="C50" t="str">
        <f>'15A.)MD Shift_RedesignRateSum'!C51</f>
        <v>SC9 Rate I</v>
      </c>
      <c r="D50" s="603">
        <f>'15A.)MD Shift_RedesignRateSum'!E68</f>
        <v>1473027897</v>
      </c>
      <c r="E50" s="603">
        <f>'15A.)MD Shift_RedesignRateSum'!F68</f>
        <v>1473094531</v>
      </c>
      <c r="F50" s="134">
        <f t="shared" si="10"/>
        <v>66634</v>
      </c>
      <c r="G50" s="383">
        <f t="shared" si="11"/>
        <v>4.5236074710963692E-5</v>
      </c>
      <c r="M50" s="385"/>
      <c r="N50" s="385"/>
      <c r="O50" s="385"/>
      <c r="R50" s="756"/>
      <c r="S50" s="756"/>
    </row>
    <row r="51" spans="3:19" x14ac:dyDescent="0.35">
      <c r="C51" t="str">
        <f>'15A.)MD Shift_RedesignRateSum'!C71</f>
        <v>SC12 Rate I</v>
      </c>
      <c r="D51" s="603">
        <f>'15A.)MD Shift_RedesignRateSum'!E88</f>
        <v>11014263</v>
      </c>
      <c r="E51" s="603">
        <f>'15A.)MD Shift_RedesignRateSum'!F88</f>
        <v>11015909</v>
      </c>
      <c r="F51" s="134">
        <f t="shared" ref="F51" si="12">E51-D51</f>
        <v>1646</v>
      </c>
      <c r="G51" s="383">
        <f t="shared" ref="G51" si="13">E51/D51-1</f>
        <v>1.4944259093874201E-4</v>
      </c>
      <c r="M51" s="385"/>
      <c r="N51" s="385"/>
      <c r="O51" s="385"/>
      <c r="R51" s="756"/>
      <c r="S51" s="756"/>
    </row>
    <row r="52" spans="3:19" x14ac:dyDescent="0.35">
      <c r="D52" s="603"/>
      <c r="E52" s="603"/>
      <c r="F52" s="134"/>
      <c r="G52" s="383"/>
      <c r="M52" s="385"/>
      <c r="N52" s="385"/>
      <c r="O52" s="385"/>
      <c r="R52" s="756"/>
      <c r="S52" s="756"/>
    </row>
    <row r="53" spans="3:19" x14ac:dyDescent="0.35">
      <c r="D53" s="603"/>
      <c r="E53" s="603"/>
      <c r="F53" s="134"/>
      <c r="G53" s="383"/>
      <c r="K53" s="755"/>
      <c r="L53" s="756"/>
      <c r="R53" s="756"/>
      <c r="S53" s="756"/>
    </row>
    <row r="54" spans="3:19" x14ac:dyDescent="0.35">
      <c r="D54" s="603"/>
      <c r="E54" s="603"/>
      <c r="F54" s="134"/>
      <c r="G54" s="383"/>
      <c r="K54" s="755"/>
      <c r="L54" s="756"/>
      <c r="R54" s="755"/>
      <c r="S54" s="756"/>
    </row>
    <row r="55" spans="3:19" x14ac:dyDescent="0.35">
      <c r="D55" s="603"/>
      <c r="E55" s="603"/>
      <c r="F55" s="134"/>
      <c r="G55" s="383"/>
      <c r="K55" s="755"/>
      <c r="L55" s="756"/>
      <c r="R55" s="755"/>
      <c r="S55" s="756"/>
    </row>
    <row r="56" spans="3:19" x14ac:dyDescent="0.35">
      <c r="D56" s="603"/>
      <c r="E56" s="603"/>
      <c r="F56" s="134"/>
      <c r="G56" s="383"/>
      <c r="K56" s="755"/>
      <c r="L56" s="756"/>
      <c r="R56" s="755"/>
      <c r="S56" s="756"/>
    </row>
    <row r="57" spans="3:19" x14ac:dyDescent="0.35">
      <c r="D57" s="603"/>
      <c r="E57" s="603"/>
      <c r="F57" s="134"/>
      <c r="G57" s="383"/>
      <c r="K57" s="755"/>
      <c r="L57" s="756"/>
      <c r="R57" s="755"/>
      <c r="S57" s="756"/>
    </row>
  </sheetData>
  <conditionalFormatting sqref="G4:G7 G10:G16 G19:G25 G28:G32 G35:G40 G43:G45 G48:G51">
    <cfRule type="cellIs" dxfId="4" priority="12" operator="greaterThan">
      <formula>$G$2</formula>
    </cfRule>
  </conditionalFormatting>
  <printOptions horizontalCentered="1"/>
  <pageMargins left="0.7" right="0.7" top="0.75" bottom="0.75" header="0.3" footer="0.3"/>
  <pageSetup scale="6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rgb="FF00B0F0"/>
  </sheetPr>
  <dimension ref="A1:Q183"/>
  <sheetViews>
    <sheetView workbookViewId="0">
      <selection activeCell="G221" sqref="G221"/>
    </sheetView>
  </sheetViews>
  <sheetFormatPr defaultColWidth="8.81640625" defaultRowHeight="14.5" x14ac:dyDescent="0.35"/>
  <cols>
    <col min="1" max="1" width="18.26953125" style="3" customWidth="1"/>
    <col min="2" max="4" width="3.7265625" style="3" customWidth="1"/>
    <col min="5" max="7" width="15.7265625" style="3" customWidth="1"/>
    <col min="8" max="8" width="17" style="3" customWidth="1"/>
    <col min="9" max="9" width="17" style="2" customWidth="1"/>
    <col min="10" max="11" width="17" style="3" customWidth="1"/>
    <col min="12" max="12" width="21.453125" style="3" customWidth="1"/>
    <col min="13" max="15" width="17" style="3" customWidth="1"/>
    <col min="16" max="16" width="16.7265625" style="3" customWidth="1"/>
    <col min="17" max="17" width="14.7265625" style="3" customWidth="1"/>
    <col min="18" max="18" width="14.453125" style="3" customWidth="1"/>
    <col min="19" max="21" width="5.1796875" style="3" customWidth="1"/>
    <col min="22" max="24" width="13.7265625" style="3" customWidth="1"/>
    <col min="25" max="16384" width="8.81640625" style="3"/>
  </cols>
  <sheetData>
    <row r="1" spans="1:17" ht="18.5" x14ac:dyDescent="0.35">
      <c r="A1" s="238" t="s">
        <v>2305</v>
      </c>
      <c r="B1" s="70"/>
      <c r="C1" s="70"/>
      <c r="D1" s="70"/>
    </row>
    <row r="2" spans="1:17" x14ac:dyDescent="0.35">
      <c r="A2" s="182" t="s">
        <v>242</v>
      </c>
      <c r="B2" s="180"/>
      <c r="C2" s="180"/>
      <c r="D2" s="180"/>
      <c r="E2" s="180"/>
    </row>
    <row r="3" spans="1:17" x14ac:dyDescent="0.35">
      <c r="A3" s="182" t="s">
        <v>249</v>
      </c>
      <c r="B3" s="180"/>
      <c r="C3" s="180"/>
      <c r="D3" s="180"/>
      <c r="E3" s="180"/>
      <c r="F3" s="863" t="s">
        <v>1428</v>
      </c>
      <c r="G3" s="1250">
        <f>'[1]A1.)RatesInput'!$G$3</f>
        <v>2017</v>
      </c>
    </row>
    <row r="4" spans="1:17" x14ac:dyDescent="0.35">
      <c r="E4" s="180"/>
      <c r="F4" s="863" t="s">
        <v>1078</v>
      </c>
      <c r="G4" s="805" t="str">
        <f>'9A.)HL_RedesignRateSummary'!$D$9</f>
        <v>Current</v>
      </c>
      <c r="H4" s="231"/>
      <c r="J4" s="180"/>
      <c r="K4" s="197" t="str">
        <f>$A$2</f>
        <v>SC12</v>
      </c>
      <c r="L4" s="2"/>
    </row>
    <row r="5" spans="1:17" x14ac:dyDescent="0.35">
      <c r="F5" s="863" t="s">
        <v>1079</v>
      </c>
      <c r="G5" s="805" t="str">
        <f>'9A.)HL_RedesignRateSummary'!$D$10</f>
        <v>ED shifting</v>
      </c>
      <c r="H5" s="232"/>
      <c r="K5" s="181" t="s">
        <v>147</v>
      </c>
      <c r="L5" s="2"/>
    </row>
    <row r="6" spans="1:17" x14ac:dyDescent="0.35">
      <c r="A6" s="3" t="str">
        <f>CONCATENATE($A$2," NTD (LT)")</f>
        <v>SC12 NTD (LT)</v>
      </c>
      <c r="C6" s="3" t="s">
        <v>168</v>
      </c>
      <c r="G6" s="860">
        <f>IF(ISNUMBER(VLOOKUP($A6,'[1]A1.)RatesInput'!$B$287:$J$309,HLOOKUP(G$4,'[1]A1.)RatesInput'!$B$287:$J$309,2,0),0)),VLOOKUP($A6,'[1]A1.)RatesInput'!$B$287:$J$309,HLOOKUP(G$4,'[1]A1.)RatesInput'!$B$287:$J$309,2,0),0),0)</f>
        <v>33.43</v>
      </c>
      <c r="H6" s="230"/>
      <c r="K6" s="2"/>
      <c r="L6" s="2"/>
      <c r="O6" s="30" t="s">
        <v>26</v>
      </c>
      <c r="P6" s="30" t="s">
        <v>25</v>
      </c>
      <c r="Q6" s="30" t="s">
        <v>44</v>
      </c>
    </row>
    <row r="7" spans="1:17" x14ac:dyDescent="0.35">
      <c r="A7" s="3" t="str">
        <f>CONCATENATE($A$2," NTD (HT)")</f>
        <v>SC12 NTD (HT)</v>
      </c>
      <c r="C7" s="3" t="s">
        <v>168</v>
      </c>
      <c r="G7" s="861">
        <f>IF(ISNUMBER(VLOOKUP($A7,'[1]A1.)RatesInput'!$B$287:$J$309,HLOOKUP(G$4,'[1]A1.)RatesInput'!$B$287:$J$309,2,0),0)),VLOOKUP($A7,'[1]A1.)RatesInput'!$B$287:$J$309,HLOOKUP(G$4,'[1]A1.)RatesInput'!$B$287:$J$309,2,0),0),0)</f>
        <v>21.4</v>
      </c>
      <c r="H7" s="230"/>
      <c r="K7" s="165" t="s">
        <v>114</v>
      </c>
      <c r="L7" s="164">
        <v>0</v>
      </c>
      <c r="M7" s="163" t="s">
        <v>143</v>
      </c>
      <c r="N7" s="880">
        <f>'[2]4C.)HY_DemandRatePxOut(Rate I)'!$E$161</f>
        <v>5</v>
      </c>
      <c r="O7" s="735">
        <f>'[2]4C.)HY_DemandRatePxOut(Rate I)'!$L$165</f>
        <v>161</v>
      </c>
      <c r="P7" s="735">
        <f>'[2]4C.)HY_DemandRatePxOut(Rate I)'!$N$165</f>
        <v>4560</v>
      </c>
      <c r="Q7" s="735">
        <f>'[2]4B.)HY_EnergyRatePxOut(Rate I)'!$M$272</f>
        <v>39321291</v>
      </c>
    </row>
    <row r="8" spans="1:17" x14ac:dyDescent="0.35">
      <c r="A8" s="3" t="str">
        <f>CONCATENATE($A$2," NTD (LT)")</f>
        <v>SC12 NTD (LT)</v>
      </c>
      <c r="C8" s="3" t="s">
        <v>169</v>
      </c>
      <c r="G8" s="861">
        <f>IF(ISNUMBER(VLOOKUP($A8,'[1]A1.)RatesInput'!$B$315:$J$340,HLOOKUP(G$5,'[1]A1.)RatesInput'!$B$315:$J$340,3,0),0)),VLOOKUP($A8,'[1]A1.)RatesInput'!$B$315:$J$340,HLOOKUP(G$5,'[1]A1.)RatesInput'!$B$315:$J$340,3,0),0),0)</f>
        <v>23.93</v>
      </c>
      <c r="H8" s="230"/>
      <c r="K8" s="170" t="s">
        <v>114</v>
      </c>
      <c r="L8" s="159"/>
      <c r="M8" s="158" t="s">
        <v>141</v>
      </c>
      <c r="N8" s="881">
        <f>N7</f>
        <v>5</v>
      </c>
      <c r="O8" s="733">
        <f>'[2]4C.)HY_DemandRatePxOut(Rate I)'!$L$166</f>
        <v>751</v>
      </c>
      <c r="P8" s="733">
        <f>'[2]4C.)HY_DemandRatePxOut(Rate I)'!$N$166</f>
        <v>88600</v>
      </c>
      <c r="Q8" s="733">
        <f>'[2]4B.)HY_EnergyRatePxOut(Rate I)'!$M$273</f>
        <v>0</v>
      </c>
    </row>
    <row r="9" spans="1:17" ht="15" thickBot="1" x14ac:dyDescent="0.4">
      <c r="A9" s="3" t="str">
        <f>CONCATENATE($A$2," NTD (HT)")</f>
        <v>SC12 NTD (HT)</v>
      </c>
      <c r="C9" s="3" t="s">
        <v>169</v>
      </c>
      <c r="G9" s="862">
        <f>IF(ISNUMBER(VLOOKUP($A9,'[1]A1.)RatesInput'!$B$315:$J$340,HLOOKUP(G$5,'[1]A1.)RatesInput'!$B$315:$J$340,3,0),0)),VLOOKUP($A9,'[1]A1.)RatesInput'!$B$315:$J$340,HLOOKUP(G$5,'[1]A1.)RatesInput'!$B$315:$J$340,3,0),0),0)</f>
        <v>15.4</v>
      </c>
      <c r="H9" s="230"/>
      <c r="K9" s="168" t="s">
        <v>114</v>
      </c>
      <c r="L9" s="155"/>
      <c r="M9" s="176"/>
      <c r="N9" s="154"/>
      <c r="O9" s="172"/>
      <c r="P9" s="172"/>
      <c r="Q9" s="171"/>
    </row>
    <row r="10" spans="1:17" ht="15.5" thickTop="1" thickBot="1" x14ac:dyDescent="0.4">
      <c r="K10" s="1"/>
      <c r="L10" s="1"/>
      <c r="M10"/>
      <c r="N10"/>
      <c r="O10" s="151">
        <f>SUM(O7:O9)</f>
        <v>912</v>
      </c>
      <c r="P10" s="151">
        <f>SUM(P7:P9)</f>
        <v>93160</v>
      </c>
      <c r="Q10" s="151">
        <f>SUM(Q7:Q9)</f>
        <v>39321291</v>
      </c>
    </row>
    <row r="11" spans="1:17" ht="15.5" thickTop="1" thickBot="1" x14ac:dyDescent="0.4">
      <c r="F11" s="2"/>
      <c r="G11" s="422" t="str">
        <f>G$5</f>
        <v>ED shifting</v>
      </c>
      <c r="H11" s="423" t="s">
        <v>142</v>
      </c>
      <c r="K11" s="1"/>
      <c r="L11" s="1"/>
      <c r="M11"/>
      <c r="N11"/>
      <c r="O11"/>
      <c r="P11"/>
      <c r="Q11"/>
    </row>
    <row r="12" spans="1:17" ht="15" thickTop="1" x14ac:dyDescent="0.35">
      <c r="A12" s="3" t="s">
        <v>357</v>
      </c>
      <c r="F12" s="2"/>
      <c r="G12" s="309">
        <f>'9A.)HL_RedesignRateSummary'!D82</f>
        <v>187.11</v>
      </c>
      <c r="H12" s="865">
        <f>$E$130</f>
        <v>187.11</v>
      </c>
      <c r="I12" s="1068">
        <f>(H12/$N$7*4+H14/$N$7*8)/12</f>
        <v>26.481999999999999</v>
      </c>
      <c r="K12" s="165" t="s">
        <v>113</v>
      </c>
      <c r="L12" s="164">
        <f>$L$7</f>
        <v>0</v>
      </c>
      <c r="M12" s="164" t="str">
        <f>$M$7</f>
        <v>-</v>
      </c>
      <c r="N12" s="164">
        <f>$N$7</f>
        <v>5</v>
      </c>
      <c r="O12" s="735">
        <f>'[2]4C.)HY_DemandRatePxOut(Rate I)'!$L$161</f>
        <v>210</v>
      </c>
      <c r="P12" s="735">
        <f>'[2]4C.)HY_DemandRatePxOut(Rate I)'!$N$161</f>
        <v>9120</v>
      </c>
      <c r="Q12" s="735">
        <f>'[2]4B.)HY_EnergyRatePxOut(Rate I)'!$M$267</f>
        <v>115292046</v>
      </c>
    </row>
    <row r="13" spans="1:17" x14ac:dyDescent="0.35">
      <c r="A13" s="3" t="s">
        <v>358</v>
      </c>
      <c r="F13" s="2"/>
      <c r="G13" s="310">
        <f>'9A.)HL_RedesignRateSummary'!D83</f>
        <v>33.840000000000003</v>
      </c>
      <c r="H13" s="866">
        <f>$E$131</f>
        <v>33.840000000000003</v>
      </c>
      <c r="I13" s="1068">
        <f>(H13*4+H15*8)/12</f>
        <v>23.933333333333337</v>
      </c>
      <c r="K13" s="160" t="s">
        <v>113</v>
      </c>
      <c r="L13" s="159"/>
      <c r="M13" s="158" t="str">
        <f>$M$8</f>
        <v>&gt;</v>
      </c>
      <c r="N13" s="157">
        <f>$N$8</f>
        <v>5</v>
      </c>
      <c r="O13" s="733">
        <f>'[2]4C.)HY_DemandRatePxOut(Rate I)'!$L$162</f>
        <v>1614</v>
      </c>
      <c r="P13" s="733">
        <f>'[2]4C.)HY_DemandRatePxOut(Rate I)'!$N$162</f>
        <v>258373</v>
      </c>
      <c r="Q13" s="733">
        <f>'[2]4B.)HY_EnergyRatePxOut(Rate I)'!$M$268</f>
        <v>0</v>
      </c>
    </row>
    <row r="14" spans="1:17" ht="15" thickBot="1" x14ac:dyDescent="0.4">
      <c r="A14" s="3" t="s">
        <v>359</v>
      </c>
      <c r="F14" s="2"/>
      <c r="G14" s="310">
        <f>'9A.)HL_RedesignRateSummary'!D84</f>
        <v>105.06</v>
      </c>
      <c r="H14" s="866">
        <f>$F$130</f>
        <v>105.06</v>
      </c>
      <c r="I14" s="1068"/>
      <c r="K14" s="155" t="s">
        <v>113</v>
      </c>
      <c r="L14" s="154"/>
      <c r="M14" s="154"/>
      <c r="N14" s="154"/>
      <c r="O14" s="172"/>
      <c r="P14" s="172"/>
      <c r="Q14" s="171"/>
    </row>
    <row r="15" spans="1:17" ht="15.5" thickTop="1" thickBot="1" x14ac:dyDescent="0.4">
      <c r="A15" s="3" t="s">
        <v>360</v>
      </c>
      <c r="F15" s="2"/>
      <c r="G15" s="310">
        <f>'9A.)HL_RedesignRateSummary'!D85</f>
        <v>18.98</v>
      </c>
      <c r="H15" s="866">
        <f>$F$131</f>
        <v>18.98</v>
      </c>
      <c r="I15" s="1068"/>
      <c r="K15" s="2"/>
      <c r="L15" s="2"/>
      <c r="O15" s="151">
        <f>SUM(O12:O14)</f>
        <v>1824</v>
      </c>
      <c r="P15" s="151">
        <f>SUM(P12:P14)</f>
        <v>267493</v>
      </c>
      <c r="Q15" s="151">
        <f>SUM(Q12:Q14)</f>
        <v>115292046</v>
      </c>
    </row>
    <row r="16" spans="1:17" ht="15" thickTop="1" x14ac:dyDescent="0.35">
      <c r="A16" s="3" t="s">
        <v>363</v>
      </c>
      <c r="F16" s="2"/>
      <c r="G16" s="310">
        <f>'9A.)HL_RedesignRateSummary'!D86</f>
        <v>139.91</v>
      </c>
      <c r="H16" s="866">
        <f>$E$133</f>
        <v>139.91</v>
      </c>
      <c r="I16" s="1068">
        <f>(H16/$N$7*4+H18/$N$7*8)/12</f>
        <v>17.063333333333333</v>
      </c>
      <c r="J16" s="201">
        <f>I16/I12</f>
        <v>0.64433703396017417</v>
      </c>
      <c r="K16" s="1"/>
      <c r="L16" s="1"/>
      <c r="M16"/>
      <c r="N16"/>
      <c r="O16"/>
      <c r="P16"/>
      <c r="Q16"/>
    </row>
    <row r="17" spans="1:17" x14ac:dyDescent="0.35">
      <c r="A17" s="3" t="s">
        <v>364</v>
      </c>
      <c r="F17" s="2"/>
      <c r="G17" s="310">
        <f>'9A.)HL_RedesignRateSummary'!D87</f>
        <v>25.29</v>
      </c>
      <c r="H17" s="866">
        <f>$E$134</f>
        <v>25.29</v>
      </c>
      <c r="I17" s="1068">
        <f>(H17*4+H19*8)/12</f>
        <v>15.396666666666667</v>
      </c>
      <c r="J17" s="201">
        <f>I17/I13</f>
        <v>0.64331476323119763</v>
      </c>
      <c r="K17" s="165" t="s">
        <v>112</v>
      </c>
      <c r="L17" s="164">
        <f>$L$7</f>
        <v>0</v>
      </c>
      <c r="M17" s="164" t="str">
        <f>$M$7</f>
        <v>-</v>
      </c>
      <c r="N17" s="164">
        <f>$N$7</f>
        <v>5</v>
      </c>
      <c r="O17" s="735">
        <f>'[2]4C.)HY_DemandRatePxOut(Rate I)'!$L$182</f>
        <v>0</v>
      </c>
      <c r="P17" s="735">
        <f>'[2]4C.)HY_DemandRatePxOut(Rate I)'!$M$182</f>
        <v>0</v>
      </c>
      <c r="Q17" s="735">
        <f>'[2]4B.)HY_EnergyRatePxOut(Rate I)'!$M$292</f>
        <v>0</v>
      </c>
    </row>
    <row r="18" spans="1:17" x14ac:dyDescent="0.35">
      <c r="A18" s="3" t="s">
        <v>365</v>
      </c>
      <c r="F18" s="2"/>
      <c r="G18" s="310">
        <f>'9A.)HL_RedesignRateSummary'!D88</f>
        <v>58.02</v>
      </c>
      <c r="H18" s="866">
        <f>$F$133</f>
        <v>58.02</v>
      </c>
      <c r="I18" s="1068"/>
      <c r="K18" s="170" t="s">
        <v>112</v>
      </c>
      <c r="L18" s="159"/>
      <c r="M18" s="158" t="str">
        <f>$M$8</f>
        <v>&gt;</v>
      </c>
      <c r="N18" s="157">
        <f>$N$8</f>
        <v>5</v>
      </c>
      <c r="O18" s="733">
        <f>'[2]4C.)HY_DemandRatePxOut(Rate I)'!$L$183</f>
        <v>0</v>
      </c>
      <c r="P18" s="733">
        <f>'[2]4C.)HY_DemandRatePxOut(Rate I)'!$M$183</f>
        <v>0</v>
      </c>
      <c r="Q18" s="733">
        <f>'[2]4B.)HY_EnergyRatePxOut(Rate I)'!$M$293</f>
        <v>0</v>
      </c>
    </row>
    <row r="19" spans="1:17" ht="15" thickBot="1" x14ac:dyDescent="0.4">
      <c r="A19" s="3" t="s">
        <v>366</v>
      </c>
      <c r="F19" s="2"/>
      <c r="G19" s="311">
        <f>'9A.)HL_RedesignRateSummary'!D89</f>
        <v>10.450000000000001</v>
      </c>
      <c r="H19" s="867">
        <f>$F$134</f>
        <v>10.450000000000001</v>
      </c>
      <c r="K19" s="168" t="s">
        <v>112</v>
      </c>
      <c r="L19" s="154"/>
      <c r="M19" s="154"/>
      <c r="N19" s="154"/>
      <c r="O19" s="153"/>
      <c r="P19" s="153"/>
      <c r="Q19" s="152"/>
    </row>
    <row r="20" spans="1:17" ht="15.5" thickTop="1" thickBot="1" x14ac:dyDescent="0.4">
      <c r="H20" s="2"/>
      <c r="K20" s="1"/>
      <c r="L20" s="1"/>
      <c r="M20"/>
      <c r="N20"/>
      <c r="O20" s="151">
        <f>SUM(O17:O19)</f>
        <v>0</v>
      </c>
      <c r="P20" s="151">
        <f>SUM(P17:P19)</f>
        <v>0</v>
      </c>
      <c r="Q20" s="151">
        <f>SUM(Q17:Q19)</f>
        <v>0</v>
      </c>
    </row>
    <row r="21" spans="1:17" ht="15" thickTop="1" x14ac:dyDescent="0.35">
      <c r="A21" s="17" t="s">
        <v>139</v>
      </c>
      <c r="B21" s="17"/>
      <c r="C21" s="17"/>
      <c r="D21" s="17"/>
      <c r="G21" s="689">
        <f>HLOOKUP($G$3,'[1]A1.)RatesInput'!$D$63:$J$83,'[1]A1.)RatesInput'!$A$80,0)</f>
        <v>1.01108</v>
      </c>
      <c r="H21" s="2"/>
      <c r="K21" s="1"/>
      <c r="L21" s="1"/>
      <c r="M21"/>
      <c r="N21"/>
      <c r="O21"/>
      <c r="P21"/>
      <c r="Q21"/>
    </row>
    <row r="22" spans="1:17" x14ac:dyDescent="0.35">
      <c r="A22" s="17" t="s">
        <v>137</v>
      </c>
      <c r="B22" s="17"/>
      <c r="C22" s="17"/>
      <c r="D22" s="17"/>
      <c r="G22" s="689">
        <f>HLOOKUP($G$3,'[1]A1.)RatesInput'!$D$63:$J$83,'[1]A1.)RatesInput'!$A$81,0)</f>
        <v>1.0119199999999999</v>
      </c>
      <c r="H22" s="2"/>
      <c r="K22" s="165" t="s">
        <v>111</v>
      </c>
      <c r="L22" s="164">
        <f>$L$7</f>
        <v>0</v>
      </c>
      <c r="M22" s="164" t="str">
        <f>$M$7</f>
        <v>-</v>
      </c>
      <c r="N22" s="164">
        <f>$N$7</f>
        <v>5</v>
      </c>
      <c r="O22" s="735">
        <f>'[2]4C.)HY_DemandRatePxOut(Rate I)'!$L$178</f>
        <v>0</v>
      </c>
      <c r="P22" s="735">
        <f>'[2]4C.)HY_DemandRatePxOut(Rate I)'!$M$178</f>
        <v>0</v>
      </c>
      <c r="Q22" s="735">
        <f>'[2]4B.)HY_EnergyRatePxOut(Rate I)'!$M$287</f>
        <v>0</v>
      </c>
    </row>
    <row r="23" spans="1:17" x14ac:dyDescent="0.35">
      <c r="A23" s="17" t="s">
        <v>136</v>
      </c>
      <c r="B23" s="17"/>
      <c r="C23" s="17"/>
      <c r="D23" s="17"/>
      <c r="G23" s="689">
        <f>HLOOKUP($G$3,'[1]A1.)RatesInput'!$D$63:$J$83,'[1]A1.)RatesInput'!$A$82,0)</f>
        <v>1.01067</v>
      </c>
      <c r="H23" s="2"/>
      <c r="K23" s="160" t="s">
        <v>111</v>
      </c>
      <c r="L23" s="159"/>
      <c r="M23" s="158" t="str">
        <f>$M$8</f>
        <v>&gt;</v>
      </c>
      <c r="N23" s="157">
        <f>$N$8</f>
        <v>5</v>
      </c>
      <c r="O23" s="733">
        <f>'[2]4C.)HY_DemandRatePxOut(Rate I)'!$L$179</f>
        <v>0</v>
      </c>
      <c r="P23" s="733">
        <f>'[2]4C.)HY_DemandRatePxOut(Rate I)'!$M$179</f>
        <v>0</v>
      </c>
      <c r="Q23" s="733">
        <f>'[2]4B.)HY_EnergyRatePxOut(Rate I)'!$M$288</f>
        <v>0</v>
      </c>
    </row>
    <row r="24" spans="1:17" ht="15" thickBot="1" x14ac:dyDescent="0.4">
      <c r="A24" s="17"/>
      <c r="B24" s="17"/>
      <c r="C24" s="17"/>
      <c r="D24" s="17"/>
      <c r="G24" s="2"/>
      <c r="H24" s="2"/>
      <c r="K24" s="155" t="s">
        <v>111</v>
      </c>
      <c r="L24" s="154"/>
      <c r="M24" s="154"/>
      <c r="N24" s="154"/>
      <c r="O24" s="153"/>
      <c r="P24" s="153"/>
      <c r="Q24" s="152"/>
    </row>
    <row r="25" spans="1:17" ht="15.5" thickTop="1" thickBot="1" x14ac:dyDescent="0.4">
      <c r="F25" s="75" t="s">
        <v>145</v>
      </c>
      <c r="G25" s="868" t="str">
        <f>G$5</f>
        <v>ED shifting</v>
      </c>
      <c r="H25" s="2"/>
      <c r="K25" s="1"/>
      <c r="L25" s="1"/>
      <c r="M25"/>
      <c r="N25"/>
      <c r="O25" s="151">
        <f>SUM(O22:O24)</f>
        <v>0</v>
      </c>
      <c r="P25" s="151">
        <f>SUM(P22:P24)</f>
        <v>0</v>
      </c>
      <c r="Q25" s="151">
        <f>SUM(Q22:Q24)</f>
        <v>0</v>
      </c>
    </row>
    <row r="26" spans="1:17" x14ac:dyDescent="0.35">
      <c r="G26" s="135" t="s">
        <v>135</v>
      </c>
      <c r="H26" s="135" t="s">
        <v>134</v>
      </c>
    </row>
    <row r="27" spans="1:17" x14ac:dyDescent="0.35">
      <c r="A27" s="3" t="s">
        <v>302</v>
      </c>
      <c r="G27" s="245">
        <f>'8A.)HY_ED RevShifting'!$E$66</f>
        <v>8215762</v>
      </c>
      <c r="H27" s="245">
        <f>'8A.)HY_ED RevShifting'!$D$66</f>
        <v>8125171</v>
      </c>
    </row>
    <row r="28" spans="1:17" x14ac:dyDescent="0.35">
      <c r="A28" s="3" t="s">
        <v>130</v>
      </c>
      <c r="G28" s="245">
        <f>IF(ISNUMBER(HLOOKUP($G$25,'8A.)HY_ED RevShifting'!$G$56:$L$70,'8A.)HY_ED RevShifting'!$B$68,0)),HLOOKUP($G$25,'8A.)HY_ED RevShifting'!$G$56:$L$70,'8A.)HY_ED RevShifting'!$B$68,0),0)</f>
        <v>139925</v>
      </c>
      <c r="H28" s="245">
        <f>ROUND(G28/G21,0)</f>
        <v>138392</v>
      </c>
    </row>
    <row r="29" spans="1:17" x14ac:dyDescent="0.35">
      <c r="A29" s="3" t="s">
        <v>763</v>
      </c>
      <c r="G29" s="245">
        <f>'8A.)HY_ED RevShifting'!$G$66</f>
        <v>8355687</v>
      </c>
      <c r="H29" s="245"/>
    </row>
    <row r="31" spans="1:17" s="88" customFormat="1" x14ac:dyDescent="0.35"/>
    <row r="32" spans="1:17" x14ac:dyDescent="0.35">
      <c r="A32" s="70" t="str">
        <f>'9C.)HL_RedgnRate_SC5_I'!$A$32</f>
        <v>Rate Redesigned at Current Rate Level to Reflect ECOS % HT/LT Indication - 3/3</v>
      </c>
      <c r="B32" s="70"/>
      <c r="C32" s="70"/>
      <c r="D32" s="70"/>
    </row>
    <row r="33" spans="1:14" x14ac:dyDescent="0.35">
      <c r="A33" s="197" t="str">
        <f>CONCATENATE($A$2," ",$A$3)</f>
        <v>SC12 Rate I</v>
      </c>
      <c r="E33" s="100" t="s">
        <v>296</v>
      </c>
      <c r="F33" s="808">
        <f>'9A.)HL_RedesignRateSummary'!$F$4</f>
        <v>2019</v>
      </c>
    </row>
    <row r="34" spans="1:14" x14ac:dyDescent="0.35">
      <c r="A34" s="197"/>
      <c r="E34" s="100" t="s">
        <v>297</v>
      </c>
      <c r="F34" s="808">
        <f>'9A.)HL_RedesignRateSummary'!$F$5</f>
        <v>2017</v>
      </c>
    </row>
    <row r="35" spans="1:14" x14ac:dyDescent="0.35">
      <c r="B35" s="197"/>
      <c r="C35" s="197"/>
      <c r="D35" s="197"/>
      <c r="E35" s="100" t="s">
        <v>2150</v>
      </c>
      <c r="F35" s="808">
        <f>'9A.)HL_RedesignRateSummary'!F3</f>
        <v>2020</v>
      </c>
      <c r="G35" s="3" t="str">
        <f>'9A.)HL_RedesignRateSummary'!G3</f>
        <v>RY1</v>
      </c>
    </row>
    <row r="36" spans="1:14" x14ac:dyDescent="0.35">
      <c r="A36" s="334" t="s">
        <v>1541</v>
      </c>
    </row>
    <row r="37" spans="1:14" x14ac:dyDescent="0.35">
      <c r="A37" s="334"/>
    </row>
    <row r="38" spans="1:14" x14ac:dyDescent="0.35">
      <c r="A38" s="838" t="s">
        <v>378</v>
      </c>
      <c r="E38" s="198"/>
      <c r="K38" s="3" t="s">
        <v>1082</v>
      </c>
    </row>
    <row r="39" spans="1:14" ht="15" thickBot="1" x14ac:dyDescent="0.4">
      <c r="A39" s="197"/>
      <c r="E39" s="198"/>
    </row>
    <row r="40" spans="1:14" ht="15.5" thickTop="1" thickBot="1" x14ac:dyDescent="0.4">
      <c r="B40" s="199"/>
      <c r="C40" s="199"/>
      <c r="D40" s="199"/>
      <c r="E40" s="1316" t="s">
        <v>168</v>
      </c>
      <c r="F40" s="1317"/>
      <c r="G40" s="1317"/>
      <c r="H40" s="1318"/>
      <c r="J40" s="1316" t="s">
        <v>169</v>
      </c>
      <c r="K40" s="1317"/>
      <c r="L40" s="1317"/>
      <c r="M40" s="1317"/>
      <c r="N40" s="1318"/>
    </row>
    <row r="41" spans="1:14" ht="15" thickTop="1" x14ac:dyDescent="0.35">
      <c r="E41" s="1333" t="s">
        <v>171</v>
      </c>
      <c r="F41" s="1333"/>
      <c r="G41" s="30" t="s">
        <v>173</v>
      </c>
      <c r="H41" s="30" t="s">
        <v>174</v>
      </c>
      <c r="J41" s="1334" t="s">
        <v>176</v>
      </c>
      <c r="K41" s="1334"/>
      <c r="L41" s="30" t="s">
        <v>173</v>
      </c>
      <c r="M41" s="30" t="s">
        <v>174</v>
      </c>
      <c r="N41" s="30" t="s">
        <v>1</v>
      </c>
    </row>
    <row r="42" spans="1:14" x14ac:dyDescent="0.35">
      <c r="A42" s="199">
        <f>$G$3</f>
        <v>2017</v>
      </c>
      <c r="E42" s="118" t="s">
        <v>8</v>
      </c>
      <c r="F42" s="118" t="s">
        <v>9</v>
      </c>
      <c r="G42" s="30" t="s">
        <v>172</v>
      </c>
      <c r="H42" s="30" t="s">
        <v>175</v>
      </c>
      <c r="J42" s="118" t="s">
        <v>8</v>
      </c>
      <c r="K42" s="118" t="s">
        <v>9</v>
      </c>
      <c r="L42" s="30" t="s">
        <v>172</v>
      </c>
      <c r="M42" s="30" t="s">
        <v>175</v>
      </c>
    </row>
    <row r="43" spans="1:14" x14ac:dyDescent="0.35">
      <c r="E43" s="200" t="s">
        <v>79</v>
      </c>
      <c r="F43" s="200" t="s">
        <v>78</v>
      </c>
      <c r="G43" s="200" t="s">
        <v>181</v>
      </c>
      <c r="H43" s="200" t="s">
        <v>180</v>
      </c>
      <c r="J43" s="200" t="s">
        <v>177</v>
      </c>
      <c r="K43" s="200" t="s">
        <v>178</v>
      </c>
      <c r="L43" s="200" t="s">
        <v>179</v>
      </c>
      <c r="M43" s="200" t="s">
        <v>182</v>
      </c>
      <c r="N43" s="200" t="s">
        <v>183</v>
      </c>
    </row>
    <row r="44" spans="1:14" x14ac:dyDescent="0.35">
      <c r="A44" s="3" t="str">
        <f>CONCATENATE($A$2," NTD")</f>
        <v>SC12 NTD</v>
      </c>
      <c r="E44" s="27">
        <f>G7</f>
        <v>21.4</v>
      </c>
      <c r="F44" s="27">
        <f>G6</f>
        <v>33.43</v>
      </c>
      <c r="G44" s="35">
        <f>F44-E44</f>
        <v>12.030000000000001</v>
      </c>
      <c r="H44" s="871">
        <f>E44/F44</f>
        <v>0.64014358360753809</v>
      </c>
      <c r="J44" s="27">
        <f>G9</f>
        <v>15.4</v>
      </c>
      <c r="K44" s="27">
        <f>G8</f>
        <v>23.93</v>
      </c>
      <c r="L44" s="228">
        <f>K44-J44</f>
        <v>8.5299999999999994</v>
      </c>
      <c r="M44" s="871">
        <f>ROUND(J44/K44,2)</f>
        <v>0.64</v>
      </c>
      <c r="N44" s="201">
        <f>M44-H44</f>
        <v>-1.4358360753807808E-4</v>
      </c>
    </row>
    <row r="46" spans="1:14" x14ac:dyDescent="0.35">
      <c r="J46" s="33" t="s">
        <v>520</v>
      </c>
      <c r="K46" s="40">
        <f>'9C.)HL_RedgnRate_SC5_I'!$K$46</f>
        <v>3</v>
      </c>
      <c r="L46" s="136" t="s">
        <v>165</v>
      </c>
    </row>
    <row r="47" spans="1:14" ht="15" thickBot="1" x14ac:dyDescent="0.4">
      <c r="A47" s="838" t="s">
        <v>379</v>
      </c>
      <c r="J47" s="33" t="s">
        <v>294</v>
      </c>
      <c r="K47" s="40">
        <f>'9C.)HL_RedgnRate_SC5_I'!$K$47</f>
        <v>3</v>
      </c>
      <c r="L47" s="136" t="s">
        <v>166</v>
      </c>
    </row>
    <row r="48" spans="1:14" ht="15.5" thickTop="1" thickBot="1" x14ac:dyDescent="0.4">
      <c r="B48" s="197"/>
      <c r="C48" s="197"/>
      <c r="D48" s="197"/>
      <c r="H48" s="1327" t="s">
        <v>293</v>
      </c>
      <c r="I48" s="331" t="s">
        <v>293</v>
      </c>
      <c r="J48" s="1327" t="s">
        <v>168</v>
      </c>
      <c r="K48" s="331" t="s">
        <v>190</v>
      </c>
      <c r="L48" s="331" t="s">
        <v>261</v>
      </c>
      <c r="M48" s="1063" t="s">
        <v>2060</v>
      </c>
    </row>
    <row r="49" spans="1:16" ht="15.5" thickTop="1" thickBot="1" x14ac:dyDescent="0.4">
      <c r="B49" s="197"/>
      <c r="C49" s="197"/>
      <c r="D49" s="197"/>
      <c r="E49" s="1335" t="s">
        <v>250</v>
      </c>
      <c r="F49" s="1336"/>
      <c r="G49" s="1337"/>
      <c r="H49" s="1328"/>
      <c r="I49" s="332" t="s">
        <v>187</v>
      </c>
      <c r="J49" s="1328"/>
      <c r="K49" s="332" t="s">
        <v>191</v>
      </c>
      <c r="L49" s="332" t="s">
        <v>187</v>
      </c>
      <c r="M49" s="1064" t="s">
        <v>2061</v>
      </c>
    </row>
    <row r="50" spans="1:16" ht="17" thickTop="1" x14ac:dyDescent="0.35">
      <c r="B50" s="197"/>
      <c r="C50" s="197"/>
      <c r="D50" s="197"/>
      <c r="E50" s="30" t="s">
        <v>42</v>
      </c>
      <c r="F50" s="30" t="s">
        <v>40</v>
      </c>
      <c r="G50" s="30" t="s">
        <v>208</v>
      </c>
      <c r="H50" s="56" t="s">
        <v>258</v>
      </c>
      <c r="I50" s="56" t="s">
        <v>257</v>
      </c>
      <c r="J50" s="265" t="s">
        <v>292</v>
      </c>
      <c r="K50" s="199" t="s">
        <v>389</v>
      </c>
      <c r="L50" s="199" t="s">
        <v>390</v>
      </c>
      <c r="M50" s="567"/>
    </row>
    <row r="51" spans="1:16" x14ac:dyDescent="0.35">
      <c r="B51" s="197"/>
      <c r="C51" s="197"/>
      <c r="D51" s="197"/>
      <c r="E51" s="200" t="s">
        <v>109</v>
      </c>
      <c r="F51" s="200" t="s">
        <v>108</v>
      </c>
      <c r="G51" s="671" t="s">
        <v>2054</v>
      </c>
      <c r="H51" s="200" t="s">
        <v>2055</v>
      </c>
      <c r="I51" s="200" t="s">
        <v>2056</v>
      </c>
      <c r="J51" s="200" t="s">
        <v>2057</v>
      </c>
      <c r="K51" s="671" t="s">
        <v>2058</v>
      </c>
      <c r="L51" s="671" t="s">
        <v>2059</v>
      </c>
    </row>
    <row r="52" spans="1:16" ht="15" thickBot="1" x14ac:dyDescent="0.4">
      <c r="A52" s="3" t="s">
        <v>255</v>
      </c>
      <c r="B52" s="829" t="s">
        <v>251</v>
      </c>
      <c r="C52" s="829" t="s">
        <v>143</v>
      </c>
      <c r="D52" s="567">
        <v>5</v>
      </c>
      <c r="E52" s="27">
        <f>ROUND(G12/$D52,2)</f>
        <v>37.42</v>
      </c>
      <c r="F52" s="27">
        <f>ROUND(G14/$D52,2)</f>
        <v>21.01</v>
      </c>
      <c r="G52" s="27">
        <f>ROUND((E52*4+F52*8)/12,2)</f>
        <v>26.48</v>
      </c>
    </row>
    <row r="53" spans="1:16" ht="15" thickBot="1" x14ac:dyDescent="0.4">
      <c r="A53" s="3" t="s">
        <v>256</v>
      </c>
      <c r="B53" s="108"/>
      <c r="C53" s="829" t="s">
        <v>141</v>
      </c>
      <c r="D53" s="567">
        <f>D52</f>
        <v>5</v>
      </c>
      <c r="E53" s="268">
        <f>G13</f>
        <v>33.840000000000003</v>
      </c>
      <c r="F53" s="269">
        <f>G15</f>
        <v>18.98</v>
      </c>
      <c r="G53" s="27">
        <f>ROUND((E53*4+F53*8)/12,2)</f>
        <v>23.93</v>
      </c>
      <c r="I53" s="3"/>
      <c r="J53" s="30"/>
      <c r="K53" s="30"/>
    </row>
    <row r="54" spans="1:16" x14ac:dyDescent="0.35">
      <c r="C54" s="123"/>
      <c r="D54" s="36"/>
      <c r="E54" s="198"/>
      <c r="I54" s="3"/>
    </row>
    <row r="55" spans="1:16" ht="15" thickBot="1" x14ac:dyDescent="0.4">
      <c r="A55" s="3" t="s">
        <v>259</v>
      </c>
      <c r="B55" s="123" t="str">
        <f>$B$52</f>
        <v>0</v>
      </c>
      <c r="C55" s="123" t="str">
        <f>$C$52</f>
        <v>-</v>
      </c>
      <c r="D55" s="123">
        <f>$D$52</f>
        <v>5</v>
      </c>
      <c r="E55" s="27">
        <f>ROUND(G16/$D55,2)</f>
        <v>27.98</v>
      </c>
      <c r="F55" s="27">
        <f>ROUND(G18/$D55,2)</f>
        <v>11.6</v>
      </c>
      <c r="G55" s="27">
        <f>ROUND((E55*4+F55*8)/12,2)</f>
        <v>17.059999999999999</v>
      </c>
      <c r="H55" s="521">
        <f>G52-G55</f>
        <v>9.4200000000000017</v>
      </c>
      <c r="I55" s="81">
        <f>ROUND(G55/G52,2)</f>
        <v>0.64</v>
      </c>
      <c r="J55" s="203">
        <f>H44</f>
        <v>0.64014358360753809</v>
      </c>
      <c r="K55" s="870">
        <f>ROUND(I55-ROUND((I55-J55)*(K46/$K$47),4),2)</f>
        <v>0.64</v>
      </c>
      <c r="L55" s="314">
        <f>ROUND(H55/(1-I55)*(1-K55),2)</f>
        <v>9.42</v>
      </c>
      <c r="M55" s="35">
        <f>ROUND((L55-H55)*D55,2)</f>
        <v>0</v>
      </c>
      <c r="N55" s="3" t="s">
        <v>298</v>
      </c>
      <c r="O55" s="136" t="s">
        <v>2062</v>
      </c>
    </row>
    <row r="56" spans="1:16" ht="15" thickBot="1" x14ac:dyDescent="0.4">
      <c r="A56" s="3" t="s">
        <v>260</v>
      </c>
      <c r="C56" s="123" t="str">
        <f>$C$53</f>
        <v>&gt;</v>
      </c>
      <c r="D56" s="123">
        <f>$D$53</f>
        <v>5</v>
      </c>
      <c r="E56" s="268">
        <f>G17</f>
        <v>25.29</v>
      </c>
      <c r="F56" s="269">
        <f>G19</f>
        <v>10.450000000000001</v>
      </c>
      <c r="G56" s="27">
        <f>ROUND((E56*4+F56*8)/12,2)</f>
        <v>15.4</v>
      </c>
      <c r="H56" s="521">
        <f>G53-G56</f>
        <v>8.5299999999999994</v>
      </c>
      <c r="I56" s="81">
        <f>ROUND(G56/G53,2)</f>
        <v>0.64</v>
      </c>
      <c r="J56" s="203">
        <f>H44</f>
        <v>0.64014358360753809</v>
      </c>
      <c r="K56" s="870">
        <f>ROUND(I56-ROUND((I56-J56)*(K46/$K$47),4),2)</f>
        <v>0.64</v>
      </c>
      <c r="L56" s="314">
        <f>ROUND(H56/(1-I56)*(1-K56),2)</f>
        <v>8.5299999999999994</v>
      </c>
      <c r="M56" s="35">
        <f>ROUND((L56-H56),2)</f>
        <v>0</v>
      </c>
      <c r="N56" s="3" t="s">
        <v>188</v>
      </c>
      <c r="O56" s="136" t="s">
        <v>2063</v>
      </c>
    </row>
    <row r="57" spans="1:16" x14ac:dyDescent="0.35">
      <c r="A57" s="197"/>
      <c r="B57" s="197"/>
      <c r="C57" s="197"/>
      <c r="D57" s="197"/>
      <c r="E57" s="198"/>
    </row>
    <row r="58" spans="1:16" x14ac:dyDescent="0.35">
      <c r="A58" s="197"/>
      <c r="B58" s="197"/>
      <c r="C58" s="197"/>
      <c r="D58" s="197"/>
      <c r="E58" s="198"/>
      <c r="L58" s="592"/>
      <c r="M58" s="27"/>
    </row>
    <row r="59" spans="1:16" x14ac:dyDescent="0.35">
      <c r="A59" s="838" t="s">
        <v>380</v>
      </c>
      <c r="B59" s="197"/>
      <c r="C59" s="197"/>
      <c r="D59" s="197"/>
      <c r="E59" s="198"/>
      <c r="M59" s="593"/>
    </row>
    <row r="60" spans="1:16" ht="15" thickBot="1" x14ac:dyDescent="0.4">
      <c r="A60" s="197"/>
      <c r="B60" s="197"/>
      <c r="C60" s="197"/>
      <c r="D60" s="197"/>
      <c r="E60" s="198"/>
      <c r="M60" s="203"/>
      <c r="N60" s="33" t="s">
        <v>382</v>
      </c>
      <c r="O60" s="83">
        <f>F65</f>
        <v>105.06</v>
      </c>
      <c r="P60" s="136" t="s">
        <v>2064</v>
      </c>
    </row>
    <row r="61" spans="1:16" ht="15.5" thickTop="1" thickBot="1" x14ac:dyDescent="0.4">
      <c r="E61" s="1338" t="s">
        <v>397</v>
      </c>
      <c r="F61" s="1339"/>
      <c r="H61" s="1329" t="s">
        <v>377</v>
      </c>
      <c r="I61" s="1330"/>
      <c r="J61" s="1330"/>
      <c r="K61" s="1330"/>
      <c r="L61" s="1330"/>
      <c r="M61" s="1330"/>
      <c r="N61" s="1330"/>
      <c r="O61" s="1331"/>
    </row>
    <row r="62" spans="1:16" ht="15.5" thickTop="1" thickBot="1" x14ac:dyDescent="0.4">
      <c r="A62" s="197" t="str">
        <f>CONCATENATE($A$2," ",$A$3)</f>
        <v>SC12 Rate I</v>
      </c>
      <c r="B62" s="197"/>
      <c r="C62" s="197"/>
      <c r="D62" s="197"/>
      <c r="E62" s="1307" t="s">
        <v>250</v>
      </c>
      <c r="F62" s="1309"/>
      <c r="H62" s="1307" t="s">
        <v>254</v>
      </c>
      <c r="I62" s="1309"/>
      <c r="J62" s="1307" t="s">
        <v>299</v>
      </c>
      <c r="K62" s="1309"/>
      <c r="L62" s="1307" t="s">
        <v>77</v>
      </c>
      <c r="M62" s="1309"/>
      <c r="N62" s="1307" t="s">
        <v>381</v>
      </c>
      <c r="O62" s="1309"/>
    </row>
    <row r="63" spans="1:16" ht="15" thickTop="1" x14ac:dyDescent="0.35">
      <c r="A63" s="197"/>
      <c r="B63" s="197"/>
      <c r="C63" s="197"/>
      <c r="D63" s="197"/>
      <c r="E63" s="30" t="s">
        <v>42</v>
      </c>
      <c r="F63" s="30" t="s">
        <v>40</v>
      </c>
      <c r="G63" s="33"/>
      <c r="H63" s="30" t="s">
        <v>42</v>
      </c>
      <c r="I63" s="30" t="s">
        <v>40</v>
      </c>
      <c r="J63" s="30" t="s">
        <v>42</v>
      </c>
      <c r="K63" s="30" t="s">
        <v>40</v>
      </c>
      <c r="L63" s="30" t="s">
        <v>42</v>
      </c>
      <c r="M63" s="30" t="s">
        <v>40</v>
      </c>
      <c r="N63" s="30" t="s">
        <v>42</v>
      </c>
      <c r="O63" s="30" t="s">
        <v>40</v>
      </c>
    </row>
    <row r="64" spans="1:16" ht="15" thickBot="1" x14ac:dyDescent="0.4">
      <c r="A64" s="197"/>
      <c r="B64" s="197"/>
      <c r="C64" s="197"/>
      <c r="D64" s="197"/>
      <c r="E64" s="200" t="s">
        <v>50</v>
      </c>
      <c r="F64" s="200" t="s">
        <v>49</v>
      </c>
      <c r="G64" s="33" t="s">
        <v>388</v>
      </c>
      <c r="H64" s="200" t="s">
        <v>2066</v>
      </c>
      <c r="I64" s="30"/>
      <c r="J64" s="330">
        <f>M55</f>
        <v>0</v>
      </c>
      <c r="K64" s="136" t="s">
        <v>1733</v>
      </c>
      <c r="L64" s="30"/>
      <c r="M64" s="30"/>
      <c r="N64" s="30"/>
      <c r="O64" s="30"/>
    </row>
    <row r="65" spans="1:16" ht="15" thickBot="1" x14ac:dyDescent="0.4">
      <c r="A65" s="3" t="s">
        <v>252</v>
      </c>
      <c r="B65" s="123" t="str">
        <f>$B$52</f>
        <v>0</v>
      </c>
      <c r="C65" s="123" t="str">
        <f>$C$52</f>
        <v>-</v>
      </c>
      <c r="D65" s="123">
        <f>$D$52</f>
        <v>5</v>
      </c>
      <c r="E65" s="312">
        <f>G12</f>
        <v>187.11</v>
      </c>
      <c r="F65" s="312">
        <f>G14</f>
        <v>105.06</v>
      </c>
      <c r="G65" s="33" t="s">
        <v>384</v>
      </c>
      <c r="H65" s="313">
        <f>E65-$F$65</f>
        <v>82.050000000000011</v>
      </c>
      <c r="I65" s="314"/>
      <c r="J65" s="313">
        <f>H65</f>
        <v>82.050000000000011</v>
      </c>
      <c r="K65" s="314"/>
      <c r="L65" s="315" t="str">
        <f>CONCATENATE($M$65," + ",J65)</f>
        <v>X + 82.05</v>
      </c>
      <c r="M65" s="316" t="s">
        <v>32</v>
      </c>
      <c r="N65" s="315">
        <f>$O$60+J65</f>
        <v>187.11</v>
      </c>
      <c r="O65" s="316">
        <f>$O$60+K65</f>
        <v>105.06</v>
      </c>
    </row>
    <row r="66" spans="1:16" ht="15" thickBot="1" x14ac:dyDescent="0.4">
      <c r="C66" s="123" t="str">
        <f>$C$53</f>
        <v>&gt;</v>
      </c>
      <c r="D66" s="123">
        <f>$D$53</f>
        <v>5</v>
      </c>
      <c r="E66" s="321">
        <f>G13</f>
        <v>33.840000000000003</v>
      </c>
      <c r="F66" s="322">
        <f>G15</f>
        <v>18.98</v>
      </c>
      <c r="G66" s="33"/>
      <c r="H66" s="313"/>
      <c r="I66" s="314"/>
      <c r="J66" s="313"/>
      <c r="K66" s="314"/>
      <c r="L66" s="317"/>
      <c r="M66" s="318"/>
      <c r="N66" s="317"/>
      <c r="O66" s="318"/>
    </row>
    <row r="67" spans="1:16" x14ac:dyDescent="0.35">
      <c r="C67" s="123"/>
      <c r="D67" s="36"/>
      <c r="E67" s="200" t="s">
        <v>48</v>
      </c>
      <c r="F67" s="200" t="s">
        <v>47</v>
      </c>
      <c r="H67" s="200" t="s">
        <v>2067</v>
      </c>
      <c r="I67" s="200" t="s">
        <v>2068</v>
      </c>
      <c r="J67" s="200" t="s">
        <v>2069</v>
      </c>
      <c r="K67" s="200" t="s">
        <v>2070</v>
      </c>
      <c r="L67" s="337"/>
      <c r="M67" s="338"/>
      <c r="N67" s="337"/>
      <c r="O67" s="338"/>
    </row>
    <row r="68" spans="1:16" ht="15" thickBot="1" x14ac:dyDescent="0.4">
      <c r="A68" s="3" t="s">
        <v>253</v>
      </c>
      <c r="B68" s="123" t="str">
        <f>$B$52</f>
        <v>0</v>
      </c>
      <c r="C68" s="123" t="str">
        <f>$C$52</f>
        <v>-</v>
      </c>
      <c r="D68" s="123">
        <f>$D$52</f>
        <v>5</v>
      </c>
      <c r="E68" s="312">
        <f>G16</f>
        <v>139.91</v>
      </c>
      <c r="F68" s="312">
        <f>G18</f>
        <v>58.02</v>
      </c>
      <c r="G68" s="33" t="s">
        <v>385</v>
      </c>
      <c r="H68" s="313">
        <f>E68-$F$65</f>
        <v>34.849999999999994</v>
      </c>
      <c r="I68" s="313">
        <f>F68-$F$65</f>
        <v>-47.04</v>
      </c>
      <c r="J68" s="313">
        <f>H68-$J$64</f>
        <v>34.849999999999994</v>
      </c>
      <c r="K68" s="313">
        <f>I68-$J$64</f>
        <v>-47.04</v>
      </c>
      <c r="L68" s="319" t="str">
        <f>CONCATENATE($M$65," + ",J68)</f>
        <v>X + 34.85</v>
      </c>
      <c r="M68" s="320" t="str">
        <f>CONCATENATE($M$65," + ",K68)</f>
        <v>X + -47.04</v>
      </c>
      <c r="N68" s="319">
        <f>$O$60+J68</f>
        <v>139.91</v>
      </c>
      <c r="O68" s="320">
        <f>$O$60+K68</f>
        <v>58.02</v>
      </c>
    </row>
    <row r="69" spans="1:16" ht="15" thickBot="1" x14ac:dyDescent="0.4">
      <c r="C69" s="123" t="str">
        <f>$C$53</f>
        <v>&gt;</v>
      </c>
      <c r="D69" s="123">
        <f>$D$53</f>
        <v>5</v>
      </c>
      <c r="E69" s="321">
        <f>G17</f>
        <v>25.29</v>
      </c>
      <c r="F69" s="322">
        <f>G19</f>
        <v>10.450000000000001</v>
      </c>
      <c r="G69" s="33"/>
    </row>
    <row r="70" spans="1:16" ht="15" thickBot="1" x14ac:dyDescent="0.4">
      <c r="A70" s="197"/>
      <c r="B70" s="197"/>
      <c r="C70" s="197"/>
      <c r="D70" s="197"/>
      <c r="E70" s="198"/>
      <c r="G70" s="33"/>
      <c r="N70" s="33" t="s">
        <v>383</v>
      </c>
      <c r="O70" s="83">
        <f>F66</f>
        <v>18.98</v>
      </c>
      <c r="P70" s="136" t="s">
        <v>2065</v>
      </c>
    </row>
    <row r="71" spans="1:16" ht="15.5" thickTop="1" thickBot="1" x14ac:dyDescent="0.4">
      <c r="A71" s="197"/>
      <c r="B71" s="197"/>
      <c r="C71" s="197"/>
      <c r="D71" s="197"/>
      <c r="E71" s="198"/>
      <c r="G71" s="33"/>
      <c r="H71" s="1329" t="s">
        <v>376</v>
      </c>
      <c r="I71" s="1330"/>
      <c r="J71" s="1330"/>
      <c r="K71" s="1330"/>
      <c r="L71" s="1330"/>
      <c r="M71" s="1330"/>
      <c r="N71" s="1330"/>
      <c r="O71" s="1331"/>
    </row>
    <row r="72" spans="1:16" ht="15.5" thickTop="1" thickBot="1" x14ac:dyDescent="0.4">
      <c r="A72" s="197"/>
      <c r="B72" s="197"/>
      <c r="C72" s="197"/>
      <c r="D72" s="197"/>
      <c r="E72" s="198"/>
      <c r="G72" s="33"/>
      <c r="H72" s="1307" t="s">
        <v>254</v>
      </c>
      <c r="I72" s="1309"/>
      <c r="J72" s="1307" t="s">
        <v>299</v>
      </c>
      <c r="K72" s="1309"/>
      <c r="L72" s="1307" t="s">
        <v>77</v>
      </c>
      <c r="M72" s="1309"/>
      <c r="N72" s="1307" t="s">
        <v>381</v>
      </c>
      <c r="O72" s="1309"/>
    </row>
    <row r="73" spans="1:16" ht="15" thickTop="1" x14ac:dyDescent="0.35">
      <c r="A73" s="197"/>
      <c r="B73" s="197"/>
      <c r="C73" s="197"/>
      <c r="D73" s="197"/>
      <c r="E73" s="198"/>
      <c r="G73" s="33"/>
      <c r="H73" s="30" t="s">
        <v>42</v>
      </c>
      <c r="I73" s="30" t="s">
        <v>40</v>
      </c>
      <c r="J73" s="30" t="s">
        <v>42</v>
      </c>
      <c r="K73" s="30" t="s">
        <v>40</v>
      </c>
      <c r="L73" s="30" t="s">
        <v>42</v>
      </c>
      <c r="M73" s="30" t="s">
        <v>40</v>
      </c>
      <c r="N73" s="30" t="s">
        <v>42</v>
      </c>
      <c r="O73" s="30" t="s">
        <v>40</v>
      </c>
    </row>
    <row r="74" spans="1:16" ht="15" thickBot="1" x14ac:dyDescent="0.4">
      <c r="A74" s="197"/>
      <c r="B74" s="197"/>
      <c r="C74" s="197"/>
      <c r="D74" s="197"/>
      <c r="E74" s="198"/>
      <c r="G74" s="33" t="s">
        <v>388</v>
      </c>
      <c r="H74" s="200" t="s">
        <v>2066</v>
      </c>
      <c r="I74" s="30"/>
      <c r="J74" s="330">
        <f>M56</f>
        <v>0</v>
      </c>
      <c r="K74" s="136" t="s">
        <v>1734</v>
      </c>
      <c r="L74" s="30"/>
      <c r="M74" s="30"/>
      <c r="N74" s="30"/>
      <c r="O74" s="30"/>
    </row>
    <row r="75" spans="1:16" x14ac:dyDescent="0.35">
      <c r="A75" s="197"/>
      <c r="B75" s="197"/>
      <c r="C75" s="197"/>
      <c r="D75" s="197"/>
      <c r="E75" s="198"/>
      <c r="G75" s="33" t="s">
        <v>386</v>
      </c>
      <c r="H75" s="323">
        <f>E66-$F$66</f>
        <v>14.860000000000003</v>
      </c>
      <c r="I75" s="323"/>
      <c r="J75" s="340">
        <f>H75</f>
        <v>14.860000000000003</v>
      </c>
      <c r="K75" s="340"/>
      <c r="L75" s="324" t="str">
        <f>CONCATENATE($M$75," + ",J75)</f>
        <v>X + 14.86</v>
      </c>
      <c r="M75" s="325" t="s">
        <v>32</v>
      </c>
      <c r="N75" s="324">
        <f>$O$70+J75</f>
        <v>33.840000000000003</v>
      </c>
      <c r="O75" s="325">
        <f>O70</f>
        <v>18.98</v>
      </c>
    </row>
    <row r="76" spans="1:16" x14ac:dyDescent="0.35">
      <c r="A76" s="197"/>
      <c r="B76" s="197"/>
      <c r="C76" s="197"/>
      <c r="D76" s="197"/>
      <c r="E76" s="198"/>
      <c r="G76" s="33"/>
      <c r="H76" s="200" t="s">
        <v>2067</v>
      </c>
      <c r="I76" s="200" t="s">
        <v>2068</v>
      </c>
      <c r="J76" s="200" t="s">
        <v>2071</v>
      </c>
      <c r="K76" s="200" t="s">
        <v>2072</v>
      </c>
      <c r="L76" s="326"/>
      <c r="M76" s="327"/>
      <c r="N76" s="326"/>
      <c r="O76" s="327"/>
    </row>
    <row r="77" spans="1:16" ht="15" thickBot="1" x14ac:dyDescent="0.4">
      <c r="A77" s="197"/>
      <c r="B77" s="197"/>
      <c r="C77" s="197"/>
      <c r="D77" s="197"/>
      <c r="E77" s="198"/>
      <c r="G77" s="33" t="s">
        <v>387</v>
      </c>
      <c r="H77" s="323">
        <f>E69-$F$66</f>
        <v>6.3099999999999987</v>
      </c>
      <c r="I77" s="323">
        <f>F69-$F$66</f>
        <v>-8.5299999999999994</v>
      </c>
      <c r="J77" s="340">
        <f>H77-$J$74</f>
        <v>6.3099999999999987</v>
      </c>
      <c r="K77" s="340">
        <f>I77-$J$74</f>
        <v>-8.5299999999999994</v>
      </c>
      <c r="L77" s="328" t="str">
        <f>CONCATENATE($M$75," + ",J77)</f>
        <v>X + 6.31</v>
      </c>
      <c r="M77" s="329" t="str">
        <f>CONCATENATE($M$75," + ",K77)</f>
        <v>X + -8.53</v>
      </c>
      <c r="N77" s="328">
        <f>$O$70+J77</f>
        <v>25.29</v>
      </c>
      <c r="O77" s="329">
        <f>$O$70+K77</f>
        <v>10.450000000000001</v>
      </c>
    </row>
    <row r="78" spans="1:16" x14ac:dyDescent="0.35">
      <c r="A78" s="197"/>
      <c r="B78" s="197"/>
      <c r="C78" s="197"/>
      <c r="D78" s="197"/>
      <c r="E78" s="198"/>
      <c r="G78" s="33"/>
    </row>
    <row r="79" spans="1:16" x14ac:dyDescent="0.35">
      <c r="A79" s="407" t="s">
        <v>1543</v>
      </c>
      <c r="B79" s="197"/>
      <c r="C79" s="197"/>
      <c r="D79" s="197"/>
      <c r="E79" s="198"/>
    </row>
    <row r="80" spans="1:16" x14ac:dyDescent="0.35">
      <c r="A80"/>
      <c r="B80"/>
      <c r="C80"/>
      <c r="D80"/>
      <c r="F80" s="135" t="s">
        <v>26</v>
      </c>
      <c r="G80" s="135" t="s">
        <v>116</v>
      </c>
      <c r="H80" s="135" t="s">
        <v>115</v>
      </c>
      <c r="L80" s="35"/>
      <c r="M80" s="35"/>
      <c r="N80" s="35"/>
      <c r="O80" s="35"/>
    </row>
    <row r="81" spans="1:13" x14ac:dyDescent="0.35">
      <c r="A81" t="s">
        <v>114</v>
      </c>
      <c r="B81" s="296">
        <f>$L$7</f>
        <v>0</v>
      </c>
      <c r="C81" s="296" t="str">
        <f>$M$7</f>
        <v>-</v>
      </c>
      <c r="D81" s="296">
        <f>$N$7</f>
        <v>5</v>
      </c>
      <c r="E81" s="3" t="s">
        <v>25</v>
      </c>
      <c r="F81" s="484">
        <f>O10</f>
        <v>912</v>
      </c>
      <c r="G81" s="752">
        <f>G12</f>
        <v>187.11</v>
      </c>
      <c r="H81" s="134">
        <f>ROUND(F81*G81,0)</f>
        <v>170644</v>
      </c>
      <c r="I81" s="136" t="s">
        <v>2073</v>
      </c>
    </row>
    <row r="82" spans="1:13" x14ac:dyDescent="0.35">
      <c r="A82" t="s">
        <v>113</v>
      </c>
      <c r="B82" s="296">
        <f>$L$12</f>
        <v>0</v>
      </c>
      <c r="C82" s="296" t="str">
        <f>$M$12</f>
        <v>-</v>
      </c>
      <c r="D82" s="296">
        <f>$N$12</f>
        <v>5</v>
      </c>
      <c r="E82" s="3" t="s">
        <v>25</v>
      </c>
      <c r="F82" s="484">
        <f>O15</f>
        <v>1824</v>
      </c>
      <c r="G82" s="752">
        <f>G14</f>
        <v>105.06</v>
      </c>
      <c r="H82" s="134">
        <f>ROUND(F82*G82,0)</f>
        <v>191629</v>
      </c>
      <c r="I82" s="136" t="s">
        <v>2074</v>
      </c>
      <c r="L82" s="35"/>
      <c r="M82" s="35"/>
    </row>
    <row r="83" spans="1:13" x14ac:dyDescent="0.35">
      <c r="A83" t="s">
        <v>112</v>
      </c>
      <c r="B83" s="296">
        <f>$L$17</f>
        <v>0</v>
      </c>
      <c r="C83" s="296" t="str">
        <f>$M$17</f>
        <v>-</v>
      </c>
      <c r="D83" s="296">
        <f>$N$17</f>
        <v>5</v>
      </c>
      <c r="E83" s="3" t="s">
        <v>25</v>
      </c>
      <c r="F83" s="484">
        <f>O20</f>
        <v>0</v>
      </c>
      <c r="G83" s="752">
        <f>N68</f>
        <v>139.91</v>
      </c>
      <c r="H83" s="134">
        <f>ROUND(F83*G83,0)</f>
        <v>0</v>
      </c>
      <c r="I83" s="136" t="s">
        <v>2075</v>
      </c>
    </row>
    <row r="84" spans="1:13" x14ac:dyDescent="0.35">
      <c r="A84" t="s">
        <v>111</v>
      </c>
      <c r="B84" s="296">
        <f>$L$22</f>
        <v>0</v>
      </c>
      <c r="C84" s="296" t="str">
        <f>$M$22</f>
        <v>-</v>
      </c>
      <c r="D84" s="296">
        <f>$N$22</f>
        <v>5</v>
      </c>
      <c r="E84" s="3" t="s">
        <v>25</v>
      </c>
      <c r="F84" s="484">
        <f>O25</f>
        <v>0</v>
      </c>
      <c r="G84" s="752">
        <f>O68</f>
        <v>58.02</v>
      </c>
      <c r="H84" s="134">
        <f>ROUND(F84*G84,0)</f>
        <v>0</v>
      </c>
      <c r="I84" s="136" t="s">
        <v>2076</v>
      </c>
    </row>
    <row r="85" spans="1:13" x14ac:dyDescent="0.35">
      <c r="A85" t="s">
        <v>110</v>
      </c>
      <c r="B85"/>
      <c r="C85"/>
      <c r="D85"/>
      <c r="F85" s="1"/>
      <c r="G85" s="1"/>
      <c r="H85" s="140">
        <f>SUM(H81:H84)</f>
        <v>362273</v>
      </c>
      <c r="I85" s="136" t="s">
        <v>2077</v>
      </c>
    </row>
    <row r="86" spans="1:13" ht="15" thickBot="1" x14ac:dyDescent="0.4">
      <c r="A86" t="s">
        <v>391</v>
      </c>
      <c r="B86"/>
      <c r="C86"/>
      <c r="D86"/>
      <c r="F86"/>
      <c r="G86"/>
      <c r="H86" s="280"/>
      <c r="I86" s="136" t="s">
        <v>2078</v>
      </c>
    </row>
    <row r="87" spans="1:13" ht="15.5" thickTop="1" thickBot="1" x14ac:dyDescent="0.4">
      <c r="A87" t="s">
        <v>392</v>
      </c>
      <c r="B87"/>
      <c r="C87"/>
      <c r="D87"/>
      <c r="F87"/>
      <c r="G87"/>
      <c r="H87" s="138">
        <f>ROUND(H85*(1+H86),0)</f>
        <v>362273</v>
      </c>
      <c r="I87" s="136" t="s">
        <v>2079</v>
      </c>
    </row>
    <row r="88" spans="1:13" ht="15" thickTop="1" x14ac:dyDescent="0.35">
      <c r="A88" s="197"/>
      <c r="B88" s="197"/>
      <c r="C88" s="197"/>
      <c r="D88" s="197"/>
      <c r="E88" s="198"/>
    </row>
    <row r="89" spans="1:13" x14ac:dyDescent="0.35">
      <c r="A89" s="197"/>
      <c r="B89" s="197"/>
      <c r="C89" s="197"/>
      <c r="D89" s="197"/>
      <c r="E89" s="198"/>
    </row>
    <row r="90" spans="1:13" x14ac:dyDescent="0.35">
      <c r="A90" s="407" t="s">
        <v>1542</v>
      </c>
      <c r="B90" s="197"/>
      <c r="C90" s="197"/>
      <c r="D90" s="197"/>
      <c r="E90" s="198"/>
    </row>
    <row r="91" spans="1:13" x14ac:dyDescent="0.35">
      <c r="A91" s="197" t="str">
        <f>CONCATENATE($A$2," ",$A$3)</f>
        <v>SC12 Rate I</v>
      </c>
      <c r="B91" s="197"/>
      <c r="C91" s="197"/>
      <c r="D91" s="197"/>
      <c r="E91" s="198"/>
    </row>
    <row r="92" spans="1:13" x14ac:dyDescent="0.35">
      <c r="A92" s="226" t="s">
        <v>301</v>
      </c>
      <c r="B92" s="197"/>
      <c r="C92" s="197"/>
      <c r="D92" s="197"/>
      <c r="E92" s="198"/>
      <c r="H92" s="278">
        <f>H27</f>
        <v>8125171</v>
      </c>
      <c r="J92" s="136" t="s">
        <v>1694</v>
      </c>
    </row>
    <row r="93" spans="1:13" x14ac:dyDescent="0.35">
      <c r="A93" s="226" t="s">
        <v>303</v>
      </c>
      <c r="B93" s="197"/>
      <c r="C93" s="197"/>
      <c r="D93" s="197"/>
      <c r="E93" s="198"/>
      <c r="H93" s="279">
        <f>H28</f>
        <v>138392</v>
      </c>
      <c r="J93" s="136" t="s">
        <v>1695</v>
      </c>
    </row>
    <row r="94" spans="1:13" x14ac:dyDescent="0.35">
      <c r="B94" s="197"/>
      <c r="C94" s="197"/>
      <c r="D94" s="197"/>
      <c r="E94" s="198"/>
      <c r="I94" s="277">
        <f>H92+H93</f>
        <v>8263563</v>
      </c>
      <c r="J94" s="136" t="s">
        <v>2080</v>
      </c>
    </row>
    <row r="95" spans="1:13" ht="15" thickBot="1" x14ac:dyDescent="0.4">
      <c r="A95" s="226" t="s">
        <v>393</v>
      </c>
      <c r="B95" s="197"/>
      <c r="C95" s="197"/>
      <c r="D95" s="197"/>
      <c r="E95" s="198"/>
      <c r="I95" s="278">
        <f>H87</f>
        <v>362273</v>
      </c>
      <c r="J95" s="136" t="s">
        <v>2081</v>
      </c>
    </row>
    <row r="96" spans="1:13" ht="15.5" thickTop="1" thickBot="1" x14ac:dyDescent="0.4">
      <c r="A96" s="75" t="s">
        <v>394</v>
      </c>
      <c r="B96" s="197"/>
      <c r="C96" s="197"/>
      <c r="D96" s="197"/>
      <c r="E96" s="198"/>
      <c r="I96" s="333">
        <f>I94-I95</f>
        <v>7901290</v>
      </c>
      <c r="J96" s="136" t="s">
        <v>2082</v>
      </c>
    </row>
    <row r="97" spans="1:11" ht="15" thickTop="1" x14ac:dyDescent="0.35">
      <c r="A97" s="197"/>
      <c r="B97" s="197"/>
      <c r="C97" s="197"/>
      <c r="D97" s="197"/>
      <c r="E97" s="198"/>
    </row>
    <row r="98" spans="1:11" x14ac:dyDescent="0.35">
      <c r="A98" s="197"/>
      <c r="B98" s="197"/>
      <c r="C98" s="197"/>
      <c r="D98" s="197"/>
      <c r="E98" s="198"/>
    </row>
    <row r="99" spans="1:11" x14ac:dyDescent="0.35">
      <c r="A99" s="334" t="s">
        <v>395</v>
      </c>
      <c r="B99" s="197"/>
      <c r="C99" s="197"/>
      <c r="D99" s="197"/>
      <c r="E99" s="198"/>
    </row>
    <row r="100" spans="1:11" x14ac:dyDescent="0.35">
      <c r="A100" s="197" t="str">
        <f>CONCATENATE($A$2," ",$A$3)</f>
        <v>SC12 Rate I</v>
      </c>
      <c r="B100" s="197"/>
      <c r="C100" s="197"/>
      <c r="D100" s="197"/>
      <c r="E100" s="198"/>
    </row>
    <row r="101" spans="1:11" ht="15" thickBot="1" x14ac:dyDescent="0.4">
      <c r="A101" s="86" t="s">
        <v>300</v>
      </c>
      <c r="B101" s="197"/>
      <c r="C101" s="197"/>
      <c r="D101" s="197"/>
      <c r="E101" s="30"/>
      <c r="G101" s="30" t="s">
        <v>25</v>
      </c>
    </row>
    <row r="102" spans="1:11" x14ac:dyDescent="0.35">
      <c r="A102" s="3" t="s">
        <v>114</v>
      </c>
      <c r="B102" s="197"/>
      <c r="C102" s="271" t="str">
        <f>C66</f>
        <v>&gt;</v>
      </c>
      <c r="D102" s="271">
        <f>D66</f>
        <v>5</v>
      </c>
      <c r="E102" s="3" t="s">
        <v>25</v>
      </c>
      <c r="G102" s="274">
        <f>P8</f>
        <v>88600</v>
      </c>
      <c r="H102" s="74" t="str">
        <f>CONCATENATE("* [",$L$75,"]")</f>
        <v>* [X + 14.86]</v>
      </c>
      <c r="I102" s="136" t="s">
        <v>2091</v>
      </c>
    </row>
    <row r="103" spans="1:11" x14ac:dyDescent="0.35">
      <c r="A103" s="3" t="s">
        <v>113</v>
      </c>
      <c r="B103" s="197"/>
      <c r="C103" s="272" t="str">
        <f>$C$102</f>
        <v>&gt;</v>
      </c>
      <c r="D103" s="272">
        <f>$D$102</f>
        <v>5</v>
      </c>
      <c r="E103" s="3" t="s">
        <v>25</v>
      </c>
      <c r="G103" s="274">
        <f>P13</f>
        <v>258373</v>
      </c>
      <c r="H103" s="107" t="str">
        <f>CONCATENATE("* [",$M$75,"]")</f>
        <v>* [X]</v>
      </c>
      <c r="I103" s="136" t="s">
        <v>1763</v>
      </c>
    </row>
    <row r="104" spans="1:11" x14ac:dyDescent="0.35">
      <c r="A104" s="3" t="s">
        <v>112</v>
      </c>
      <c r="B104" s="197"/>
      <c r="C104" s="272" t="str">
        <f t="shared" ref="C104:C105" si="0">$C$102</f>
        <v>&gt;</v>
      </c>
      <c r="D104" s="272">
        <f t="shared" ref="D104:D105" si="1">$D$102</f>
        <v>5</v>
      </c>
      <c r="E104" s="3" t="s">
        <v>25</v>
      </c>
      <c r="G104" s="274">
        <f>P18</f>
        <v>0</v>
      </c>
      <c r="H104" s="107" t="str">
        <f>CONCATENATE("* [",$L$77,"]")</f>
        <v>* [X + 6.31]</v>
      </c>
      <c r="I104" s="136" t="s">
        <v>2092</v>
      </c>
    </row>
    <row r="105" spans="1:11" ht="15" thickBot="1" x14ac:dyDescent="0.4">
      <c r="A105" s="3" t="s">
        <v>111</v>
      </c>
      <c r="B105" s="197"/>
      <c r="C105" s="272" t="str">
        <f t="shared" si="0"/>
        <v>&gt;</v>
      </c>
      <c r="D105" s="272">
        <f t="shared" si="1"/>
        <v>5</v>
      </c>
      <c r="E105" s="3" t="s">
        <v>25</v>
      </c>
      <c r="G105" s="274">
        <f>P23</f>
        <v>0</v>
      </c>
      <c r="H105" s="275" t="str">
        <f>CONCATENATE("* [",$M$77,"]")</f>
        <v>* [X + -8.53]</v>
      </c>
      <c r="I105" s="136" t="s">
        <v>2093</v>
      </c>
    </row>
    <row r="106" spans="1:11" x14ac:dyDescent="0.35">
      <c r="B106" s="197"/>
      <c r="C106" s="197"/>
      <c r="D106" s="197"/>
      <c r="E106" s="273"/>
      <c r="F106" s="273"/>
      <c r="G106" s="28">
        <f>SUM(G102:G105)</f>
        <v>346973</v>
      </c>
      <c r="H106" s="136" t="s">
        <v>1708</v>
      </c>
    </row>
    <row r="107" spans="1:11" x14ac:dyDescent="0.35">
      <c r="A107" s="70" t="s">
        <v>38</v>
      </c>
    </row>
    <row r="108" spans="1:11" x14ac:dyDescent="0.35">
      <c r="A108" s="197" t="str">
        <f>CONCATENATE($A$2," ",$A$3)</f>
        <v>SC12 Rate I</v>
      </c>
    </row>
    <row r="109" spans="1:11" x14ac:dyDescent="0.35">
      <c r="A109" s="3" t="s">
        <v>114</v>
      </c>
      <c r="B109" s="271" t="str">
        <f>C102</f>
        <v>&gt;</v>
      </c>
      <c r="C109" s="271">
        <f>D102</f>
        <v>5</v>
      </c>
      <c r="D109" s="3" t="s">
        <v>25</v>
      </c>
      <c r="E109" s="34">
        <f>I96</f>
        <v>7901290</v>
      </c>
      <c r="F109" s="36" t="s">
        <v>31</v>
      </c>
      <c r="G109" s="28">
        <f>G102</f>
        <v>88600</v>
      </c>
      <c r="H109" s="3" t="s">
        <v>396</v>
      </c>
      <c r="I109" s="308">
        <f>ROUND(G109*$J$75,0)</f>
        <v>1316596</v>
      </c>
      <c r="J109" s="3" t="s">
        <v>62</v>
      </c>
      <c r="K109" s="136" t="s">
        <v>2083</v>
      </c>
    </row>
    <row r="110" spans="1:11" x14ac:dyDescent="0.35">
      <c r="A110" s="3" t="s">
        <v>113</v>
      </c>
      <c r="B110" s="272" t="str">
        <f>$C$102</f>
        <v>&gt;</v>
      </c>
      <c r="C110" s="272">
        <f>$D$102</f>
        <v>5</v>
      </c>
      <c r="D110" s="3" t="s">
        <v>25</v>
      </c>
      <c r="G110" s="28">
        <f>G103</f>
        <v>258373</v>
      </c>
      <c r="H110" s="3" t="s">
        <v>396</v>
      </c>
      <c r="I110" s="308">
        <f>ROUND(G110*$K$75,0)</f>
        <v>0</v>
      </c>
      <c r="J110" s="3" t="s">
        <v>62</v>
      </c>
      <c r="K110" s="136" t="s">
        <v>1763</v>
      </c>
    </row>
    <row r="111" spans="1:11" x14ac:dyDescent="0.35">
      <c r="A111" s="3" t="s">
        <v>112</v>
      </c>
      <c r="B111" s="272" t="str">
        <f t="shared" ref="B111:B112" si="2">$C$102</f>
        <v>&gt;</v>
      </c>
      <c r="C111" s="272">
        <f t="shared" ref="C111:C112" si="3">$D$102</f>
        <v>5</v>
      </c>
      <c r="D111" s="3" t="s">
        <v>25</v>
      </c>
      <c r="G111" s="28">
        <f>G104</f>
        <v>0</v>
      </c>
      <c r="H111" s="3" t="s">
        <v>396</v>
      </c>
      <c r="I111" s="308">
        <f>ROUND(G111*$J$77,0)</f>
        <v>0</v>
      </c>
      <c r="J111" s="3" t="s">
        <v>62</v>
      </c>
      <c r="K111" s="136" t="s">
        <v>2084</v>
      </c>
    </row>
    <row r="112" spans="1:11" x14ac:dyDescent="0.35">
      <c r="A112" s="3" t="s">
        <v>111</v>
      </c>
      <c r="B112" s="272" t="str">
        <f t="shared" si="2"/>
        <v>&gt;</v>
      </c>
      <c r="C112" s="272">
        <f t="shared" si="3"/>
        <v>5</v>
      </c>
      <c r="D112" s="3" t="s">
        <v>25</v>
      </c>
      <c r="G112" s="38">
        <f>G105</f>
        <v>0</v>
      </c>
      <c r="H112" s="3" t="s">
        <v>396</v>
      </c>
      <c r="I112" s="335">
        <f>ROUND(G112*$K$77,0)</f>
        <v>0</v>
      </c>
      <c r="J112" s="3" t="s">
        <v>62</v>
      </c>
      <c r="K112" s="136" t="s">
        <v>2085</v>
      </c>
    </row>
    <row r="113" spans="1:11" x14ac:dyDescent="0.35">
      <c r="E113" s="34">
        <f>E109</f>
        <v>7901290</v>
      </c>
      <c r="F113" s="36" t="s">
        <v>31</v>
      </c>
      <c r="G113" s="28">
        <f>SUM(G109:G112)</f>
        <v>346973</v>
      </c>
      <c r="H113" s="3" t="s">
        <v>396</v>
      </c>
      <c r="I113" s="103">
        <f>SUM(I109:I112)</f>
        <v>1316596</v>
      </c>
      <c r="J113" s="136" t="s">
        <v>2086</v>
      </c>
      <c r="K113" s="136" t="s">
        <v>2087</v>
      </c>
    </row>
    <row r="114" spans="1:11" x14ac:dyDescent="0.35">
      <c r="E114" s="34"/>
      <c r="F114" s="36"/>
      <c r="G114" s="28"/>
      <c r="I114" s="103"/>
      <c r="K114" s="136" t="s">
        <v>2088</v>
      </c>
    </row>
    <row r="115" spans="1:11" x14ac:dyDescent="0.35">
      <c r="E115" s="34">
        <f>E113-I113</f>
        <v>6584694</v>
      </c>
      <c r="F115" s="36" t="s">
        <v>31</v>
      </c>
      <c r="G115" s="28">
        <f>G113</f>
        <v>346973</v>
      </c>
      <c r="H115" s="3" t="s">
        <v>32</v>
      </c>
      <c r="I115" s="103"/>
      <c r="K115" s="136" t="s">
        <v>2089</v>
      </c>
    </row>
    <row r="116" spans="1:11" ht="15" thickBot="1" x14ac:dyDescent="0.4">
      <c r="G116" s="28"/>
      <c r="I116" s="103"/>
      <c r="K116" s="136"/>
    </row>
    <row r="117" spans="1:11" ht="15.5" thickTop="1" thickBot="1" x14ac:dyDescent="0.4">
      <c r="E117" s="33" t="s">
        <v>32</v>
      </c>
      <c r="F117" s="36" t="s">
        <v>31</v>
      </c>
      <c r="G117" s="336">
        <f>ROUND(E115/G115,2)</f>
        <v>18.98</v>
      </c>
      <c r="H117" s="136" t="s">
        <v>2094</v>
      </c>
      <c r="I117" s="103"/>
      <c r="K117" s="136" t="s">
        <v>2090</v>
      </c>
    </row>
    <row r="118" spans="1:11" ht="15" thickTop="1" x14ac:dyDescent="0.35"/>
    <row r="119" spans="1:11" x14ac:dyDescent="0.35">
      <c r="A119" s="407" t="s">
        <v>1544</v>
      </c>
      <c r="B119" s="70"/>
      <c r="C119" s="70"/>
      <c r="D119" s="70"/>
    </row>
    <row r="120" spans="1:11" x14ac:dyDescent="0.35">
      <c r="A120" s="197" t="str">
        <f>CONCATENATE($A$2," ",$A$3)</f>
        <v>SC12 Rate I</v>
      </c>
      <c r="B120" s="70"/>
      <c r="C120" s="70"/>
      <c r="D120" s="70"/>
    </row>
    <row r="121" spans="1:11" x14ac:dyDescent="0.35">
      <c r="A121" s="75" t="s">
        <v>374</v>
      </c>
      <c r="B121" s="1332">
        <f>$F$33</f>
        <v>2019</v>
      </c>
      <c r="C121" s="1332"/>
      <c r="D121" s="1332"/>
    </row>
    <row r="122" spans="1:11" x14ac:dyDescent="0.35">
      <c r="A122" s="75" t="s">
        <v>297</v>
      </c>
      <c r="B122" s="1332">
        <f>$F$34</f>
        <v>2017</v>
      </c>
      <c r="C122" s="1332"/>
      <c r="D122" s="1332"/>
    </row>
    <row r="123" spans="1:11" x14ac:dyDescent="0.35">
      <c r="A123" s="190"/>
      <c r="B123" s="190"/>
      <c r="C123" s="190"/>
      <c r="D123" s="190"/>
    </row>
    <row r="124" spans="1:11" x14ac:dyDescent="0.35">
      <c r="A124" s="334" t="str">
        <f>CONCATENATE($A$33," at Proposed Demand Rates")</f>
        <v>SC12 Rate I at Proposed Demand Rates</v>
      </c>
      <c r="B124" s="190"/>
      <c r="C124" s="190"/>
      <c r="D124" s="190"/>
    </row>
    <row r="125" spans="1:11" ht="15" thickBot="1" x14ac:dyDescent="0.4">
      <c r="A125" s="42"/>
      <c r="B125" s="190"/>
      <c r="C125" s="190"/>
      <c r="D125" s="190"/>
    </row>
    <row r="126" spans="1:11" ht="15.5" thickTop="1" thickBot="1" x14ac:dyDescent="0.4">
      <c r="A126" s="190"/>
      <c r="B126" s="190"/>
      <c r="C126" s="190"/>
      <c r="D126" s="190"/>
      <c r="E126" s="1338" t="s">
        <v>398</v>
      </c>
      <c r="F126" s="1339"/>
    </row>
    <row r="127" spans="1:11" ht="15.5" thickTop="1" thickBot="1" x14ac:dyDescent="0.4">
      <c r="A127" s="197" t="str">
        <f>CONCATENATE($A$2," ",$A$3)</f>
        <v>SC12 Rate I</v>
      </c>
      <c r="B127" s="197"/>
      <c r="C127" s="197"/>
      <c r="D127" s="197"/>
      <c r="E127" s="1307" t="s">
        <v>235</v>
      </c>
      <c r="F127" s="1309"/>
      <c r="H127" s="1307" t="s">
        <v>399</v>
      </c>
      <c r="I127" s="1309"/>
    </row>
    <row r="128" spans="1:11" ht="15" thickTop="1" x14ac:dyDescent="0.35">
      <c r="A128" s="197"/>
      <c r="B128" s="197"/>
      <c r="C128" s="197"/>
      <c r="D128" s="197"/>
      <c r="E128" s="30" t="s">
        <v>42</v>
      </c>
      <c r="F128" s="30" t="s">
        <v>40</v>
      </c>
      <c r="H128" s="30" t="s">
        <v>42</v>
      </c>
      <c r="I128" s="30" t="s">
        <v>40</v>
      </c>
    </row>
    <row r="129" spans="1:11" x14ac:dyDescent="0.35">
      <c r="A129" s="197"/>
      <c r="B129" s="197"/>
      <c r="C129" s="197"/>
      <c r="D129" s="197"/>
      <c r="E129" s="30"/>
      <c r="F129" s="30"/>
    </row>
    <row r="130" spans="1:11" ht="15" thickBot="1" x14ac:dyDescent="0.4">
      <c r="A130" s="3" t="s">
        <v>252</v>
      </c>
      <c r="B130" s="123" t="str">
        <f>$B$52</f>
        <v>0</v>
      </c>
      <c r="C130" s="123" t="str">
        <f>$C$52</f>
        <v>-</v>
      </c>
      <c r="D130" s="123">
        <f>$D$52</f>
        <v>5</v>
      </c>
      <c r="E130" s="339">
        <f>G81</f>
        <v>187.11</v>
      </c>
      <c r="F130" s="339">
        <f>G82</f>
        <v>105.06</v>
      </c>
      <c r="G130" s="136" t="s">
        <v>2095</v>
      </c>
    </row>
    <row r="131" spans="1:11" ht="15" thickBot="1" x14ac:dyDescent="0.4">
      <c r="C131" s="123" t="str">
        <f>$C$53</f>
        <v>&gt;</v>
      </c>
      <c r="D131" s="123">
        <f>$D$53</f>
        <v>5</v>
      </c>
      <c r="E131" s="321">
        <f>J75+$G$117</f>
        <v>33.840000000000003</v>
      </c>
      <c r="F131" s="322">
        <f>K75+$G$117</f>
        <v>18.98</v>
      </c>
      <c r="G131" s="136" t="s">
        <v>2096</v>
      </c>
      <c r="H131" s="35"/>
    </row>
    <row r="132" spans="1:11" x14ac:dyDescent="0.35">
      <c r="C132" s="123"/>
      <c r="D132" s="36"/>
      <c r="E132" s="27"/>
      <c r="F132" s="27"/>
      <c r="G132" s="136"/>
    </row>
    <row r="133" spans="1:11" ht="15" thickBot="1" x14ac:dyDescent="0.4">
      <c r="A133" s="3" t="s">
        <v>253</v>
      </c>
      <c r="B133" s="123" t="str">
        <f>$B$52</f>
        <v>0</v>
      </c>
      <c r="C133" s="123" t="str">
        <f>$C$52</f>
        <v>-</v>
      </c>
      <c r="D133" s="123">
        <f>$D$52</f>
        <v>5</v>
      </c>
      <c r="E133" s="339">
        <f>G83</f>
        <v>139.91</v>
      </c>
      <c r="F133" s="339">
        <f>G84</f>
        <v>58.02</v>
      </c>
      <c r="G133" s="136" t="s">
        <v>2097</v>
      </c>
      <c r="H133" s="27">
        <f>E130-E133</f>
        <v>47.200000000000017</v>
      </c>
      <c r="I133" s="27">
        <f>F130-F133</f>
        <v>47.04</v>
      </c>
      <c r="J133" s="136" t="s">
        <v>2099</v>
      </c>
      <c r="K133" s="136" t="s">
        <v>2100</v>
      </c>
    </row>
    <row r="134" spans="1:11" ht="15" thickBot="1" x14ac:dyDescent="0.4">
      <c r="C134" s="123" t="str">
        <f>$C$53</f>
        <v>&gt;</v>
      </c>
      <c r="D134" s="123">
        <f>$D$53</f>
        <v>5</v>
      </c>
      <c r="E134" s="321">
        <f>J77+$G$117</f>
        <v>25.29</v>
      </c>
      <c r="F134" s="322">
        <f>K77+$G$117</f>
        <v>10.450000000000001</v>
      </c>
      <c r="G134" s="136" t="s">
        <v>2098</v>
      </c>
      <c r="H134" s="27">
        <f>E131-E134</f>
        <v>8.5500000000000043</v>
      </c>
      <c r="I134" s="27">
        <f>F131-F134</f>
        <v>8.5299999999999994</v>
      </c>
      <c r="J134" s="136" t="s">
        <v>2101</v>
      </c>
      <c r="K134" s="136" t="s">
        <v>2102</v>
      </c>
    </row>
    <row r="135" spans="1:11" x14ac:dyDescent="0.35">
      <c r="A135" s="190"/>
      <c r="B135" s="190"/>
      <c r="C135" s="190"/>
      <c r="D135" s="190"/>
    </row>
    <row r="136" spans="1:11" x14ac:dyDescent="0.35">
      <c r="A136" s="190"/>
      <c r="B136" s="190"/>
      <c r="C136" s="190"/>
      <c r="D136" s="190"/>
    </row>
    <row r="137" spans="1:11" x14ac:dyDescent="0.35">
      <c r="A137" s="407" t="s">
        <v>1545</v>
      </c>
      <c r="B137" s="190"/>
      <c r="C137" s="190"/>
      <c r="D137" s="190"/>
    </row>
    <row r="138" spans="1:11" x14ac:dyDescent="0.35">
      <c r="A138" s="75" t="s">
        <v>402</v>
      </c>
      <c r="B138" s="1332">
        <f>$F$33</f>
        <v>2019</v>
      </c>
      <c r="C138" s="1332"/>
      <c r="D138" s="1332"/>
    </row>
    <row r="139" spans="1:11" x14ac:dyDescent="0.35">
      <c r="A139" s="190"/>
      <c r="B139" s="190"/>
      <c r="C139" s="190"/>
      <c r="D139" s="190"/>
    </row>
    <row r="140" spans="1:11" x14ac:dyDescent="0.35">
      <c r="A140" s="190"/>
      <c r="B140" s="190"/>
      <c r="C140" s="190"/>
      <c r="D140" s="190"/>
      <c r="G140" s="30"/>
      <c r="I140" s="30" t="s">
        <v>14</v>
      </c>
    </row>
    <row r="141" spans="1:11" x14ac:dyDescent="0.35">
      <c r="A141" s="835" t="s">
        <v>27</v>
      </c>
      <c r="E141" s="30" t="s">
        <v>26</v>
      </c>
      <c r="F141" s="30" t="s">
        <v>25</v>
      </c>
      <c r="G141" s="30" t="s">
        <v>235</v>
      </c>
      <c r="I141" s="30" t="s">
        <v>6</v>
      </c>
    </row>
    <row r="142" spans="1:11" x14ac:dyDescent="0.35">
      <c r="A142" s="410" t="s">
        <v>9</v>
      </c>
      <c r="B142" s="123" t="str">
        <f>$B$52</f>
        <v>0</v>
      </c>
      <c r="C142" s="123" t="str">
        <f>$C$52</f>
        <v>-</v>
      </c>
      <c r="D142" s="123">
        <f>$D$52</f>
        <v>5</v>
      </c>
      <c r="E142" s="29">
        <f>O7</f>
        <v>161</v>
      </c>
      <c r="F142" s="29">
        <f>P7</f>
        <v>4560</v>
      </c>
      <c r="G142" s="35">
        <f>E130</f>
        <v>187.11</v>
      </c>
      <c r="H142" s="136" t="s">
        <v>1690</v>
      </c>
      <c r="I142" s="39">
        <f>ROUND(G142*(F142/D142),0)</f>
        <v>170644</v>
      </c>
    </row>
    <row r="143" spans="1:11" x14ac:dyDescent="0.35">
      <c r="A143" s="410"/>
      <c r="C143" s="123" t="str">
        <f>$C$53</f>
        <v>&gt;</v>
      </c>
      <c r="D143" s="123">
        <f>$D$53</f>
        <v>5</v>
      </c>
      <c r="E143" s="29">
        <f>O8</f>
        <v>751</v>
      </c>
      <c r="F143" s="29">
        <f t="shared" ref="F143:F144" si="4">P8</f>
        <v>88600</v>
      </c>
      <c r="G143" s="35">
        <f>E131</f>
        <v>33.840000000000003</v>
      </c>
      <c r="H143" s="136" t="s">
        <v>1710</v>
      </c>
      <c r="I143" s="26">
        <f>ROUND(G143*F143,0)</f>
        <v>2998224</v>
      </c>
    </row>
    <row r="144" spans="1:11" x14ac:dyDescent="0.35">
      <c r="A144" s="410"/>
      <c r="B144" s="36"/>
      <c r="C144" s="36"/>
      <c r="D144" s="36"/>
      <c r="E144" s="38">
        <f>O9</f>
        <v>0</v>
      </c>
      <c r="F144" s="38">
        <f t="shared" si="4"/>
        <v>0</v>
      </c>
      <c r="G144" s="35"/>
      <c r="I144" s="37"/>
    </row>
    <row r="145" spans="1:11" x14ac:dyDescent="0.35">
      <c r="A145" s="410"/>
      <c r="B145" s="36"/>
      <c r="C145" s="36"/>
      <c r="D145" s="36"/>
      <c r="E145" s="28">
        <f>E142+E143+E144</f>
        <v>912</v>
      </c>
      <c r="F145" s="28">
        <f>F142+F143+F144</f>
        <v>93160</v>
      </c>
      <c r="G145" s="35"/>
      <c r="I145" s="34">
        <f>I142+I143+I144</f>
        <v>3168868</v>
      </c>
      <c r="J145" s="34"/>
      <c r="K145" s="36" t="s">
        <v>10</v>
      </c>
    </row>
    <row r="146" spans="1:11" x14ac:dyDescent="0.35">
      <c r="A146" s="410"/>
      <c r="B146" s="36"/>
      <c r="C146" s="36"/>
      <c r="D146" s="36"/>
      <c r="E146" s="28"/>
      <c r="F146" s="28"/>
      <c r="G146" s="35"/>
      <c r="H146" s="33" t="s">
        <v>22</v>
      </c>
      <c r="I146" s="34">
        <f>ROUND(I145*(K146-1),0)</f>
        <v>37773</v>
      </c>
      <c r="J146" s="33" t="s">
        <v>23</v>
      </c>
      <c r="K146" s="40">
        <f>$G$22</f>
        <v>1.0119199999999999</v>
      </c>
    </row>
    <row r="147" spans="1:11" x14ac:dyDescent="0.35">
      <c r="A147" s="410"/>
      <c r="B147" s="36"/>
      <c r="C147" s="36"/>
      <c r="D147" s="36"/>
      <c r="E147" s="28"/>
      <c r="F147" s="28"/>
      <c r="G147" s="35"/>
      <c r="H147" s="33" t="s">
        <v>21</v>
      </c>
      <c r="I147" s="32">
        <f>I145+I146</f>
        <v>3206641</v>
      </c>
      <c r="J147" s="8"/>
    </row>
    <row r="148" spans="1:11" x14ac:dyDescent="0.35">
      <c r="A148" s="410"/>
      <c r="I148" s="3"/>
    </row>
    <row r="149" spans="1:11" x14ac:dyDescent="0.35">
      <c r="A149" s="410" t="s">
        <v>8</v>
      </c>
      <c r="B149" s="123" t="str">
        <f>$B$52</f>
        <v>0</v>
      </c>
      <c r="C149" s="123" t="str">
        <f>$C$52</f>
        <v>-</v>
      </c>
      <c r="D149" s="123">
        <f>$D$52</f>
        <v>5</v>
      </c>
      <c r="E149" s="29">
        <f>O17</f>
        <v>0</v>
      </c>
      <c r="F149" s="29">
        <f>P17</f>
        <v>0</v>
      </c>
      <c r="G149" s="35">
        <f>E133</f>
        <v>139.91</v>
      </c>
      <c r="H149" s="136" t="s">
        <v>1692</v>
      </c>
      <c r="I149" s="39">
        <f>ROUND(G149*(F149/D149),0)</f>
        <v>0</v>
      </c>
    </row>
    <row r="150" spans="1:11" x14ac:dyDescent="0.35">
      <c r="A150" s="410"/>
      <c r="C150" s="123" t="str">
        <f>$C$53</f>
        <v>&gt;</v>
      </c>
      <c r="D150" s="123">
        <f>$D$53</f>
        <v>5</v>
      </c>
      <c r="E150" s="29">
        <f t="shared" ref="E150:F151" si="5">O18</f>
        <v>0</v>
      </c>
      <c r="F150" s="29">
        <f t="shared" si="5"/>
        <v>0</v>
      </c>
      <c r="G150" s="35">
        <f>E134</f>
        <v>25.29</v>
      </c>
      <c r="H150" s="136" t="s">
        <v>1712</v>
      </c>
      <c r="I150" s="26">
        <f>ROUND(G150*F150,0)</f>
        <v>0</v>
      </c>
    </row>
    <row r="151" spans="1:11" x14ac:dyDescent="0.35">
      <c r="A151" s="410"/>
      <c r="B151" s="36"/>
      <c r="C151" s="36"/>
      <c r="D151" s="36"/>
      <c r="E151" s="38">
        <f t="shared" si="5"/>
        <v>0</v>
      </c>
      <c r="F151" s="38">
        <f t="shared" si="5"/>
        <v>0</v>
      </c>
      <c r="G151" s="35"/>
      <c r="I151" s="37">
        <f>ROUND(G151*F151,0)</f>
        <v>0</v>
      </c>
    </row>
    <row r="152" spans="1:11" x14ac:dyDescent="0.35">
      <c r="A152" s="410"/>
      <c r="E152" s="28">
        <f>E149+E150+E151</f>
        <v>0</v>
      </c>
      <c r="F152" s="28">
        <f>F149+F150+F151</f>
        <v>0</v>
      </c>
      <c r="G152" s="35"/>
      <c r="I152" s="34">
        <f>I149+I150+I151</f>
        <v>0</v>
      </c>
    </row>
    <row r="153" spans="1:11" x14ac:dyDescent="0.35">
      <c r="A153" s="410"/>
      <c r="E153" s="28"/>
      <c r="F153" s="28"/>
      <c r="G153" s="35"/>
      <c r="H153" s="33" t="s">
        <v>22</v>
      </c>
      <c r="I153" s="34">
        <f>ROUND(I152*(K146-1),0)</f>
        <v>0</v>
      </c>
    </row>
    <row r="154" spans="1:11" x14ac:dyDescent="0.35">
      <c r="A154" s="410"/>
      <c r="E154" s="28"/>
      <c r="F154" s="28"/>
      <c r="G154" s="35"/>
      <c r="H154" s="33" t="s">
        <v>21</v>
      </c>
      <c r="I154" s="32">
        <f>I152+I153</f>
        <v>0</v>
      </c>
    </row>
    <row r="155" spans="1:11" x14ac:dyDescent="0.35">
      <c r="A155" s="410"/>
      <c r="E155" s="28"/>
      <c r="F155" s="28"/>
      <c r="G155" s="35"/>
      <c r="H155" s="33"/>
      <c r="I155" s="34"/>
    </row>
    <row r="156" spans="1:11" x14ac:dyDescent="0.35">
      <c r="A156" s="835" t="s">
        <v>24</v>
      </c>
      <c r="G156" s="30" t="s">
        <v>235</v>
      </c>
      <c r="I156" s="30" t="s">
        <v>6</v>
      </c>
      <c r="J156" s="17"/>
    </row>
    <row r="157" spans="1:11" x14ac:dyDescent="0.35">
      <c r="A157" s="410" t="s">
        <v>9</v>
      </c>
      <c r="B157" s="123" t="str">
        <f>$B$52</f>
        <v>0</v>
      </c>
      <c r="C157" s="123" t="str">
        <f>$C$52</f>
        <v>-</v>
      </c>
      <c r="D157" s="123">
        <f>$D$52</f>
        <v>5</v>
      </c>
      <c r="E157" s="29">
        <f t="shared" ref="E157:F159" si="6">O12</f>
        <v>210</v>
      </c>
      <c r="F157" s="29">
        <f t="shared" si="6"/>
        <v>9120</v>
      </c>
      <c r="G157" s="35">
        <f>F130</f>
        <v>105.06</v>
      </c>
      <c r="H157" s="136" t="s">
        <v>1691</v>
      </c>
      <c r="I157" s="39">
        <f>ROUND(G157*(F157/D157),0)</f>
        <v>191629</v>
      </c>
      <c r="J157" s="17"/>
    </row>
    <row r="158" spans="1:11" x14ac:dyDescent="0.35">
      <c r="A158" s="410"/>
      <c r="C158" s="123" t="str">
        <f>$C$53</f>
        <v>&gt;</v>
      </c>
      <c r="D158" s="123">
        <f>$D$53</f>
        <v>5</v>
      </c>
      <c r="E158" s="29">
        <f t="shared" si="6"/>
        <v>1614</v>
      </c>
      <c r="F158" s="29">
        <f t="shared" si="6"/>
        <v>258373</v>
      </c>
      <c r="G158" s="35">
        <f>F131</f>
        <v>18.98</v>
      </c>
      <c r="H158" s="136" t="s">
        <v>1711</v>
      </c>
      <c r="I158" s="26">
        <f>ROUND(G158*F158,0)</f>
        <v>4903920</v>
      </c>
      <c r="J158" s="17"/>
    </row>
    <row r="159" spans="1:11" x14ac:dyDescent="0.35">
      <c r="B159" s="36"/>
      <c r="C159" s="36"/>
      <c r="D159" s="36"/>
      <c r="E159" s="38">
        <f t="shared" si="6"/>
        <v>0</v>
      </c>
      <c r="F159" s="38">
        <f t="shared" si="6"/>
        <v>0</v>
      </c>
      <c r="G159" s="35"/>
      <c r="I159" s="37">
        <f>ROUND(G159*F159,0)</f>
        <v>0</v>
      </c>
      <c r="J159" s="17"/>
    </row>
    <row r="160" spans="1:11" x14ac:dyDescent="0.35">
      <c r="B160" s="36"/>
      <c r="C160" s="36"/>
      <c r="D160" s="36"/>
      <c r="E160" s="28">
        <f>E157+E158+E159</f>
        <v>1824</v>
      </c>
      <c r="F160" s="28">
        <f>F157+F158+F159</f>
        <v>267493</v>
      </c>
      <c r="G160" s="35"/>
      <c r="I160" s="34">
        <f>I157+I158+I159</f>
        <v>5095549</v>
      </c>
      <c r="K160" s="36" t="s">
        <v>7</v>
      </c>
    </row>
    <row r="161" spans="1:13" x14ac:dyDescent="0.35">
      <c r="B161" s="36"/>
      <c r="C161" s="36"/>
      <c r="D161" s="36"/>
      <c r="E161" s="28"/>
      <c r="F161" s="28"/>
      <c r="G161" s="35"/>
      <c r="H161" s="33" t="s">
        <v>22</v>
      </c>
      <c r="I161" s="34">
        <f>ROUND(I160*(K161-1),0)</f>
        <v>54370</v>
      </c>
      <c r="J161" s="33" t="s">
        <v>23</v>
      </c>
      <c r="K161" s="40">
        <f>$G$23</f>
        <v>1.01067</v>
      </c>
    </row>
    <row r="162" spans="1:13" x14ac:dyDescent="0.35">
      <c r="B162" s="36"/>
      <c r="C162" s="36"/>
      <c r="D162" s="36"/>
      <c r="E162" s="28"/>
      <c r="F162" s="28"/>
      <c r="G162" s="35"/>
      <c r="H162" s="33" t="s">
        <v>21</v>
      </c>
      <c r="I162" s="32">
        <f>I160+I161</f>
        <v>5149919</v>
      </c>
      <c r="J162" s="8"/>
    </row>
    <row r="163" spans="1:13" x14ac:dyDescent="0.35">
      <c r="I163" s="3"/>
    </row>
    <row r="164" spans="1:13" x14ac:dyDescent="0.35">
      <c r="A164" s="3" t="s">
        <v>8</v>
      </c>
      <c r="B164" s="123" t="str">
        <f>$B$52</f>
        <v>0</v>
      </c>
      <c r="C164" s="123" t="str">
        <f>$C$52</f>
        <v>-</v>
      </c>
      <c r="D164" s="123">
        <f>$D$52</f>
        <v>5</v>
      </c>
      <c r="E164" s="29">
        <f t="shared" ref="E164:F166" si="7">O22</f>
        <v>0</v>
      </c>
      <c r="F164" s="29">
        <f t="shared" si="7"/>
        <v>0</v>
      </c>
      <c r="G164" s="35">
        <f>F133</f>
        <v>58.02</v>
      </c>
      <c r="H164" s="136" t="s">
        <v>2103</v>
      </c>
      <c r="I164" s="39">
        <f>ROUND(G164*(F164/D164),0)</f>
        <v>0</v>
      </c>
      <c r="J164" s="17"/>
    </row>
    <row r="165" spans="1:13" x14ac:dyDescent="0.35">
      <c r="C165" s="123" t="str">
        <f>$C$53</f>
        <v>&gt;</v>
      </c>
      <c r="D165" s="123">
        <f>$D$53</f>
        <v>5</v>
      </c>
      <c r="E165" s="29">
        <f t="shared" si="7"/>
        <v>0</v>
      </c>
      <c r="F165" s="29">
        <f t="shared" si="7"/>
        <v>0</v>
      </c>
      <c r="G165" s="35">
        <f>F134</f>
        <v>10.450000000000001</v>
      </c>
      <c r="H165" s="136" t="s">
        <v>1713</v>
      </c>
      <c r="I165" s="26">
        <f>ROUND(G165*F165,0)</f>
        <v>0</v>
      </c>
      <c r="J165" s="17"/>
    </row>
    <row r="166" spans="1:13" x14ac:dyDescent="0.35">
      <c r="B166" s="36"/>
      <c r="C166" s="36"/>
      <c r="D166" s="36"/>
      <c r="E166" s="38">
        <f t="shared" si="7"/>
        <v>0</v>
      </c>
      <c r="F166" s="38">
        <f t="shared" si="7"/>
        <v>0</v>
      </c>
      <c r="G166" s="35"/>
      <c r="I166" s="37">
        <f>ROUND(G166*F166,0)</f>
        <v>0</v>
      </c>
      <c r="J166" s="17"/>
    </row>
    <row r="167" spans="1:13" x14ac:dyDescent="0.35">
      <c r="B167" s="36"/>
      <c r="C167" s="36"/>
      <c r="D167" s="36"/>
      <c r="E167" s="28">
        <f>E164+E165+E166</f>
        <v>0</v>
      </c>
      <c r="F167" s="28">
        <f>F164+F165+F166</f>
        <v>0</v>
      </c>
      <c r="G167" s="35"/>
      <c r="I167" s="34">
        <f>I164+I165+I166</f>
        <v>0</v>
      </c>
      <c r="J167" s="17"/>
    </row>
    <row r="168" spans="1:13" x14ac:dyDescent="0.35">
      <c r="H168" s="33" t="s">
        <v>22</v>
      </c>
      <c r="I168" s="34">
        <f>ROUND(I167*(K161-1),0)</f>
        <v>0</v>
      </c>
      <c r="J168" s="17"/>
    </row>
    <row r="169" spans="1:13" x14ac:dyDescent="0.35">
      <c r="H169" s="33" t="s">
        <v>21</v>
      </c>
      <c r="I169" s="32">
        <f>I167+I168</f>
        <v>0</v>
      </c>
      <c r="J169" s="8"/>
    </row>
    <row r="170" spans="1:13" ht="15" thickBot="1" x14ac:dyDescent="0.4">
      <c r="I170" s="3"/>
    </row>
    <row r="171" spans="1:13" ht="15.5" thickTop="1" thickBot="1" x14ac:dyDescent="0.4">
      <c r="I171" s="24">
        <f>I147+I154+I162+I169</f>
        <v>8356560</v>
      </c>
      <c r="J171" s="8"/>
    </row>
    <row r="172" spans="1:13" ht="15.5" thickTop="1" thickBot="1" x14ac:dyDescent="0.4">
      <c r="I172" s="3"/>
      <c r="L172" s="17"/>
    </row>
    <row r="173" spans="1:13" x14ac:dyDescent="0.35">
      <c r="A173" s="882" t="str">
        <f>$A$33</f>
        <v>SC12 Rate I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1" t="s">
        <v>6</v>
      </c>
      <c r="M173" s="2"/>
    </row>
    <row r="174" spans="1:13" x14ac:dyDescent="0.35">
      <c r="A174" s="11" t="s">
        <v>402</v>
      </c>
      <c r="B174" s="1306">
        <f>$F$33</f>
        <v>2019</v>
      </c>
      <c r="C174" s="1306"/>
      <c r="D174" s="1306"/>
      <c r="E174" s="10"/>
      <c r="F174" s="10"/>
      <c r="G174" s="10"/>
      <c r="H174" s="10"/>
      <c r="I174" s="10"/>
      <c r="J174" s="10"/>
      <c r="K174" s="13"/>
      <c r="L174" s="17"/>
      <c r="M174" s="2"/>
    </row>
    <row r="175" spans="1:13" x14ac:dyDescent="0.35">
      <c r="A175" s="699" t="s">
        <v>403</v>
      </c>
      <c r="B175" s="883"/>
      <c r="C175" s="883"/>
      <c r="D175" s="883"/>
      <c r="E175" s="884"/>
      <c r="F175" s="10"/>
      <c r="G175" s="10"/>
      <c r="H175" s="10"/>
      <c r="I175" s="10"/>
      <c r="J175" s="10"/>
      <c r="K175" s="12">
        <f>I171</f>
        <v>8356560</v>
      </c>
      <c r="L175" s="288"/>
      <c r="M175" s="2"/>
    </row>
    <row r="176" spans="1:13" x14ac:dyDescent="0.35">
      <c r="A176" s="20"/>
      <c r="B176" s="19"/>
      <c r="C176" s="19"/>
      <c r="D176" s="19"/>
      <c r="E176" s="10"/>
      <c r="F176" s="10"/>
      <c r="G176" s="10"/>
      <c r="H176" s="10"/>
      <c r="I176" s="10"/>
      <c r="J176" s="10"/>
      <c r="K176" s="470"/>
      <c r="L176" s="17"/>
      <c r="M176" s="2"/>
    </row>
    <row r="177" spans="1:13" x14ac:dyDescent="0.3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471"/>
      <c r="L177" s="8"/>
      <c r="M177" s="2"/>
    </row>
    <row r="178" spans="1:13" x14ac:dyDescent="0.35">
      <c r="A178" s="11" t="s">
        <v>404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2">
        <f>K175+K176+K177</f>
        <v>8356560</v>
      </c>
      <c r="L178" s="288"/>
    </row>
    <row r="179" spans="1:13" x14ac:dyDescent="0.35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3"/>
      <c r="L179" s="288"/>
    </row>
    <row r="180" spans="1:13" x14ac:dyDescent="0.35">
      <c r="A180" s="11"/>
      <c r="B180" s="10" t="s">
        <v>405</v>
      </c>
      <c r="C180" s="10"/>
      <c r="D180" s="10"/>
      <c r="E180" s="10"/>
      <c r="F180" s="10"/>
      <c r="G180" s="10"/>
      <c r="H180" s="10"/>
      <c r="I180" s="10"/>
      <c r="J180" s="10"/>
      <c r="K180" s="828">
        <f>G29</f>
        <v>8355687</v>
      </c>
      <c r="L180" s="288"/>
    </row>
    <row r="181" spans="1:13" x14ac:dyDescent="0.35">
      <c r="A181" s="11"/>
      <c r="B181" s="10" t="s">
        <v>1</v>
      </c>
      <c r="C181" s="10"/>
      <c r="D181" s="10"/>
      <c r="E181" s="10"/>
      <c r="F181" s="10"/>
      <c r="G181" s="10"/>
      <c r="H181" s="10"/>
      <c r="I181" s="10"/>
      <c r="J181" s="10"/>
      <c r="K181" s="12">
        <f>K178-K180</f>
        <v>873</v>
      </c>
      <c r="L181" s="288"/>
    </row>
    <row r="182" spans="1:13" x14ac:dyDescent="0.35">
      <c r="A182" s="11"/>
      <c r="B182" s="10" t="s">
        <v>0</v>
      </c>
      <c r="C182" s="10"/>
      <c r="D182" s="10"/>
      <c r="E182" s="10"/>
      <c r="F182" s="10"/>
      <c r="G182" s="10"/>
      <c r="H182" s="10"/>
      <c r="I182" s="10"/>
      <c r="J182" s="10"/>
      <c r="K182" s="9">
        <f>K178/K180-1</f>
        <v>1.044797393678909E-4</v>
      </c>
      <c r="L182" s="288"/>
    </row>
    <row r="183" spans="1:13" ht="15" thickBot="1" x14ac:dyDescent="0.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88"/>
    </row>
  </sheetData>
  <mergeCells count="26">
    <mergeCell ref="B174:D174"/>
    <mergeCell ref="H71:O71"/>
    <mergeCell ref="H72:I72"/>
    <mergeCell ref="J72:K72"/>
    <mergeCell ref="L72:M72"/>
    <mergeCell ref="N72:O72"/>
    <mergeCell ref="B121:D121"/>
    <mergeCell ref="B122:D122"/>
    <mergeCell ref="E126:F126"/>
    <mergeCell ref="E127:F127"/>
    <mergeCell ref="H127:I127"/>
    <mergeCell ref="B138:D138"/>
    <mergeCell ref="E61:F61"/>
    <mergeCell ref="H61:O61"/>
    <mergeCell ref="E62:F62"/>
    <mergeCell ref="H62:I62"/>
    <mergeCell ref="J62:K62"/>
    <mergeCell ref="L62:M62"/>
    <mergeCell ref="N62:O62"/>
    <mergeCell ref="E40:H40"/>
    <mergeCell ref="J40:N40"/>
    <mergeCell ref="E41:F41"/>
    <mergeCell ref="J41:K41"/>
    <mergeCell ref="H48:H49"/>
    <mergeCell ref="J48:J49"/>
    <mergeCell ref="E49:G49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36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>
    <tabColor rgb="FF00B0F0"/>
  </sheetPr>
  <dimension ref="A1:Q183"/>
  <sheetViews>
    <sheetView workbookViewId="0">
      <selection activeCell="K34" sqref="K34"/>
    </sheetView>
  </sheetViews>
  <sheetFormatPr defaultColWidth="8.81640625" defaultRowHeight="14.5" x14ac:dyDescent="0.35"/>
  <cols>
    <col min="1" max="1" width="18.26953125" style="3" customWidth="1"/>
    <col min="2" max="4" width="3.7265625" style="3" customWidth="1"/>
    <col min="5" max="7" width="15.7265625" style="3" customWidth="1"/>
    <col min="8" max="8" width="17" style="3" customWidth="1"/>
    <col min="9" max="9" width="17" style="2" customWidth="1"/>
    <col min="10" max="11" width="17" style="3" customWidth="1"/>
    <col min="12" max="12" width="21.453125" style="3" customWidth="1"/>
    <col min="13" max="15" width="17" style="3" customWidth="1"/>
    <col min="16" max="16" width="16.7265625" style="3" customWidth="1"/>
    <col min="17" max="17" width="14.7265625" style="3" customWidth="1"/>
    <col min="18" max="18" width="14.453125" style="3" customWidth="1"/>
    <col min="19" max="21" width="5.1796875" style="3" customWidth="1"/>
    <col min="22" max="24" width="13.7265625" style="3" customWidth="1"/>
    <col min="25" max="16384" width="8.81640625" style="3"/>
  </cols>
  <sheetData>
    <row r="1" spans="1:17" ht="18.5" x14ac:dyDescent="0.35">
      <c r="A1" s="238" t="s">
        <v>2304</v>
      </c>
      <c r="B1" s="70"/>
      <c r="C1" s="70"/>
      <c r="D1" s="70"/>
    </row>
    <row r="2" spans="1:17" x14ac:dyDescent="0.35">
      <c r="A2" s="182" t="s">
        <v>761</v>
      </c>
      <c r="B2" s="180"/>
      <c r="C2" s="180"/>
      <c r="D2" s="180"/>
      <c r="E2" s="180"/>
    </row>
    <row r="3" spans="1:17" x14ac:dyDescent="0.35">
      <c r="A3" s="180"/>
      <c r="B3" s="180"/>
      <c r="C3" s="180"/>
      <c r="D3" s="180"/>
      <c r="E3" s="180"/>
      <c r="F3" s="863" t="s">
        <v>1428</v>
      </c>
      <c r="G3" s="1250">
        <f>'[1]A1.)RatesInput'!$G$3</f>
        <v>2017</v>
      </c>
    </row>
    <row r="4" spans="1:17" x14ac:dyDescent="0.35">
      <c r="A4" s="3" t="s">
        <v>249</v>
      </c>
      <c r="E4" s="180"/>
      <c r="F4" s="863" t="s">
        <v>1078</v>
      </c>
      <c r="G4" s="805" t="str">
        <f>'9A.)HL_RedesignRateSummary'!$D$9</f>
        <v>Current</v>
      </c>
      <c r="H4" s="231"/>
      <c r="J4" s="180"/>
      <c r="K4" s="197" t="str">
        <f>$A$2</f>
        <v>NYPA</v>
      </c>
      <c r="L4" s="2"/>
    </row>
    <row r="5" spans="1:17" x14ac:dyDescent="0.35">
      <c r="F5" s="863" t="s">
        <v>1079</v>
      </c>
      <c r="G5" s="805" t="str">
        <f>'9A.)HL_RedesignRateSummary'!$D$10</f>
        <v>ED shifting</v>
      </c>
      <c r="H5" s="232"/>
      <c r="K5" s="181" t="s">
        <v>147</v>
      </c>
      <c r="L5" s="2"/>
    </row>
    <row r="6" spans="1:17" x14ac:dyDescent="0.35">
      <c r="A6" s="3" t="str">
        <f>CONCATENATE($A$2," NTD (LT)")</f>
        <v>NYPA NTD (LT)</v>
      </c>
      <c r="C6" s="3" t="s">
        <v>168</v>
      </c>
      <c r="G6" s="860">
        <f>IF(ISNUMBER(VLOOKUP($A6,'[1]A1.)RatesInput'!$B$287:$J$309,HLOOKUP(G$4,'[1]A1.)RatesInput'!$B$287:$J$309,2,0),0)),VLOOKUP($A6,'[1]A1.)RatesInput'!$B$287:$J$309,HLOOKUP(G$4,'[1]A1.)RatesInput'!$B$287:$J$309,2,0),0),0)</f>
        <v>27.75</v>
      </c>
      <c r="H6" s="230"/>
      <c r="K6" s="2"/>
      <c r="L6" s="2"/>
      <c r="O6" s="30" t="s">
        <v>26</v>
      </c>
      <c r="P6" s="30" t="s">
        <v>25</v>
      </c>
      <c r="Q6" s="30" t="s">
        <v>44</v>
      </c>
    </row>
    <row r="7" spans="1:17" x14ac:dyDescent="0.35">
      <c r="A7" s="3" t="str">
        <f>CONCATENATE($A$2," NTD (HT)")</f>
        <v>NYPA NTD (HT)</v>
      </c>
      <c r="C7" s="3" t="s">
        <v>168</v>
      </c>
      <c r="G7" s="861">
        <f>IF(ISNUMBER(VLOOKUP($A7,'[1]A1.)RatesInput'!$B$287:$J$309,HLOOKUP(G$4,'[1]A1.)RatesInput'!$B$287:$J$309,2,0),0)),VLOOKUP($A7,'[1]A1.)RatesInput'!$B$287:$J$309,HLOOKUP(G$4,'[1]A1.)RatesInput'!$B$287:$J$309,2,0),0),0)</f>
        <v>18.27</v>
      </c>
      <c r="H7" s="230"/>
      <c r="K7" s="165" t="s">
        <v>114</v>
      </c>
      <c r="L7" s="164">
        <v>0</v>
      </c>
      <c r="M7" s="163" t="s">
        <v>143</v>
      </c>
      <c r="N7" s="880">
        <v>0</v>
      </c>
      <c r="O7" s="161"/>
      <c r="P7" s="161"/>
      <c r="Q7" s="161"/>
    </row>
    <row r="8" spans="1:17" x14ac:dyDescent="0.35">
      <c r="A8" s="3" t="str">
        <f>CONCATENATE($A$2," NTD (LT)")</f>
        <v>NYPA NTD (LT)</v>
      </c>
      <c r="C8" s="3" t="s">
        <v>169</v>
      </c>
      <c r="G8" s="861">
        <f>IF(ISNUMBER(VLOOKUP($A8,'[1]A1.)RatesInput'!$B$315:$J$340,HLOOKUP(G$5,'[1]A1.)RatesInput'!$B$315:$J$340,3,0),0)),VLOOKUP($A8,'[1]A1.)RatesInput'!$B$315:$J$340,HLOOKUP(G$5,'[1]A1.)RatesInput'!$B$315:$J$340,3,0),0),0)</f>
        <v>27.55</v>
      </c>
      <c r="H8" s="230"/>
      <c r="K8" s="170" t="s">
        <v>114</v>
      </c>
      <c r="L8" s="159"/>
      <c r="M8" s="158" t="s">
        <v>141</v>
      </c>
      <c r="N8" s="881">
        <f>N7</f>
        <v>0</v>
      </c>
      <c r="O8" s="733">
        <f>'[1]F4.)NYPA'!$D$8</f>
        <v>35115</v>
      </c>
      <c r="P8" s="733">
        <f>'[1]F4.)NYPA'!$E$8</f>
        <v>3707547</v>
      </c>
      <c r="Q8" s="156"/>
    </row>
    <row r="9" spans="1:17" ht="15" thickBot="1" x14ac:dyDescent="0.4">
      <c r="A9" s="3" t="str">
        <f>CONCATENATE($A$2," NTD (HT)")</f>
        <v>NYPA NTD (HT)</v>
      </c>
      <c r="C9" s="3" t="s">
        <v>169</v>
      </c>
      <c r="G9" s="862">
        <f>IF(ISNUMBER(VLOOKUP($A9,'[1]A1.)RatesInput'!$B$315:$J$340,HLOOKUP(G$5,'[1]A1.)RatesInput'!$B$315:$J$340,3,0),0)),VLOOKUP($A9,'[1]A1.)RatesInput'!$B$315:$J$340,HLOOKUP(G$5,'[1]A1.)RatesInput'!$B$315:$J$340,3,0),0),0)</f>
        <v>19.14</v>
      </c>
      <c r="H9" s="230"/>
      <c r="K9" s="168" t="s">
        <v>114</v>
      </c>
      <c r="L9" s="155"/>
      <c r="M9" s="176"/>
      <c r="N9" s="154"/>
      <c r="O9" s="172"/>
      <c r="P9" s="172"/>
      <c r="Q9" s="171"/>
    </row>
    <row r="10" spans="1:17" ht="15.5" thickTop="1" thickBot="1" x14ac:dyDescent="0.4">
      <c r="K10" s="1"/>
      <c r="L10" s="1"/>
      <c r="M10"/>
      <c r="N10"/>
      <c r="O10" s="151">
        <f>SUM(O7:O9)</f>
        <v>35115</v>
      </c>
      <c r="P10" s="151">
        <f>SUM(P7:P9)</f>
        <v>3707547</v>
      </c>
      <c r="Q10" s="151">
        <f>SUM(Q7:Q9)</f>
        <v>0</v>
      </c>
    </row>
    <row r="11" spans="1:17" ht="15.5" thickTop="1" thickBot="1" x14ac:dyDescent="0.4">
      <c r="F11" s="2"/>
      <c r="G11" s="422" t="str">
        <f>G$5</f>
        <v>ED shifting</v>
      </c>
      <c r="H11" s="423" t="s">
        <v>142</v>
      </c>
      <c r="K11" s="1"/>
      <c r="L11" s="1"/>
      <c r="M11"/>
      <c r="N11"/>
      <c r="O11"/>
      <c r="P11"/>
      <c r="Q11"/>
    </row>
    <row r="12" spans="1:17" ht="15" thickTop="1" x14ac:dyDescent="0.35">
      <c r="F12" s="2"/>
      <c r="G12" s="872"/>
      <c r="H12" s="507"/>
      <c r="K12" s="165" t="s">
        <v>113</v>
      </c>
      <c r="L12" s="164">
        <f>$L$7</f>
        <v>0</v>
      </c>
      <c r="M12" s="164" t="str">
        <f>$M$7</f>
        <v>-</v>
      </c>
      <c r="N12" s="164">
        <f>$N$7</f>
        <v>0</v>
      </c>
      <c r="O12" s="161"/>
      <c r="P12" s="161"/>
      <c r="Q12" s="161"/>
    </row>
    <row r="13" spans="1:17" x14ac:dyDescent="0.35">
      <c r="A13" s="3" t="str">
        <f>CONCATENATE($A$2," ",$A$3,"LT Demand (Summer)")</f>
        <v>NYPA LT Demand (Summer)</v>
      </c>
      <c r="F13" s="2"/>
      <c r="G13" s="310">
        <f>'9A.)HL_RedesignRateSummary'!D105</f>
        <v>27.55</v>
      </c>
      <c r="H13" s="866">
        <f>$E$131</f>
        <v>27.85</v>
      </c>
      <c r="I13" s="228">
        <f>(H13*4+H15*8)/12</f>
        <v>27.850000000000005</v>
      </c>
      <c r="K13" s="160" t="s">
        <v>113</v>
      </c>
      <c r="L13" s="159"/>
      <c r="M13" s="158" t="str">
        <f>$M$8</f>
        <v>&gt;</v>
      </c>
      <c r="N13" s="157">
        <f>$N$8</f>
        <v>0</v>
      </c>
      <c r="O13" s="733">
        <f>'[1]F4.)NYPA'!$D$7</f>
        <v>70102</v>
      </c>
      <c r="P13" s="733">
        <f>'[1]F4.)NYPA'!$E$7</f>
        <v>6297072</v>
      </c>
      <c r="Q13" s="156">
        <f>'[2]4B.)HY_EnergyRatePxOut(Rate I)'!$M$268</f>
        <v>0</v>
      </c>
    </row>
    <row r="14" spans="1:17" ht="15" thickBot="1" x14ac:dyDescent="0.4">
      <c r="F14" s="2"/>
      <c r="G14" s="873"/>
      <c r="H14" s="508"/>
      <c r="K14" s="155" t="s">
        <v>113</v>
      </c>
      <c r="L14" s="154"/>
      <c r="M14" s="154"/>
      <c r="N14" s="154"/>
      <c r="O14" s="172"/>
      <c r="P14" s="172"/>
      <c r="Q14" s="171"/>
    </row>
    <row r="15" spans="1:17" ht="15.5" thickTop="1" thickBot="1" x14ac:dyDescent="0.4">
      <c r="A15" s="3" t="str">
        <f>CONCATENATE($A$2," ",$A$3,"LT Demand (Winter)")</f>
        <v>NYPA LT Demand (Winter)</v>
      </c>
      <c r="F15" s="2"/>
      <c r="G15" s="310">
        <f>'9A.)HL_RedesignRateSummary'!D106</f>
        <v>27.55</v>
      </c>
      <c r="H15" s="866">
        <f>$F$131</f>
        <v>27.85</v>
      </c>
      <c r="I15" s="228"/>
      <c r="K15" s="2"/>
      <c r="L15" s="2"/>
      <c r="O15" s="151">
        <f>SUM(O12:O14)</f>
        <v>70102</v>
      </c>
      <c r="P15" s="151">
        <f>SUM(P12:P14)</f>
        <v>6297072</v>
      </c>
      <c r="Q15" s="151">
        <f>SUM(Q12:Q14)</f>
        <v>0</v>
      </c>
    </row>
    <row r="16" spans="1:17" ht="15" thickTop="1" x14ac:dyDescent="0.35">
      <c r="F16" s="2"/>
      <c r="G16" s="873"/>
      <c r="H16" s="508"/>
      <c r="K16" s="1"/>
      <c r="L16" s="1"/>
      <c r="M16"/>
      <c r="N16"/>
      <c r="O16"/>
      <c r="P16"/>
      <c r="Q16"/>
    </row>
    <row r="17" spans="1:17" x14ac:dyDescent="0.35">
      <c r="A17" s="3" t="str">
        <f>CONCATENATE($A$2," ",$A$3,"HT Demand (Summer)")</f>
        <v>NYPA HT Demand (Summer)</v>
      </c>
      <c r="F17" s="2"/>
      <c r="G17" s="310">
        <f>'9A.)HL_RedesignRateSummary'!D107</f>
        <v>19.14</v>
      </c>
      <c r="H17" s="866">
        <f>$E$134</f>
        <v>18.630000000000003</v>
      </c>
      <c r="I17" s="228">
        <f>(H17*4+H19*8)/12</f>
        <v>18.630000000000003</v>
      </c>
      <c r="J17" s="1069">
        <f>I17/I13</f>
        <v>0.66894075403949727</v>
      </c>
      <c r="K17" s="165" t="s">
        <v>112</v>
      </c>
      <c r="L17" s="164">
        <f>$L$7</f>
        <v>0</v>
      </c>
      <c r="M17" s="164" t="str">
        <f>$M$7</f>
        <v>-</v>
      </c>
      <c r="N17" s="164">
        <f>$N$7</f>
        <v>0</v>
      </c>
      <c r="O17" s="161"/>
      <c r="P17" s="161"/>
      <c r="Q17" s="161"/>
    </row>
    <row r="18" spans="1:17" x14ac:dyDescent="0.35">
      <c r="F18" s="2"/>
      <c r="G18" s="873"/>
      <c r="H18" s="508"/>
      <c r="K18" s="170" t="s">
        <v>112</v>
      </c>
      <c r="L18" s="159"/>
      <c r="M18" s="158" t="str">
        <f>$M$8</f>
        <v>&gt;</v>
      </c>
      <c r="N18" s="157">
        <f>$N$8</f>
        <v>0</v>
      </c>
      <c r="O18" s="733">
        <f>'[1]F4.)NYPA'!$D$11</f>
        <v>1092</v>
      </c>
      <c r="P18" s="733">
        <f>'[1]F4.)NYPA'!$E$11</f>
        <v>1965888</v>
      </c>
      <c r="Q18" s="156"/>
    </row>
    <row r="19" spans="1:17" ht="15" thickBot="1" x14ac:dyDescent="0.4">
      <c r="A19" s="3" t="str">
        <f>CONCATENATE($A$2," ",$A$3,"HT Demand (Winter)")</f>
        <v>NYPA HT Demand (Winter)</v>
      </c>
      <c r="F19" s="2"/>
      <c r="G19" s="311">
        <f>'9A.)HL_RedesignRateSummary'!D108</f>
        <v>19.14</v>
      </c>
      <c r="H19" s="867">
        <f>$F$134</f>
        <v>18.630000000000003</v>
      </c>
      <c r="I19" s="228"/>
      <c r="K19" s="168" t="s">
        <v>112</v>
      </c>
      <c r="L19" s="154"/>
      <c r="M19" s="154"/>
      <c r="N19" s="154"/>
      <c r="O19" s="172"/>
      <c r="P19" s="172"/>
      <c r="Q19" s="171"/>
    </row>
    <row r="20" spans="1:17" ht="15.5" thickTop="1" thickBot="1" x14ac:dyDescent="0.4">
      <c r="F20" s="2"/>
      <c r="H20" s="2"/>
      <c r="K20" s="1"/>
      <c r="L20" s="1"/>
      <c r="M20"/>
      <c r="N20"/>
      <c r="O20" s="151">
        <f>SUM(O17:O19)</f>
        <v>1092</v>
      </c>
      <c r="P20" s="151">
        <f>SUM(P17:P19)</f>
        <v>1965888</v>
      </c>
      <c r="Q20" s="151">
        <f>SUM(Q17:Q19)</f>
        <v>0</v>
      </c>
    </row>
    <row r="21" spans="1:17" ht="15" thickTop="1" x14ac:dyDescent="0.35">
      <c r="A21" s="17" t="s">
        <v>139</v>
      </c>
      <c r="B21" s="17"/>
      <c r="C21" s="17"/>
      <c r="D21" s="17"/>
      <c r="G21" s="689">
        <f>HLOOKUP($G$3,'[1]A1.)RatesInput'!$D$63:$J$83,'[1]A1.)RatesInput'!$A$80,0)</f>
        <v>1.01108</v>
      </c>
      <c r="H21" s="2"/>
      <c r="K21" s="1"/>
      <c r="L21" s="1"/>
      <c r="M21"/>
      <c r="N21"/>
      <c r="O21"/>
      <c r="P21"/>
      <c r="Q21"/>
    </row>
    <row r="22" spans="1:17" x14ac:dyDescent="0.35">
      <c r="A22" s="17" t="s">
        <v>137</v>
      </c>
      <c r="B22" s="17"/>
      <c r="C22" s="17"/>
      <c r="D22" s="17"/>
      <c r="G22" s="689">
        <f>HLOOKUP($G$3,'[1]A1.)RatesInput'!$D$63:$J$83,'[1]A1.)RatesInput'!$A$81,0)</f>
        <v>1.0119199999999999</v>
      </c>
      <c r="H22" s="2"/>
      <c r="K22" s="165" t="s">
        <v>111</v>
      </c>
      <c r="L22" s="164">
        <f>$L$7</f>
        <v>0</v>
      </c>
      <c r="M22" s="164" t="str">
        <f>$M$7</f>
        <v>-</v>
      </c>
      <c r="N22" s="164">
        <f>$N$7</f>
        <v>0</v>
      </c>
      <c r="O22" s="161"/>
      <c r="P22" s="161"/>
      <c r="Q22" s="161"/>
    </row>
    <row r="23" spans="1:17" x14ac:dyDescent="0.35">
      <c r="A23" s="17" t="s">
        <v>136</v>
      </c>
      <c r="B23" s="17"/>
      <c r="C23" s="17"/>
      <c r="D23" s="17"/>
      <c r="G23" s="689">
        <f>HLOOKUP($G$3,'[1]A1.)RatesInput'!$D$63:$J$83,'[1]A1.)RatesInput'!$A$82,0)</f>
        <v>1.01067</v>
      </c>
      <c r="H23" s="2"/>
      <c r="K23" s="160" t="s">
        <v>111</v>
      </c>
      <c r="L23" s="159"/>
      <c r="M23" s="158" t="str">
        <f>$M$8</f>
        <v>&gt;</v>
      </c>
      <c r="N23" s="157">
        <f>$N$8</f>
        <v>0</v>
      </c>
      <c r="O23" s="733">
        <f>'[1]F4.)NYPA'!$D$10</f>
        <v>2187</v>
      </c>
      <c r="P23" s="733">
        <f>'[1]F4.)NYPA'!$E$10</f>
        <v>3765413</v>
      </c>
      <c r="Q23" s="156"/>
    </row>
    <row r="24" spans="1:17" ht="15" thickBot="1" x14ac:dyDescent="0.4">
      <c r="A24" s="17"/>
      <c r="B24" s="17"/>
      <c r="C24" s="17"/>
      <c r="D24" s="17"/>
      <c r="G24" s="2"/>
      <c r="H24" s="2"/>
      <c r="K24" s="155" t="s">
        <v>111</v>
      </c>
      <c r="L24" s="154"/>
      <c r="M24" s="154"/>
      <c r="N24" s="154"/>
      <c r="O24" s="172"/>
      <c r="P24" s="172"/>
      <c r="Q24" s="171"/>
    </row>
    <row r="25" spans="1:17" ht="15.5" thickTop="1" thickBot="1" x14ac:dyDescent="0.4">
      <c r="F25" s="75" t="s">
        <v>145</v>
      </c>
      <c r="G25" s="495"/>
      <c r="H25" s="2"/>
      <c r="K25" s="1"/>
      <c r="L25" s="1"/>
      <c r="M25"/>
      <c r="N25"/>
      <c r="O25" s="151">
        <f>SUM(O22:O24)</f>
        <v>2187</v>
      </c>
      <c r="P25" s="151">
        <f>SUM(P22:P24)</f>
        <v>3765413</v>
      </c>
      <c r="Q25" s="151">
        <f>SUM(Q22:Q24)</f>
        <v>0</v>
      </c>
    </row>
    <row r="26" spans="1:17" x14ac:dyDescent="0.35">
      <c r="G26" s="135" t="s">
        <v>135</v>
      </c>
      <c r="H26" s="135" t="s">
        <v>134</v>
      </c>
    </row>
    <row r="27" spans="1:17" x14ac:dyDescent="0.35">
      <c r="A27" s="3" t="s">
        <v>302</v>
      </c>
      <c r="G27" s="245">
        <f>'[2]4C.)HY_DemandRatePxOut(Rate I)'!$T$224</f>
        <v>389610477</v>
      </c>
      <c r="H27" s="245">
        <f>'[2]4C.)HY_DemandRatePxOut(Rate I)'!$S$224</f>
        <v>385324355</v>
      </c>
      <c r="O27" s="28"/>
      <c r="P27" s="28"/>
    </row>
    <row r="28" spans="1:17" x14ac:dyDescent="0.35">
      <c r="A28" s="3" t="s">
        <v>130</v>
      </c>
      <c r="G28" s="276"/>
      <c r="H28" s="276"/>
      <c r="O28" s="28"/>
      <c r="P28" s="28"/>
    </row>
    <row r="29" spans="1:17" x14ac:dyDescent="0.35">
      <c r="A29" s="3" t="s">
        <v>763</v>
      </c>
      <c r="G29" s="245">
        <f>'[2]4C.)HY_DemandRatePxOut(Rate I)'!$T$224</f>
        <v>389610477</v>
      </c>
      <c r="H29" s="409"/>
    </row>
    <row r="31" spans="1:17" s="88" customFormat="1" x14ac:dyDescent="0.35"/>
    <row r="32" spans="1:17" x14ac:dyDescent="0.35">
      <c r="A32" s="70" t="str">
        <f>'9C.)HL_RedgnRate_SC5_I'!$A$32</f>
        <v>Rate Redesigned at Current Rate Level to Reflect ECOS % HT/LT Indication - 3/3</v>
      </c>
      <c r="B32" s="70"/>
      <c r="C32" s="70"/>
      <c r="D32" s="70"/>
    </row>
    <row r="33" spans="1:14" x14ac:dyDescent="0.35">
      <c r="A33" s="197" t="str">
        <f>CONCATENATE($A$2," ",$A$3)</f>
        <v xml:space="preserve">NYPA </v>
      </c>
      <c r="E33" s="100" t="s">
        <v>296</v>
      </c>
      <c r="F33" s="808">
        <f>'9A.)HL_RedesignRateSummary'!$F$4</f>
        <v>2019</v>
      </c>
    </row>
    <row r="34" spans="1:14" x14ac:dyDescent="0.35">
      <c r="A34" s="197"/>
      <c r="E34" s="100" t="s">
        <v>297</v>
      </c>
      <c r="F34" s="808">
        <f>'9A.)HL_RedesignRateSummary'!$F$5</f>
        <v>2017</v>
      </c>
    </row>
    <row r="35" spans="1:14" x14ac:dyDescent="0.35">
      <c r="B35" s="197"/>
      <c r="C35" s="197"/>
      <c r="D35" s="197"/>
      <c r="E35" s="100" t="s">
        <v>2150</v>
      </c>
      <c r="F35" s="808">
        <f>'9A.)HL_RedesignRateSummary'!$F$3</f>
        <v>2020</v>
      </c>
      <c r="G35" s="3" t="str">
        <f>'9A.)HL_RedesignRateSummary'!$G$3</f>
        <v>RY1</v>
      </c>
    </row>
    <row r="36" spans="1:14" x14ac:dyDescent="0.35">
      <c r="A36" s="334" t="s">
        <v>1541</v>
      </c>
    </row>
    <row r="37" spans="1:14" x14ac:dyDescent="0.35">
      <c r="A37" s="334"/>
    </row>
    <row r="38" spans="1:14" x14ac:dyDescent="0.35">
      <c r="A38" s="838" t="s">
        <v>378</v>
      </c>
      <c r="E38" s="198"/>
    </row>
    <row r="39" spans="1:14" ht="15" thickBot="1" x14ac:dyDescent="0.4">
      <c r="A39" s="838"/>
      <c r="E39" s="198"/>
    </row>
    <row r="40" spans="1:14" ht="15.5" thickTop="1" thickBot="1" x14ac:dyDescent="0.4">
      <c r="B40" s="199"/>
      <c r="C40" s="199"/>
      <c r="D40" s="199"/>
      <c r="E40" s="1316" t="s">
        <v>168</v>
      </c>
      <c r="F40" s="1317"/>
      <c r="G40" s="1317"/>
      <c r="H40" s="1318"/>
      <c r="J40" s="1316" t="s">
        <v>169</v>
      </c>
      <c r="K40" s="1317"/>
      <c r="L40" s="1317"/>
      <c r="M40" s="1317"/>
      <c r="N40" s="1318"/>
    </row>
    <row r="41" spans="1:14" ht="15" thickTop="1" x14ac:dyDescent="0.35">
      <c r="E41" s="1333" t="s">
        <v>171</v>
      </c>
      <c r="F41" s="1333"/>
      <c r="G41" s="30" t="s">
        <v>173</v>
      </c>
      <c r="H41" s="30" t="s">
        <v>174</v>
      </c>
      <c r="J41" s="1334" t="s">
        <v>176</v>
      </c>
      <c r="K41" s="1334"/>
      <c r="L41" s="30" t="s">
        <v>173</v>
      </c>
      <c r="M41" s="30" t="s">
        <v>174</v>
      </c>
      <c r="N41" s="30" t="s">
        <v>1</v>
      </c>
    </row>
    <row r="42" spans="1:14" x14ac:dyDescent="0.35">
      <c r="A42" s="199">
        <f>$G$3</f>
        <v>2017</v>
      </c>
      <c r="E42" s="118" t="s">
        <v>8</v>
      </c>
      <c r="F42" s="118" t="s">
        <v>9</v>
      </c>
      <c r="G42" s="30" t="s">
        <v>172</v>
      </c>
      <c r="H42" s="30" t="s">
        <v>175</v>
      </c>
      <c r="J42" s="118" t="s">
        <v>8</v>
      </c>
      <c r="K42" s="118" t="s">
        <v>9</v>
      </c>
      <c r="L42" s="30" t="s">
        <v>172</v>
      </c>
      <c r="M42" s="30" t="s">
        <v>175</v>
      </c>
    </row>
    <row r="43" spans="1:14" x14ac:dyDescent="0.35">
      <c r="E43" s="200" t="s">
        <v>79</v>
      </c>
      <c r="F43" s="200" t="s">
        <v>78</v>
      </c>
      <c r="G43" s="200" t="s">
        <v>181</v>
      </c>
      <c r="H43" s="200" t="s">
        <v>180</v>
      </c>
      <c r="J43" s="200" t="s">
        <v>177</v>
      </c>
      <c r="K43" s="200" t="s">
        <v>178</v>
      </c>
      <c r="L43" s="200" t="s">
        <v>179</v>
      </c>
      <c r="M43" s="200" t="s">
        <v>182</v>
      </c>
      <c r="N43" s="200" t="s">
        <v>183</v>
      </c>
    </row>
    <row r="44" spans="1:14" x14ac:dyDescent="0.35">
      <c r="A44" s="3" t="str">
        <f>CONCATENATE($A$2," NTD")</f>
        <v>NYPA NTD</v>
      </c>
      <c r="E44" s="27">
        <f>G7</f>
        <v>18.27</v>
      </c>
      <c r="F44" s="27">
        <f>G6</f>
        <v>27.75</v>
      </c>
      <c r="G44" s="35">
        <f>F44-E44</f>
        <v>9.48</v>
      </c>
      <c r="H44" s="871">
        <f>E44/F44</f>
        <v>0.65837837837837832</v>
      </c>
      <c r="J44" s="27">
        <f>G9</f>
        <v>19.14</v>
      </c>
      <c r="K44" s="27">
        <f>G8</f>
        <v>27.55</v>
      </c>
      <c r="L44" s="228">
        <f>K44-J44</f>
        <v>8.41</v>
      </c>
      <c r="M44" s="871">
        <f>ROUND(J44/K44,2)</f>
        <v>0.69</v>
      </c>
      <c r="N44" s="201">
        <f>M44-H44</f>
        <v>3.1621621621621632E-2</v>
      </c>
    </row>
    <row r="46" spans="1:14" x14ac:dyDescent="0.35">
      <c r="J46" s="33" t="s">
        <v>520</v>
      </c>
      <c r="K46" s="40">
        <f>'9C.)HL_RedgnRate_SC5_I'!$K$46</f>
        <v>3</v>
      </c>
      <c r="L46" s="136" t="s">
        <v>165</v>
      </c>
    </row>
    <row r="47" spans="1:14" ht="15" thickBot="1" x14ac:dyDescent="0.4">
      <c r="A47" s="838" t="s">
        <v>379</v>
      </c>
      <c r="J47" s="33" t="s">
        <v>294</v>
      </c>
      <c r="K47" s="40">
        <f>'9C.)HL_RedgnRate_SC5_I'!$K$47</f>
        <v>3</v>
      </c>
      <c r="L47" s="136" t="s">
        <v>166</v>
      </c>
    </row>
    <row r="48" spans="1:14" ht="15.5" thickTop="1" thickBot="1" x14ac:dyDescent="0.4">
      <c r="B48" s="197"/>
      <c r="C48" s="197"/>
      <c r="D48" s="197"/>
      <c r="H48" s="1327" t="s">
        <v>293</v>
      </c>
      <c r="I48" s="493" t="s">
        <v>293</v>
      </c>
      <c r="J48" s="1327" t="s">
        <v>168</v>
      </c>
      <c r="K48" s="493" t="s">
        <v>190</v>
      </c>
      <c r="L48" s="493" t="s">
        <v>261</v>
      </c>
      <c r="M48" s="1063" t="s">
        <v>2060</v>
      </c>
    </row>
    <row r="49" spans="1:16" ht="15.5" thickTop="1" thickBot="1" x14ac:dyDescent="0.4">
      <c r="B49" s="197"/>
      <c r="C49" s="197"/>
      <c r="D49" s="197"/>
      <c r="E49" s="1335" t="s">
        <v>250</v>
      </c>
      <c r="F49" s="1336"/>
      <c r="G49" s="1337"/>
      <c r="H49" s="1328"/>
      <c r="I49" s="494" t="s">
        <v>187</v>
      </c>
      <c r="J49" s="1328"/>
      <c r="K49" s="494" t="s">
        <v>191</v>
      </c>
      <c r="L49" s="494" t="s">
        <v>187</v>
      </c>
      <c r="M49" s="1064" t="s">
        <v>2061</v>
      </c>
    </row>
    <row r="50" spans="1:16" ht="17" thickTop="1" x14ac:dyDescent="0.35">
      <c r="B50" s="197"/>
      <c r="C50" s="197"/>
      <c r="D50" s="197"/>
      <c r="E50" s="30" t="s">
        <v>42</v>
      </c>
      <c r="F50" s="30" t="s">
        <v>40</v>
      </c>
      <c r="G50" s="30" t="s">
        <v>208</v>
      </c>
      <c r="H50" s="56" t="s">
        <v>258</v>
      </c>
      <c r="I50" s="56" t="s">
        <v>257</v>
      </c>
      <c r="J50" s="265" t="s">
        <v>292</v>
      </c>
      <c r="K50" s="199" t="s">
        <v>389</v>
      </c>
      <c r="L50" s="199" t="s">
        <v>390</v>
      </c>
      <c r="M50" s="199"/>
    </row>
    <row r="51" spans="1:16" x14ac:dyDescent="0.35">
      <c r="B51" s="197"/>
      <c r="C51" s="197"/>
      <c r="D51" s="197"/>
      <c r="E51" s="200" t="s">
        <v>109</v>
      </c>
      <c r="F51" s="200" t="s">
        <v>108</v>
      </c>
      <c r="G51" s="671" t="s">
        <v>2054</v>
      </c>
      <c r="H51" s="200" t="s">
        <v>2055</v>
      </c>
      <c r="I51" s="200" t="s">
        <v>2056</v>
      </c>
      <c r="J51" s="200" t="s">
        <v>2057</v>
      </c>
      <c r="K51" s="671" t="s">
        <v>2058</v>
      </c>
      <c r="L51" s="671" t="s">
        <v>2059</v>
      </c>
    </row>
    <row r="52" spans="1:16" ht="15" thickBot="1" x14ac:dyDescent="0.4">
      <c r="A52" s="3" t="s">
        <v>255</v>
      </c>
      <c r="B52" s="829" t="s">
        <v>251</v>
      </c>
      <c r="C52" s="829" t="s">
        <v>143</v>
      </c>
      <c r="D52" s="567">
        <v>0</v>
      </c>
      <c r="E52" s="27"/>
      <c r="F52" s="27"/>
      <c r="G52" s="27"/>
    </row>
    <row r="53" spans="1:16" ht="15" thickBot="1" x14ac:dyDescent="0.4">
      <c r="A53" s="3" t="s">
        <v>256</v>
      </c>
      <c r="B53" s="108"/>
      <c r="C53" s="829" t="s">
        <v>141</v>
      </c>
      <c r="D53" s="567">
        <f>D52</f>
        <v>0</v>
      </c>
      <c r="E53" s="268">
        <f>G13</f>
        <v>27.55</v>
      </c>
      <c r="F53" s="269">
        <f>G15</f>
        <v>27.55</v>
      </c>
      <c r="G53" s="27">
        <f>ROUND((E53*4+F53*8)/12,2)</f>
        <v>27.55</v>
      </c>
      <c r="I53" s="3"/>
      <c r="J53" s="30"/>
      <c r="K53" s="30"/>
    </row>
    <row r="54" spans="1:16" x14ac:dyDescent="0.35">
      <c r="C54" s="123"/>
      <c r="D54" s="36"/>
      <c r="E54" s="198"/>
      <c r="I54" s="3"/>
    </row>
    <row r="55" spans="1:16" ht="15" thickBot="1" x14ac:dyDescent="0.4">
      <c r="A55" s="3" t="s">
        <v>259</v>
      </c>
      <c r="B55" s="123" t="str">
        <f>$B$52</f>
        <v>0</v>
      </c>
      <c r="C55" s="123" t="str">
        <f>$C$52</f>
        <v>-</v>
      </c>
      <c r="D55" s="123">
        <f>$D$52</f>
        <v>0</v>
      </c>
      <c r="E55" s="27"/>
      <c r="F55" s="27"/>
      <c r="G55" s="27"/>
      <c r="H55" s="27"/>
      <c r="I55" s="27"/>
      <c r="J55" s="27"/>
      <c r="K55" s="27"/>
      <c r="L55" s="27"/>
      <c r="M55" s="27"/>
      <c r="O55" s="136"/>
    </row>
    <row r="56" spans="1:16" ht="15" thickBot="1" x14ac:dyDescent="0.4">
      <c r="A56" s="3" t="s">
        <v>260</v>
      </c>
      <c r="C56" s="123" t="str">
        <f>$C$53</f>
        <v>&gt;</v>
      </c>
      <c r="D56" s="123">
        <f>$D$53</f>
        <v>0</v>
      </c>
      <c r="E56" s="268">
        <f>G17</f>
        <v>19.14</v>
      </c>
      <c r="F56" s="269">
        <f>G19</f>
        <v>19.14</v>
      </c>
      <c r="G56" s="27">
        <f>ROUND((E56*4+F56*8)/12,2)</f>
        <v>19.14</v>
      </c>
      <c r="H56" s="521">
        <f>G53-G56</f>
        <v>8.41</v>
      </c>
      <c r="I56" s="1069">
        <f>ROUND(G56/G53,2)</f>
        <v>0.69</v>
      </c>
      <c r="J56" s="203">
        <f>H44</f>
        <v>0.65837837837837832</v>
      </c>
      <c r="K56" s="870">
        <f>ROUND(I56-ROUND((I56-J56)*(K46/$K$47),4),2)</f>
        <v>0.66</v>
      </c>
      <c r="L56" s="314">
        <f>ROUND(H56/(1-I56)*(1-K56),2)</f>
        <v>9.2200000000000006</v>
      </c>
      <c r="M56" s="35">
        <f>ROUND((L56-H56),2)</f>
        <v>0.81</v>
      </c>
      <c r="N56" s="3" t="s">
        <v>188</v>
      </c>
      <c r="O56" s="136" t="s">
        <v>2104</v>
      </c>
    </row>
    <row r="57" spans="1:16" x14ac:dyDescent="0.35">
      <c r="A57" s="197"/>
      <c r="B57" s="197"/>
      <c r="C57" s="197"/>
      <c r="D57" s="197"/>
      <c r="E57" s="198"/>
    </row>
    <row r="58" spans="1:16" x14ac:dyDescent="0.35">
      <c r="A58" s="197"/>
      <c r="B58" s="197"/>
      <c r="C58" s="197"/>
      <c r="D58" s="197"/>
      <c r="E58" s="198"/>
    </row>
    <row r="59" spans="1:16" x14ac:dyDescent="0.35">
      <c r="A59" s="838" t="s">
        <v>380</v>
      </c>
      <c r="B59" s="197"/>
      <c r="C59" s="197"/>
      <c r="D59" s="197"/>
      <c r="E59" s="198"/>
    </row>
    <row r="60" spans="1:16" ht="15" thickBot="1" x14ac:dyDescent="0.4">
      <c r="A60" s="197"/>
      <c r="B60" s="197"/>
      <c r="C60" s="197"/>
      <c r="D60" s="197"/>
      <c r="E60" s="198"/>
      <c r="N60" s="33" t="s">
        <v>382</v>
      </c>
      <c r="O60" s="83">
        <f>F65</f>
        <v>0</v>
      </c>
      <c r="P60" s="136" t="s">
        <v>2064</v>
      </c>
    </row>
    <row r="61" spans="1:16" ht="15.5" thickTop="1" thickBot="1" x14ac:dyDescent="0.4">
      <c r="E61" s="1338" t="s">
        <v>397</v>
      </c>
      <c r="F61" s="1339"/>
      <c r="H61" s="1329" t="s">
        <v>377</v>
      </c>
      <c r="I61" s="1330"/>
      <c r="J61" s="1330"/>
      <c r="K61" s="1330"/>
      <c r="L61" s="1330"/>
      <c r="M61" s="1330"/>
      <c r="N61" s="1330"/>
      <c r="O61" s="1331"/>
    </row>
    <row r="62" spans="1:16" ht="15.5" thickTop="1" thickBot="1" x14ac:dyDescent="0.4">
      <c r="A62" s="197" t="str">
        <f>CONCATENATE($A$2," ",$A$3)</f>
        <v xml:space="preserve">NYPA </v>
      </c>
      <c r="B62" s="197"/>
      <c r="C62" s="197"/>
      <c r="D62" s="197"/>
      <c r="E62" s="1307" t="s">
        <v>250</v>
      </c>
      <c r="F62" s="1309"/>
      <c r="H62" s="1307" t="s">
        <v>254</v>
      </c>
      <c r="I62" s="1309"/>
      <c r="J62" s="1307" t="s">
        <v>299</v>
      </c>
      <c r="K62" s="1309"/>
      <c r="L62" s="1307" t="s">
        <v>77</v>
      </c>
      <c r="M62" s="1309"/>
      <c r="N62" s="1307" t="s">
        <v>381</v>
      </c>
      <c r="O62" s="1309"/>
    </row>
    <row r="63" spans="1:16" ht="15" thickTop="1" x14ac:dyDescent="0.35">
      <c r="A63" s="197"/>
      <c r="B63" s="197"/>
      <c r="C63" s="197"/>
      <c r="D63" s="197"/>
      <c r="E63" s="30" t="s">
        <v>42</v>
      </c>
      <c r="F63" s="30" t="s">
        <v>40</v>
      </c>
      <c r="G63" s="33"/>
      <c r="H63" s="30" t="s">
        <v>42</v>
      </c>
      <c r="I63" s="30" t="s">
        <v>40</v>
      </c>
      <c r="J63" s="30" t="s">
        <v>42</v>
      </c>
      <c r="K63" s="30" t="s">
        <v>40</v>
      </c>
      <c r="L63" s="30" t="s">
        <v>42</v>
      </c>
      <c r="M63" s="30" t="s">
        <v>40</v>
      </c>
      <c r="N63" s="30" t="s">
        <v>42</v>
      </c>
      <c r="O63" s="30" t="s">
        <v>40</v>
      </c>
    </row>
    <row r="64" spans="1:16" ht="15" thickBot="1" x14ac:dyDescent="0.4">
      <c r="A64" s="197"/>
      <c r="B64" s="197"/>
      <c r="C64" s="197"/>
      <c r="D64" s="197"/>
      <c r="E64" s="200" t="s">
        <v>50</v>
      </c>
      <c r="F64" s="200" t="s">
        <v>49</v>
      </c>
      <c r="G64" s="33" t="s">
        <v>388</v>
      </c>
      <c r="H64" s="30"/>
      <c r="I64" s="30"/>
      <c r="J64" s="330">
        <f>M55</f>
        <v>0</v>
      </c>
      <c r="K64" s="30"/>
      <c r="L64" s="30"/>
      <c r="M64" s="30"/>
      <c r="N64" s="30"/>
      <c r="O64" s="30"/>
    </row>
    <row r="65" spans="1:16" ht="15" thickBot="1" x14ac:dyDescent="0.4">
      <c r="A65" s="3" t="s">
        <v>252</v>
      </c>
      <c r="B65" s="123" t="str">
        <f>$B$52</f>
        <v>0</v>
      </c>
      <c r="C65" s="123" t="str">
        <f>$C$52</f>
        <v>-</v>
      </c>
      <c r="D65" s="123">
        <f>$D$52</f>
        <v>0</v>
      </c>
      <c r="E65" s="504"/>
      <c r="F65" s="504"/>
      <c r="G65" s="33" t="s">
        <v>384</v>
      </c>
      <c r="H65" s="505">
        <f>E65-$F$65</f>
        <v>0</v>
      </c>
      <c r="I65" s="314"/>
      <c r="J65" s="505">
        <f>H65</f>
        <v>0</v>
      </c>
      <c r="K65" s="314"/>
      <c r="L65" s="496" t="str">
        <f>CONCATENATE($M$65," + ",J65)</f>
        <v>X + 0</v>
      </c>
      <c r="M65" s="497" t="s">
        <v>32</v>
      </c>
      <c r="N65" s="496">
        <f>$O$60+J65</f>
        <v>0</v>
      </c>
      <c r="O65" s="497">
        <f>$O$60+K65</f>
        <v>0</v>
      </c>
    </row>
    <row r="66" spans="1:16" ht="15" thickBot="1" x14ac:dyDescent="0.4">
      <c r="C66" s="123" t="str">
        <f>$C$53</f>
        <v>&gt;</v>
      </c>
      <c r="D66" s="123">
        <f>$D$53</f>
        <v>0</v>
      </c>
      <c r="E66" s="321">
        <f>G13</f>
        <v>27.55</v>
      </c>
      <c r="F66" s="322">
        <f>G15</f>
        <v>27.55</v>
      </c>
      <c r="G66" s="33"/>
      <c r="H66" s="313"/>
      <c r="I66" s="314"/>
      <c r="J66" s="313"/>
      <c r="K66" s="314"/>
      <c r="L66" s="498"/>
      <c r="M66" s="499"/>
      <c r="N66" s="498"/>
      <c r="O66" s="499"/>
    </row>
    <row r="67" spans="1:16" x14ac:dyDescent="0.35">
      <c r="C67" s="123"/>
      <c r="D67" s="36"/>
      <c r="E67" s="200" t="s">
        <v>48</v>
      </c>
      <c r="F67" s="200" t="s">
        <v>47</v>
      </c>
      <c r="L67" s="500"/>
      <c r="M67" s="501"/>
      <c r="N67" s="500"/>
      <c r="O67" s="501"/>
    </row>
    <row r="68" spans="1:16" ht="15" thickBot="1" x14ac:dyDescent="0.4">
      <c r="A68" s="3" t="s">
        <v>253</v>
      </c>
      <c r="B68" s="123" t="str">
        <f>$B$52</f>
        <v>0</v>
      </c>
      <c r="C68" s="123" t="str">
        <f>$C$52</f>
        <v>-</v>
      </c>
      <c r="D68" s="123">
        <f>$D$52</f>
        <v>0</v>
      </c>
      <c r="E68" s="504"/>
      <c r="F68" s="504"/>
      <c r="G68" s="33" t="s">
        <v>385</v>
      </c>
      <c r="H68" s="505">
        <f>E68-$F$65</f>
        <v>0</v>
      </c>
      <c r="I68" s="505">
        <f>F68-$F$65</f>
        <v>0</v>
      </c>
      <c r="J68" s="505">
        <f>H68-$J$64</f>
        <v>0</v>
      </c>
      <c r="K68" s="505">
        <f>I68-$J$64</f>
        <v>0</v>
      </c>
      <c r="L68" s="502" t="str">
        <f>CONCATENATE($M$65," + ",J68)</f>
        <v>X + 0</v>
      </c>
      <c r="M68" s="503" t="str">
        <f>CONCATENATE($M$65," + ",K68)</f>
        <v>X + 0</v>
      </c>
      <c r="N68" s="502">
        <f>$O$60+J68</f>
        <v>0</v>
      </c>
      <c r="O68" s="503">
        <f>$O$60+K68</f>
        <v>0</v>
      </c>
    </row>
    <row r="69" spans="1:16" ht="15" thickBot="1" x14ac:dyDescent="0.4">
      <c r="C69" s="123" t="str">
        <f>$C$53</f>
        <v>&gt;</v>
      </c>
      <c r="D69" s="123">
        <f>$D$53</f>
        <v>0</v>
      </c>
      <c r="E69" s="321">
        <f>G17</f>
        <v>19.14</v>
      </c>
      <c r="F69" s="322">
        <f>G19</f>
        <v>19.14</v>
      </c>
      <c r="G69" s="33"/>
    </row>
    <row r="70" spans="1:16" ht="15" thickBot="1" x14ac:dyDescent="0.4">
      <c r="A70" s="197"/>
      <c r="B70" s="197"/>
      <c r="C70" s="197"/>
      <c r="D70" s="197"/>
      <c r="E70" s="198"/>
      <c r="G70" s="33"/>
      <c r="N70" s="33" t="s">
        <v>383</v>
      </c>
      <c r="O70" s="83">
        <f>F66</f>
        <v>27.55</v>
      </c>
      <c r="P70" s="136" t="s">
        <v>2065</v>
      </c>
    </row>
    <row r="71" spans="1:16" ht="15.5" thickTop="1" thickBot="1" x14ac:dyDescent="0.4">
      <c r="A71" s="197"/>
      <c r="B71" s="197"/>
      <c r="C71" s="197"/>
      <c r="D71" s="197"/>
      <c r="E71" s="198"/>
      <c r="G71" s="33"/>
      <c r="H71" s="1329" t="s">
        <v>376</v>
      </c>
      <c r="I71" s="1330"/>
      <c r="J71" s="1330"/>
      <c r="K71" s="1330"/>
      <c r="L71" s="1330"/>
      <c r="M71" s="1330"/>
      <c r="N71" s="1330"/>
      <c r="O71" s="1331"/>
    </row>
    <row r="72" spans="1:16" ht="15.5" thickTop="1" thickBot="1" x14ac:dyDescent="0.4">
      <c r="A72" s="197"/>
      <c r="B72" s="197"/>
      <c r="C72" s="197"/>
      <c r="D72" s="197"/>
      <c r="E72" s="198"/>
      <c r="G72" s="33"/>
      <c r="H72" s="1307" t="s">
        <v>254</v>
      </c>
      <c r="I72" s="1309"/>
      <c r="J72" s="1307" t="s">
        <v>299</v>
      </c>
      <c r="K72" s="1309"/>
      <c r="L72" s="1307" t="s">
        <v>77</v>
      </c>
      <c r="M72" s="1309"/>
      <c r="N72" s="1307" t="s">
        <v>381</v>
      </c>
      <c r="O72" s="1309"/>
    </row>
    <row r="73" spans="1:16" ht="15" thickTop="1" x14ac:dyDescent="0.35">
      <c r="A73" s="197"/>
      <c r="B73" s="197"/>
      <c r="C73" s="197"/>
      <c r="D73" s="197"/>
      <c r="E73" s="198"/>
      <c r="G73" s="33"/>
      <c r="H73" s="30" t="s">
        <v>42</v>
      </c>
      <c r="I73" s="30" t="s">
        <v>40</v>
      </c>
      <c r="J73" s="30" t="s">
        <v>42</v>
      </c>
      <c r="K73" s="30" t="s">
        <v>40</v>
      </c>
      <c r="L73" s="30" t="s">
        <v>42</v>
      </c>
      <c r="M73" s="30" t="s">
        <v>40</v>
      </c>
      <c r="N73" s="30" t="s">
        <v>42</v>
      </c>
      <c r="O73" s="30" t="s">
        <v>40</v>
      </c>
    </row>
    <row r="74" spans="1:16" ht="15" thickBot="1" x14ac:dyDescent="0.4">
      <c r="A74" s="197"/>
      <c r="B74" s="197"/>
      <c r="C74" s="197"/>
      <c r="D74" s="197"/>
      <c r="E74" s="198"/>
      <c r="G74" s="33" t="s">
        <v>388</v>
      </c>
      <c r="H74" s="200" t="s">
        <v>2066</v>
      </c>
      <c r="I74" s="30"/>
      <c r="J74" s="330">
        <f>M56</f>
        <v>0.81</v>
      </c>
      <c r="K74" s="136" t="s">
        <v>1733</v>
      </c>
      <c r="L74" s="30"/>
      <c r="M74" s="30"/>
      <c r="N74" s="30"/>
      <c r="O74" s="30"/>
    </row>
    <row r="75" spans="1:16" x14ac:dyDescent="0.35">
      <c r="A75" s="197"/>
      <c r="B75" s="197"/>
      <c r="C75" s="197"/>
      <c r="D75" s="197"/>
      <c r="E75" s="198"/>
      <c r="G75" s="33" t="s">
        <v>386</v>
      </c>
      <c r="H75" s="323">
        <f>E66-$F$66</f>
        <v>0</v>
      </c>
      <c r="I75" s="323"/>
      <c r="J75" s="340">
        <f>H75</f>
        <v>0</v>
      </c>
      <c r="K75" s="340"/>
      <c r="L75" s="324" t="str">
        <f>CONCATENATE($M$75," + ",J75)</f>
        <v>X + 0</v>
      </c>
      <c r="M75" s="325" t="s">
        <v>32</v>
      </c>
      <c r="N75" s="324">
        <f>$O$70+J75</f>
        <v>27.55</v>
      </c>
      <c r="O75" s="325">
        <f>O70</f>
        <v>27.55</v>
      </c>
    </row>
    <row r="76" spans="1:16" x14ac:dyDescent="0.35">
      <c r="A76" s="197"/>
      <c r="B76" s="197"/>
      <c r="C76" s="197"/>
      <c r="D76" s="197"/>
      <c r="E76" s="198"/>
      <c r="G76" s="33"/>
      <c r="H76" s="200" t="s">
        <v>2067</v>
      </c>
      <c r="I76" s="200" t="s">
        <v>2068</v>
      </c>
      <c r="J76" s="200" t="s">
        <v>2069</v>
      </c>
      <c r="K76" s="200" t="s">
        <v>2070</v>
      </c>
      <c r="L76" s="326"/>
      <c r="M76" s="327"/>
      <c r="N76" s="326"/>
      <c r="O76" s="327"/>
    </row>
    <row r="77" spans="1:16" ht="15" thickBot="1" x14ac:dyDescent="0.4">
      <c r="A77" s="197"/>
      <c r="B77" s="197"/>
      <c r="C77" s="197"/>
      <c r="D77" s="197"/>
      <c r="E77" s="198"/>
      <c r="G77" s="33" t="s">
        <v>387</v>
      </c>
      <c r="H77" s="323">
        <f>E69-$F$66</f>
        <v>-8.41</v>
      </c>
      <c r="I77" s="323">
        <f>F69-$F$66</f>
        <v>-8.41</v>
      </c>
      <c r="J77" s="340">
        <f>H77-$J$74</f>
        <v>-9.2200000000000006</v>
      </c>
      <c r="K77" s="340">
        <f>I77-$J$74</f>
        <v>-9.2200000000000006</v>
      </c>
      <c r="L77" s="328" t="str">
        <f>CONCATENATE($M$75," + ",J77)</f>
        <v>X + -9.22</v>
      </c>
      <c r="M77" s="329" t="str">
        <f>CONCATENATE($M$75," + ",K77)</f>
        <v>X + -9.22</v>
      </c>
      <c r="N77" s="328">
        <f>$O$70+J77</f>
        <v>18.329999999999998</v>
      </c>
      <c r="O77" s="329">
        <f>$O$70+K77</f>
        <v>18.329999999999998</v>
      </c>
    </row>
    <row r="78" spans="1:16" x14ac:dyDescent="0.35">
      <c r="A78" s="197"/>
      <c r="B78" s="197"/>
      <c r="C78" s="197"/>
      <c r="D78" s="197"/>
      <c r="E78" s="198"/>
      <c r="G78" s="33"/>
    </row>
    <row r="79" spans="1:16" x14ac:dyDescent="0.35">
      <c r="A79" s="407" t="s">
        <v>1543</v>
      </c>
      <c r="B79" s="197"/>
      <c r="C79" s="197"/>
      <c r="D79" s="197"/>
      <c r="E79" s="198"/>
    </row>
    <row r="80" spans="1:16" x14ac:dyDescent="0.35">
      <c r="A80"/>
      <c r="B80"/>
      <c r="C80"/>
      <c r="D80"/>
      <c r="F80" s="135" t="s">
        <v>26</v>
      </c>
      <c r="G80" s="135" t="s">
        <v>116</v>
      </c>
      <c r="H80" s="135" t="s">
        <v>115</v>
      </c>
      <c r="L80" s="35"/>
      <c r="M80" s="35"/>
      <c r="N80" s="35"/>
      <c r="O80" s="35"/>
    </row>
    <row r="81" spans="1:13" x14ac:dyDescent="0.35">
      <c r="A81" t="s">
        <v>114</v>
      </c>
      <c r="B81" s="296">
        <f>$L$7</f>
        <v>0</v>
      </c>
      <c r="C81" s="296" t="str">
        <f>$M$7</f>
        <v>-</v>
      </c>
      <c r="D81" s="296">
        <f>$N$7</f>
        <v>0</v>
      </c>
      <c r="E81" s="3" t="s">
        <v>25</v>
      </c>
      <c r="F81" s="484">
        <f>O10</f>
        <v>35115</v>
      </c>
      <c r="G81" s="752">
        <f>G12</f>
        <v>0</v>
      </c>
      <c r="H81" s="134">
        <f>ROUND(F81*G81,0)</f>
        <v>0</v>
      </c>
      <c r="I81" s="136" t="s">
        <v>2073</v>
      </c>
    </row>
    <row r="82" spans="1:13" x14ac:dyDescent="0.35">
      <c r="A82" t="s">
        <v>113</v>
      </c>
      <c r="B82" s="296">
        <f>$L$12</f>
        <v>0</v>
      </c>
      <c r="C82" s="296" t="str">
        <f>$M$12</f>
        <v>-</v>
      </c>
      <c r="D82" s="296">
        <f>$N$12</f>
        <v>0</v>
      </c>
      <c r="E82" s="3" t="s">
        <v>25</v>
      </c>
      <c r="F82" s="484">
        <f>O15</f>
        <v>70102</v>
      </c>
      <c r="G82" s="752">
        <f>G14</f>
        <v>0</v>
      </c>
      <c r="H82" s="134">
        <f>ROUND(F82*G82,0)</f>
        <v>0</v>
      </c>
      <c r="I82" s="136" t="s">
        <v>2074</v>
      </c>
      <c r="L82" s="35"/>
      <c r="M82" s="35"/>
    </row>
    <row r="83" spans="1:13" x14ac:dyDescent="0.35">
      <c r="A83" t="s">
        <v>112</v>
      </c>
      <c r="B83" s="296">
        <f>$L$17</f>
        <v>0</v>
      </c>
      <c r="C83" s="296" t="str">
        <f>$M$17</f>
        <v>-</v>
      </c>
      <c r="D83" s="296">
        <f>$N$17</f>
        <v>0</v>
      </c>
      <c r="E83" s="3" t="s">
        <v>25</v>
      </c>
      <c r="F83" s="484">
        <f>O20</f>
        <v>1092</v>
      </c>
      <c r="G83" s="752">
        <f>N68</f>
        <v>0</v>
      </c>
      <c r="H83" s="134">
        <f>ROUND(F83*G83,0)</f>
        <v>0</v>
      </c>
      <c r="I83" s="136" t="s">
        <v>2075</v>
      </c>
    </row>
    <row r="84" spans="1:13" x14ac:dyDescent="0.35">
      <c r="A84" t="s">
        <v>111</v>
      </c>
      <c r="B84" s="296">
        <f>$L$22</f>
        <v>0</v>
      </c>
      <c r="C84" s="296" t="str">
        <f>$M$22</f>
        <v>-</v>
      </c>
      <c r="D84" s="296">
        <f>$N$22</f>
        <v>0</v>
      </c>
      <c r="E84" s="3" t="s">
        <v>25</v>
      </c>
      <c r="F84" s="484">
        <f>O25</f>
        <v>2187</v>
      </c>
      <c r="G84" s="752">
        <f>O68</f>
        <v>0</v>
      </c>
      <c r="H84" s="134">
        <f>ROUND(F84*G84,0)</f>
        <v>0</v>
      </c>
      <c r="I84" s="136" t="s">
        <v>2076</v>
      </c>
    </row>
    <row r="85" spans="1:13" x14ac:dyDescent="0.35">
      <c r="A85" t="s">
        <v>110</v>
      </c>
      <c r="B85"/>
      <c r="C85"/>
      <c r="D85"/>
      <c r="F85"/>
      <c r="G85"/>
      <c r="H85" s="140">
        <f>SUM(H81:H84)</f>
        <v>0</v>
      </c>
      <c r="I85" s="136" t="s">
        <v>2077</v>
      </c>
    </row>
    <row r="86" spans="1:13" ht="15" thickBot="1" x14ac:dyDescent="0.4">
      <c r="A86" t="s">
        <v>391</v>
      </c>
      <c r="B86"/>
      <c r="C86"/>
      <c r="D86"/>
      <c r="F86"/>
      <c r="G86"/>
      <c r="H86" s="280"/>
      <c r="I86" s="136" t="s">
        <v>2078</v>
      </c>
    </row>
    <row r="87" spans="1:13" ht="15.5" thickTop="1" thickBot="1" x14ac:dyDescent="0.4">
      <c r="A87" t="s">
        <v>392</v>
      </c>
      <c r="B87"/>
      <c r="C87"/>
      <c r="D87"/>
      <c r="F87"/>
      <c r="G87"/>
      <c r="H87" s="138">
        <f>ROUND(H85*(1+H86),0)</f>
        <v>0</v>
      </c>
      <c r="I87" s="136" t="s">
        <v>2079</v>
      </c>
    </row>
    <row r="88" spans="1:13" ht="15" thickTop="1" x14ac:dyDescent="0.35">
      <c r="A88" s="197"/>
      <c r="B88" s="197"/>
      <c r="C88" s="197"/>
      <c r="D88" s="197"/>
      <c r="E88" s="198"/>
    </row>
    <row r="89" spans="1:13" x14ac:dyDescent="0.35">
      <c r="A89" s="197"/>
      <c r="B89" s="197"/>
      <c r="C89" s="197"/>
      <c r="D89" s="197"/>
      <c r="E89" s="198"/>
    </row>
    <row r="90" spans="1:13" x14ac:dyDescent="0.35">
      <c r="A90" s="407" t="s">
        <v>1542</v>
      </c>
      <c r="B90" s="197"/>
      <c r="C90" s="197"/>
      <c r="D90" s="197"/>
      <c r="E90" s="198"/>
    </row>
    <row r="91" spans="1:13" x14ac:dyDescent="0.35">
      <c r="A91" s="197" t="str">
        <f>CONCATENATE($A$2," ",$A$3)</f>
        <v xml:space="preserve">NYPA </v>
      </c>
      <c r="B91" s="197"/>
      <c r="C91" s="197"/>
      <c r="D91" s="197"/>
      <c r="E91" s="198"/>
    </row>
    <row r="92" spans="1:13" x14ac:dyDescent="0.35">
      <c r="A92" s="226" t="s">
        <v>301</v>
      </c>
      <c r="B92" s="197"/>
      <c r="C92" s="197"/>
      <c r="D92" s="197"/>
      <c r="E92" s="198"/>
      <c r="H92" s="278">
        <f>H27</f>
        <v>385324355</v>
      </c>
      <c r="J92" s="136" t="s">
        <v>1694</v>
      </c>
    </row>
    <row r="93" spans="1:13" x14ac:dyDescent="0.35">
      <c r="A93" s="226" t="s">
        <v>303</v>
      </c>
      <c r="B93" s="197"/>
      <c r="C93" s="197"/>
      <c r="D93" s="197"/>
      <c r="E93" s="198"/>
      <c r="H93" s="279">
        <f>H28</f>
        <v>0</v>
      </c>
      <c r="J93" s="136" t="s">
        <v>1695</v>
      </c>
    </row>
    <row r="94" spans="1:13" x14ac:dyDescent="0.35">
      <c r="B94" s="197"/>
      <c r="C94" s="197"/>
      <c r="D94" s="197"/>
      <c r="E94" s="198"/>
      <c r="I94" s="277">
        <f>H92+H93</f>
        <v>385324355</v>
      </c>
      <c r="J94" s="136" t="s">
        <v>2080</v>
      </c>
    </row>
    <row r="95" spans="1:13" ht="15" thickBot="1" x14ac:dyDescent="0.4">
      <c r="A95" s="226" t="s">
        <v>393</v>
      </c>
      <c r="B95" s="197"/>
      <c r="C95" s="197"/>
      <c r="D95" s="197"/>
      <c r="E95" s="198"/>
      <c r="I95" s="278">
        <f>H87</f>
        <v>0</v>
      </c>
      <c r="J95" s="136" t="s">
        <v>2081</v>
      </c>
    </row>
    <row r="96" spans="1:13" ht="15.5" thickTop="1" thickBot="1" x14ac:dyDescent="0.4">
      <c r="A96" s="75" t="s">
        <v>394</v>
      </c>
      <c r="B96" s="197"/>
      <c r="C96" s="197"/>
      <c r="D96" s="197"/>
      <c r="E96" s="198"/>
      <c r="I96" s="333">
        <f>I94-I95</f>
        <v>385324355</v>
      </c>
      <c r="J96" s="136" t="s">
        <v>2082</v>
      </c>
    </row>
    <row r="97" spans="1:11" ht="15" thickTop="1" x14ac:dyDescent="0.35">
      <c r="A97" s="197"/>
      <c r="B97" s="197"/>
      <c r="C97" s="197"/>
      <c r="D97" s="197"/>
      <c r="E97" s="198"/>
    </row>
    <row r="98" spans="1:11" x14ac:dyDescent="0.35">
      <c r="A98" s="197"/>
      <c r="B98" s="197"/>
      <c r="C98" s="197"/>
      <c r="D98" s="197"/>
      <c r="E98" s="198"/>
    </row>
    <row r="99" spans="1:11" x14ac:dyDescent="0.35">
      <c r="A99" s="334" t="s">
        <v>395</v>
      </c>
      <c r="B99" s="197"/>
      <c r="C99" s="197"/>
      <c r="D99" s="197"/>
      <c r="E99" s="198"/>
    </row>
    <row r="100" spans="1:11" x14ac:dyDescent="0.35">
      <c r="A100" s="197" t="str">
        <f>CONCATENATE($A$2," ",$A$3)</f>
        <v xml:space="preserve">NYPA </v>
      </c>
      <c r="B100" s="197"/>
      <c r="C100" s="197"/>
      <c r="D100" s="197"/>
      <c r="E100" s="198"/>
    </row>
    <row r="101" spans="1:11" ht="15" thickBot="1" x14ac:dyDescent="0.4">
      <c r="A101" s="86" t="s">
        <v>300</v>
      </c>
      <c r="B101" s="197"/>
      <c r="C101" s="197"/>
      <c r="D101" s="197"/>
      <c r="E101" s="30"/>
      <c r="G101" s="30" t="s">
        <v>25</v>
      </c>
    </row>
    <row r="102" spans="1:11" x14ac:dyDescent="0.35">
      <c r="A102" s="3" t="s">
        <v>114</v>
      </c>
      <c r="B102" s="197"/>
      <c r="C102" s="271" t="str">
        <f>C66</f>
        <v>&gt;</v>
      </c>
      <c r="D102" s="271">
        <f>D66</f>
        <v>0</v>
      </c>
      <c r="E102" s="3" t="s">
        <v>25</v>
      </c>
      <c r="G102" s="274">
        <f>P8</f>
        <v>3707547</v>
      </c>
      <c r="H102" s="74" t="str">
        <f>CONCATENATE("* [",$L$75,"]")</f>
        <v>* [X + 0]</v>
      </c>
      <c r="I102" s="136" t="s">
        <v>2091</v>
      </c>
    </row>
    <row r="103" spans="1:11" x14ac:dyDescent="0.35">
      <c r="A103" s="3" t="s">
        <v>113</v>
      </c>
      <c r="B103" s="197"/>
      <c r="C103" s="272" t="str">
        <f>$C$102</f>
        <v>&gt;</v>
      </c>
      <c r="D103" s="272">
        <f>$D$102</f>
        <v>0</v>
      </c>
      <c r="E103" s="3" t="s">
        <v>25</v>
      </c>
      <c r="G103" s="274">
        <f>P13</f>
        <v>6297072</v>
      </c>
      <c r="H103" s="107" t="str">
        <f>CONCATENATE("* [",$M$75,"]")</f>
        <v>* [X]</v>
      </c>
      <c r="I103" s="136" t="s">
        <v>1763</v>
      </c>
    </row>
    <row r="104" spans="1:11" x14ac:dyDescent="0.35">
      <c r="A104" s="3" t="s">
        <v>112</v>
      </c>
      <c r="B104" s="197"/>
      <c r="C104" s="272" t="str">
        <f t="shared" ref="C104:C105" si="0">$C$102</f>
        <v>&gt;</v>
      </c>
      <c r="D104" s="272">
        <f t="shared" ref="D104:D105" si="1">$D$102</f>
        <v>0</v>
      </c>
      <c r="E104" s="3" t="s">
        <v>25</v>
      </c>
      <c r="G104" s="274">
        <f>P18</f>
        <v>1965888</v>
      </c>
      <c r="H104" s="107" t="str">
        <f>CONCATENATE("* [",$L$77,"]")</f>
        <v>* [X + -9.22]</v>
      </c>
      <c r="I104" s="136" t="s">
        <v>2092</v>
      </c>
    </row>
    <row r="105" spans="1:11" ht="15" thickBot="1" x14ac:dyDescent="0.4">
      <c r="A105" s="3" t="s">
        <v>111</v>
      </c>
      <c r="B105" s="197"/>
      <c r="C105" s="272" t="str">
        <f t="shared" si="0"/>
        <v>&gt;</v>
      </c>
      <c r="D105" s="272">
        <f t="shared" si="1"/>
        <v>0</v>
      </c>
      <c r="E105" s="3" t="s">
        <v>25</v>
      </c>
      <c r="G105" s="1062">
        <f>P23</f>
        <v>3765413</v>
      </c>
      <c r="H105" s="275" t="str">
        <f>CONCATENATE("* [",$M$77,"]")</f>
        <v>* [X + -9.22]</v>
      </c>
      <c r="I105" s="136" t="s">
        <v>2093</v>
      </c>
    </row>
    <row r="106" spans="1:11" x14ac:dyDescent="0.35">
      <c r="B106" s="197"/>
      <c r="C106" s="197"/>
      <c r="D106" s="197"/>
      <c r="E106" s="273"/>
      <c r="F106" s="273"/>
      <c r="G106" s="28">
        <f>SUM(G102:G105)</f>
        <v>15735920</v>
      </c>
      <c r="H106" s="136" t="s">
        <v>1708</v>
      </c>
    </row>
    <row r="107" spans="1:11" x14ac:dyDescent="0.35">
      <c r="A107" s="70" t="s">
        <v>38</v>
      </c>
    </row>
    <row r="108" spans="1:11" x14ac:dyDescent="0.35">
      <c r="A108" s="197" t="str">
        <f>CONCATENATE($A$2," ",$A$3)</f>
        <v xml:space="preserve">NYPA </v>
      </c>
    </row>
    <row r="109" spans="1:11" x14ac:dyDescent="0.35">
      <c r="A109" s="3" t="s">
        <v>114</v>
      </c>
      <c r="B109" s="271" t="str">
        <f>C102</f>
        <v>&gt;</v>
      </c>
      <c r="C109" s="271">
        <f>D102</f>
        <v>0</v>
      </c>
      <c r="D109" s="3" t="s">
        <v>25</v>
      </c>
      <c r="E109" s="34">
        <f>I96</f>
        <v>385324355</v>
      </c>
      <c r="F109" s="36" t="s">
        <v>31</v>
      </c>
      <c r="G109" s="28">
        <f>G102</f>
        <v>3707547</v>
      </c>
      <c r="H109" s="3" t="s">
        <v>396</v>
      </c>
      <c r="I109" s="308">
        <f>ROUND(G109*$J$75,0)</f>
        <v>0</v>
      </c>
      <c r="J109" s="3" t="s">
        <v>62</v>
      </c>
      <c r="K109" s="136" t="s">
        <v>2083</v>
      </c>
    </row>
    <row r="110" spans="1:11" x14ac:dyDescent="0.35">
      <c r="A110" s="3" t="s">
        <v>113</v>
      </c>
      <c r="B110" s="272" t="str">
        <f>$C$102</f>
        <v>&gt;</v>
      </c>
      <c r="C110" s="272">
        <f>$D$102</f>
        <v>0</v>
      </c>
      <c r="D110" s="3" t="s">
        <v>25</v>
      </c>
      <c r="G110" s="28">
        <f>G103</f>
        <v>6297072</v>
      </c>
      <c r="H110" s="3" t="s">
        <v>396</v>
      </c>
      <c r="I110" s="308">
        <f>ROUND(G110*$K$75,0)</f>
        <v>0</v>
      </c>
      <c r="J110" s="3" t="s">
        <v>62</v>
      </c>
      <c r="K110" s="136" t="s">
        <v>1763</v>
      </c>
    </row>
    <row r="111" spans="1:11" x14ac:dyDescent="0.35">
      <c r="A111" s="3" t="s">
        <v>112</v>
      </c>
      <c r="B111" s="272" t="str">
        <f t="shared" ref="B111:B112" si="2">$C$102</f>
        <v>&gt;</v>
      </c>
      <c r="C111" s="272">
        <f t="shared" ref="C111:C112" si="3">$D$102</f>
        <v>0</v>
      </c>
      <c r="D111" s="3" t="s">
        <v>25</v>
      </c>
      <c r="G111" s="28">
        <f>G104</f>
        <v>1965888</v>
      </c>
      <c r="H111" s="3" t="s">
        <v>396</v>
      </c>
      <c r="I111" s="308">
        <f>ROUND(G111*$J$77,0)</f>
        <v>-18125487</v>
      </c>
      <c r="J111" s="3" t="s">
        <v>62</v>
      </c>
      <c r="K111" s="136" t="s">
        <v>2084</v>
      </c>
    </row>
    <row r="112" spans="1:11" x14ac:dyDescent="0.35">
      <c r="A112" s="3" t="s">
        <v>111</v>
      </c>
      <c r="B112" s="272" t="str">
        <f t="shared" si="2"/>
        <v>&gt;</v>
      </c>
      <c r="C112" s="272">
        <f t="shared" si="3"/>
        <v>0</v>
      </c>
      <c r="D112" s="3" t="s">
        <v>25</v>
      </c>
      <c r="G112" s="38">
        <f>G105</f>
        <v>3765413</v>
      </c>
      <c r="H112" s="3" t="s">
        <v>396</v>
      </c>
      <c r="I112" s="335">
        <f>ROUND(G112*$K$77,0)</f>
        <v>-34717108</v>
      </c>
      <c r="J112" s="3" t="s">
        <v>62</v>
      </c>
      <c r="K112" s="136" t="s">
        <v>2085</v>
      </c>
    </row>
    <row r="113" spans="1:11" x14ac:dyDescent="0.35">
      <c r="E113" s="34">
        <f>E109</f>
        <v>385324355</v>
      </c>
      <c r="F113" s="36" t="s">
        <v>31</v>
      </c>
      <c r="G113" s="28">
        <f>SUM(G109:G112)</f>
        <v>15735920</v>
      </c>
      <c r="H113" s="3" t="s">
        <v>396</v>
      </c>
      <c r="I113" s="103">
        <f>SUM(I109:I112)</f>
        <v>-52842595</v>
      </c>
      <c r="J113" s="136" t="s">
        <v>2086</v>
      </c>
      <c r="K113" s="136" t="s">
        <v>2087</v>
      </c>
    </row>
    <row r="114" spans="1:11" x14ac:dyDescent="0.35">
      <c r="E114" s="34"/>
      <c r="F114" s="36"/>
      <c r="G114" s="28"/>
      <c r="I114" s="103"/>
      <c r="K114" s="136" t="s">
        <v>2088</v>
      </c>
    </row>
    <row r="115" spans="1:11" x14ac:dyDescent="0.35">
      <c r="E115" s="34">
        <f>E113-I113</f>
        <v>438166950</v>
      </c>
      <c r="F115" s="36" t="s">
        <v>31</v>
      </c>
      <c r="G115" s="28">
        <f>G113</f>
        <v>15735920</v>
      </c>
      <c r="H115" s="3" t="s">
        <v>32</v>
      </c>
      <c r="I115" s="103"/>
      <c r="K115" s="136" t="s">
        <v>2089</v>
      </c>
    </row>
    <row r="116" spans="1:11" ht="15" thickBot="1" x14ac:dyDescent="0.4">
      <c r="G116" s="28"/>
      <c r="I116" s="103"/>
      <c r="K116" s="136"/>
    </row>
    <row r="117" spans="1:11" ht="15.5" thickTop="1" thickBot="1" x14ac:dyDescent="0.4">
      <c r="E117" s="33" t="s">
        <v>32</v>
      </c>
      <c r="F117" s="36" t="s">
        <v>31</v>
      </c>
      <c r="G117" s="336">
        <f>ROUND(E115/G115,2)</f>
        <v>27.85</v>
      </c>
      <c r="H117" s="136" t="s">
        <v>2094</v>
      </c>
      <c r="I117" s="103"/>
      <c r="K117" s="136" t="s">
        <v>2090</v>
      </c>
    </row>
    <row r="118" spans="1:11" ht="15" thickTop="1" x14ac:dyDescent="0.35"/>
    <row r="119" spans="1:11" x14ac:dyDescent="0.35">
      <c r="A119" s="407" t="s">
        <v>1544</v>
      </c>
      <c r="B119" s="70"/>
      <c r="C119" s="70"/>
      <c r="D119" s="70"/>
    </row>
    <row r="120" spans="1:11" x14ac:dyDescent="0.35">
      <c r="A120" s="197" t="str">
        <f>CONCATENATE($A$2," ",$A$3)</f>
        <v xml:space="preserve">NYPA </v>
      </c>
      <c r="B120" s="70"/>
      <c r="C120" s="70"/>
      <c r="D120" s="70"/>
    </row>
    <row r="121" spans="1:11" x14ac:dyDescent="0.35">
      <c r="A121" s="75" t="s">
        <v>374</v>
      </c>
      <c r="B121" s="1332">
        <f>$F$33</f>
        <v>2019</v>
      </c>
      <c r="C121" s="1332"/>
      <c r="D121" s="1332"/>
    </row>
    <row r="122" spans="1:11" x14ac:dyDescent="0.35">
      <c r="A122" s="75" t="s">
        <v>297</v>
      </c>
      <c r="B122" s="1332">
        <f>$F$34</f>
        <v>2017</v>
      </c>
      <c r="C122" s="1332"/>
      <c r="D122" s="1332"/>
    </row>
    <row r="123" spans="1:11" x14ac:dyDescent="0.35">
      <c r="A123" s="190"/>
      <c r="B123" s="190"/>
      <c r="C123" s="190"/>
      <c r="D123" s="190"/>
    </row>
    <row r="124" spans="1:11" x14ac:dyDescent="0.35">
      <c r="A124" s="334" t="str">
        <f>CONCATENATE($A$33," at Proposed Demand Rates")</f>
        <v>NYPA  at Proposed Demand Rates</v>
      </c>
      <c r="B124" s="190"/>
      <c r="C124" s="190"/>
      <c r="D124" s="190"/>
    </row>
    <row r="125" spans="1:11" ht="15" thickBot="1" x14ac:dyDescent="0.4">
      <c r="A125" s="42"/>
      <c r="B125" s="190"/>
      <c r="C125" s="190"/>
      <c r="D125" s="190"/>
    </row>
    <row r="126" spans="1:11" ht="15.5" thickTop="1" thickBot="1" x14ac:dyDescent="0.4">
      <c r="A126" s="190"/>
      <c r="B126" s="190"/>
      <c r="C126" s="190"/>
      <c r="D126" s="190"/>
      <c r="E126" s="1338" t="s">
        <v>398</v>
      </c>
      <c r="F126" s="1339"/>
    </row>
    <row r="127" spans="1:11" ht="15.5" thickTop="1" thickBot="1" x14ac:dyDescent="0.4">
      <c r="A127" s="197" t="str">
        <f>CONCATENATE($A$2," ",$A$3)</f>
        <v xml:space="preserve">NYPA </v>
      </c>
      <c r="B127" s="197"/>
      <c r="C127" s="197"/>
      <c r="D127" s="197"/>
      <c r="E127" s="1307" t="s">
        <v>235</v>
      </c>
      <c r="F127" s="1309"/>
      <c r="H127" s="1307" t="s">
        <v>399</v>
      </c>
      <c r="I127" s="1309"/>
    </row>
    <row r="128" spans="1:11" ht="15" thickTop="1" x14ac:dyDescent="0.35">
      <c r="A128" s="197"/>
      <c r="B128" s="197"/>
      <c r="C128" s="197"/>
      <c r="D128" s="197"/>
      <c r="E128" s="30" t="s">
        <v>42</v>
      </c>
      <c r="F128" s="30" t="s">
        <v>40</v>
      </c>
      <c r="H128" s="30" t="s">
        <v>42</v>
      </c>
      <c r="I128" s="30" t="s">
        <v>40</v>
      </c>
    </row>
    <row r="129" spans="1:11" x14ac:dyDescent="0.35">
      <c r="A129" s="197"/>
      <c r="B129" s="197"/>
      <c r="C129" s="197"/>
      <c r="D129" s="197"/>
      <c r="E129" s="30"/>
      <c r="F129" s="30"/>
    </row>
    <row r="130" spans="1:11" ht="15" thickBot="1" x14ac:dyDescent="0.4">
      <c r="A130" s="3" t="s">
        <v>252</v>
      </c>
      <c r="B130" s="123" t="str">
        <f>$B$52</f>
        <v>0</v>
      </c>
      <c r="C130" s="123" t="str">
        <f>$C$52</f>
        <v>-</v>
      </c>
      <c r="D130" s="123">
        <f>$D$52</f>
        <v>0</v>
      </c>
      <c r="E130" s="504">
        <f>G81</f>
        <v>0</v>
      </c>
      <c r="F130" s="504">
        <f>G82</f>
        <v>0</v>
      </c>
      <c r="G130" s="136" t="s">
        <v>2095</v>
      </c>
    </row>
    <row r="131" spans="1:11" ht="15" thickBot="1" x14ac:dyDescent="0.4">
      <c r="C131" s="123" t="str">
        <f>$C$53</f>
        <v>&gt;</v>
      </c>
      <c r="D131" s="123">
        <f>$D$53</f>
        <v>0</v>
      </c>
      <c r="E131" s="321">
        <f>J75+$G$117</f>
        <v>27.85</v>
      </c>
      <c r="F131" s="322">
        <f>K75+$G$117</f>
        <v>27.85</v>
      </c>
      <c r="G131" s="136" t="s">
        <v>2096</v>
      </c>
      <c r="H131" s="35"/>
    </row>
    <row r="132" spans="1:11" x14ac:dyDescent="0.35">
      <c r="C132" s="123"/>
      <c r="D132" s="36"/>
      <c r="E132" s="27"/>
      <c r="F132" s="27"/>
      <c r="G132" s="136"/>
    </row>
    <row r="133" spans="1:11" ht="15" thickBot="1" x14ac:dyDescent="0.4">
      <c r="A133" s="3" t="s">
        <v>253</v>
      </c>
      <c r="B133" s="123" t="str">
        <f>$B$52</f>
        <v>0</v>
      </c>
      <c r="C133" s="123" t="str">
        <f>$C$52</f>
        <v>-</v>
      </c>
      <c r="D133" s="123">
        <f>$D$52</f>
        <v>0</v>
      </c>
      <c r="E133" s="504">
        <f>G83</f>
        <v>0</v>
      </c>
      <c r="F133" s="504">
        <f>G84</f>
        <v>0</v>
      </c>
      <c r="G133" s="136" t="s">
        <v>2097</v>
      </c>
      <c r="H133" s="27">
        <f>E130-E133</f>
        <v>0</v>
      </c>
      <c r="I133" s="27">
        <f>F130-F133</f>
        <v>0</v>
      </c>
      <c r="J133" s="136" t="s">
        <v>2099</v>
      </c>
      <c r="K133" s="136" t="s">
        <v>2100</v>
      </c>
    </row>
    <row r="134" spans="1:11" ht="15" thickBot="1" x14ac:dyDescent="0.4">
      <c r="C134" s="123" t="str">
        <f>$C$53</f>
        <v>&gt;</v>
      </c>
      <c r="D134" s="123">
        <f>$D$53</f>
        <v>0</v>
      </c>
      <c r="E134" s="321">
        <f>J77+$G$117</f>
        <v>18.630000000000003</v>
      </c>
      <c r="F134" s="322">
        <f>K77+$G$117</f>
        <v>18.630000000000003</v>
      </c>
      <c r="G134" s="136" t="s">
        <v>2098</v>
      </c>
      <c r="H134" s="27">
        <f>E131-E134</f>
        <v>9.2199999999999989</v>
      </c>
      <c r="I134" s="27">
        <f>F131-F134</f>
        <v>9.2199999999999989</v>
      </c>
      <c r="J134" s="136" t="s">
        <v>2101</v>
      </c>
      <c r="K134" s="136" t="s">
        <v>2102</v>
      </c>
    </row>
    <row r="135" spans="1:11" x14ac:dyDescent="0.35">
      <c r="A135" s="190"/>
      <c r="B135" s="190"/>
      <c r="C135" s="190"/>
      <c r="D135" s="190"/>
    </row>
    <row r="136" spans="1:11" x14ac:dyDescent="0.35">
      <c r="A136" s="410"/>
      <c r="B136" s="190"/>
      <c r="C136" s="190"/>
      <c r="D136" s="190"/>
    </row>
    <row r="137" spans="1:11" x14ac:dyDescent="0.35">
      <c r="A137" s="407" t="s">
        <v>1545</v>
      </c>
      <c r="B137" s="190"/>
      <c r="C137" s="190"/>
      <c r="D137" s="190"/>
    </row>
    <row r="138" spans="1:11" x14ac:dyDescent="0.35">
      <c r="A138" s="838" t="s">
        <v>402</v>
      </c>
      <c r="B138" s="1332">
        <f>$F$33</f>
        <v>2019</v>
      </c>
      <c r="C138" s="1332"/>
      <c r="D138" s="1332"/>
    </row>
    <row r="139" spans="1:11" x14ac:dyDescent="0.35">
      <c r="A139" s="410"/>
      <c r="B139" s="190"/>
      <c r="C139" s="190"/>
      <c r="D139" s="190"/>
    </row>
    <row r="140" spans="1:11" x14ac:dyDescent="0.35">
      <c r="A140" s="410"/>
      <c r="B140" s="190"/>
      <c r="C140" s="190"/>
      <c r="D140" s="190"/>
      <c r="G140" s="30"/>
      <c r="I140" s="30" t="s">
        <v>14</v>
      </c>
    </row>
    <row r="141" spans="1:11" x14ac:dyDescent="0.35">
      <c r="A141" s="835" t="s">
        <v>27</v>
      </c>
      <c r="E141" s="30" t="s">
        <v>26</v>
      </c>
      <c r="F141" s="30" t="s">
        <v>25</v>
      </c>
      <c r="G141" s="30" t="s">
        <v>235</v>
      </c>
      <c r="I141" s="30" t="s">
        <v>6</v>
      </c>
    </row>
    <row r="142" spans="1:11" x14ac:dyDescent="0.35">
      <c r="A142" s="410" t="s">
        <v>9</v>
      </c>
      <c r="B142" s="123" t="str">
        <f>$B$52</f>
        <v>0</v>
      </c>
      <c r="C142" s="123" t="str">
        <f>$C$52</f>
        <v>-</v>
      </c>
      <c r="D142" s="123">
        <f>$D$52</f>
        <v>0</v>
      </c>
      <c r="E142" s="29">
        <f>O7</f>
        <v>0</v>
      </c>
      <c r="F142" s="29">
        <f>P7</f>
        <v>0</v>
      </c>
      <c r="G142" s="35">
        <f>E130</f>
        <v>0</v>
      </c>
      <c r="H142" s="136" t="s">
        <v>1690</v>
      </c>
      <c r="I142" s="421"/>
    </row>
    <row r="143" spans="1:11" x14ac:dyDescent="0.35">
      <c r="A143" s="410"/>
      <c r="C143" s="123" t="str">
        <f>$C$53</f>
        <v>&gt;</v>
      </c>
      <c r="D143" s="123">
        <f>$D$53</f>
        <v>0</v>
      </c>
      <c r="E143" s="29">
        <f>O8</f>
        <v>35115</v>
      </c>
      <c r="F143" s="29">
        <f t="shared" ref="F143:F144" si="4">P8</f>
        <v>3707547</v>
      </c>
      <c r="G143" s="35">
        <f>E131</f>
        <v>27.85</v>
      </c>
      <c r="H143" s="136" t="s">
        <v>1710</v>
      </c>
      <c r="I143" s="26">
        <f>ROUND(G143*F143,0)</f>
        <v>103255184</v>
      </c>
    </row>
    <row r="144" spans="1:11" x14ac:dyDescent="0.35">
      <c r="A144" s="410"/>
      <c r="B144" s="36"/>
      <c r="C144" s="36"/>
      <c r="D144" s="36"/>
      <c r="E144" s="38">
        <f>O9</f>
        <v>0</v>
      </c>
      <c r="F144" s="38">
        <f t="shared" si="4"/>
        <v>0</v>
      </c>
      <c r="G144" s="35"/>
      <c r="I144" s="37"/>
    </row>
    <row r="145" spans="1:11" x14ac:dyDescent="0.35">
      <c r="A145" s="410"/>
      <c r="B145" s="36"/>
      <c r="C145" s="36"/>
      <c r="D145" s="36"/>
      <c r="E145" s="28">
        <f>E142+E143+E144</f>
        <v>35115</v>
      </c>
      <c r="F145" s="28">
        <f>F142+F143+F144</f>
        <v>3707547</v>
      </c>
      <c r="G145" s="35"/>
      <c r="I145" s="34">
        <f>I142+I143+I144</f>
        <v>103255184</v>
      </c>
      <c r="J145" s="34"/>
      <c r="K145" s="36" t="s">
        <v>10</v>
      </c>
    </row>
    <row r="146" spans="1:11" x14ac:dyDescent="0.35">
      <c r="A146" s="410"/>
      <c r="B146" s="36"/>
      <c r="C146" s="36"/>
      <c r="D146" s="36"/>
      <c r="E146" s="28"/>
      <c r="F146" s="28"/>
      <c r="G146" s="35"/>
      <c r="H146" s="33" t="s">
        <v>22</v>
      </c>
      <c r="I146" s="34">
        <f>ROUND(I145*(K146-1),0)</f>
        <v>1144067</v>
      </c>
      <c r="J146" s="33" t="s">
        <v>23</v>
      </c>
      <c r="K146" s="689">
        <f>G21</f>
        <v>1.01108</v>
      </c>
    </row>
    <row r="147" spans="1:11" x14ac:dyDescent="0.35">
      <c r="A147" s="410"/>
      <c r="B147" s="36"/>
      <c r="C147" s="36"/>
      <c r="D147" s="36"/>
      <c r="E147" s="28"/>
      <c r="F147" s="28"/>
      <c r="G147" s="35"/>
      <c r="H147" s="33" t="s">
        <v>21</v>
      </c>
      <c r="I147" s="32">
        <f>I145+I146</f>
        <v>104399251</v>
      </c>
      <c r="J147" s="8"/>
    </row>
    <row r="148" spans="1:11" x14ac:dyDescent="0.35">
      <c r="A148" s="410"/>
      <c r="I148" s="3"/>
    </row>
    <row r="149" spans="1:11" x14ac:dyDescent="0.35">
      <c r="A149" s="410" t="s">
        <v>8</v>
      </c>
      <c r="B149" s="123" t="str">
        <f>$B$52</f>
        <v>0</v>
      </c>
      <c r="C149" s="123" t="str">
        <f>$C$52</f>
        <v>-</v>
      </c>
      <c r="D149" s="123">
        <f>$D$52</f>
        <v>0</v>
      </c>
      <c r="E149" s="29">
        <f>O17</f>
        <v>0</v>
      </c>
      <c r="F149" s="29">
        <f>P17</f>
        <v>0</v>
      </c>
      <c r="G149" s="35">
        <f>E133</f>
        <v>0</v>
      </c>
      <c r="H149" s="136" t="s">
        <v>1692</v>
      </c>
      <c r="I149" s="421"/>
    </row>
    <row r="150" spans="1:11" x14ac:dyDescent="0.35">
      <c r="A150" s="410"/>
      <c r="C150" s="123" t="str">
        <f>$C$53</f>
        <v>&gt;</v>
      </c>
      <c r="D150" s="123">
        <f>$D$53</f>
        <v>0</v>
      </c>
      <c r="E150" s="29">
        <f t="shared" ref="E150:F151" si="5">O18</f>
        <v>1092</v>
      </c>
      <c r="F150" s="29">
        <f t="shared" si="5"/>
        <v>1965888</v>
      </c>
      <c r="G150" s="35">
        <f>E134</f>
        <v>18.630000000000003</v>
      </c>
      <c r="H150" s="136" t="s">
        <v>1712</v>
      </c>
      <c r="I150" s="26">
        <f>ROUND(G150*F150,0)</f>
        <v>36624493</v>
      </c>
    </row>
    <row r="151" spans="1:11" x14ac:dyDescent="0.35">
      <c r="A151" s="410"/>
      <c r="B151" s="36"/>
      <c r="C151" s="36"/>
      <c r="D151" s="36"/>
      <c r="E151" s="38">
        <f t="shared" si="5"/>
        <v>0</v>
      </c>
      <c r="F151" s="38">
        <f t="shared" si="5"/>
        <v>0</v>
      </c>
      <c r="G151" s="35"/>
      <c r="I151" s="37">
        <f>ROUND(G151*F151,0)</f>
        <v>0</v>
      </c>
    </row>
    <row r="152" spans="1:11" x14ac:dyDescent="0.35">
      <c r="A152" s="410"/>
      <c r="E152" s="28">
        <f>E149+E150+E151</f>
        <v>1092</v>
      </c>
      <c r="F152" s="28">
        <f>F149+F150+F151</f>
        <v>1965888</v>
      </c>
      <c r="G152" s="35"/>
      <c r="I152" s="34">
        <f>I149+I150+I151</f>
        <v>36624493</v>
      </c>
    </row>
    <row r="153" spans="1:11" x14ac:dyDescent="0.35">
      <c r="A153" s="410"/>
      <c r="E153" s="28"/>
      <c r="F153" s="28"/>
      <c r="G153" s="35"/>
      <c r="H153" s="33" t="s">
        <v>22</v>
      </c>
      <c r="I153" s="34">
        <f>ROUND(I152*(K146-1),0)</f>
        <v>405799</v>
      </c>
    </row>
    <row r="154" spans="1:11" x14ac:dyDescent="0.35">
      <c r="A154" s="410"/>
      <c r="E154" s="28"/>
      <c r="F154" s="28"/>
      <c r="G154" s="35"/>
      <c r="H154" s="33" t="s">
        <v>21</v>
      </c>
      <c r="I154" s="32">
        <f>I152+I153</f>
        <v>37030292</v>
      </c>
    </row>
    <row r="155" spans="1:11" x14ac:dyDescent="0.35">
      <c r="A155" s="410"/>
      <c r="E155" s="28"/>
      <c r="F155" s="28"/>
      <c r="G155" s="35"/>
      <c r="H155" s="33"/>
      <c r="I155" s="34"/>
    </row>
    <row r="156" spans="1:11" x14ac:dyDescent="0.35">
      <c r="A156" s="835" t="s">
        <v>24</v>
      </c>
      <c r="G156" s="30" t="s">
        <v>235</v>
      </c>
      <c r="I156" s="30" t="s">
        <v>6</v>
      </c>
      <c r="J156" s="17"/>
    </row>
    <row r="157" spans="1:11" x14ac:dyDescent="0.35">
      <c r="A157" s="410" t="s">
        <v>9</v>
      </c>
      <c r="B157" s="123" t="str">
        <f>$B$52</f>
        <v>0</v>
      </c>
      <c r="C157" s="123" t="str">
        <f>$C$52</f>
        <v>-</v>
      </c>
      <c r="D157" s="123">
        <f>$D$52</f>
        <v>0</v>
      </c>
      <c r="E157" s="29">
        <f t="shared" ref="E157:F159" si="6">O12</f>
        <v>0</v>
      </c>
      <c r="F157" s="29">
        <f t="shared" si="6"/>
        <v>0</v>
      </c>
      <c r="G157" s="35">
        <f>F130</f>
        <v>0</v>
      </c>
      <c r="H157" s="136" t="s">
        <v>1691</v>
      </c>
      <c r="I157" s="421"/>
      <c r="J157" s="17"/>
    </row>
    <row r="158" spans="1:11" x14ac:dyDescent="0.35">
      <c r="A158" s="410"/>
      <c r="C158" s="123" t="str">
        <f>$C$53</f>
        <v>&gt;</v>
      </c>
      <c r="D158" s="123">
        <f>$D$53</f>
        <v>0</v>
      </c>
      <c r="E158" s="29">
        <f t="shared" si="6"/>
        <v>70102</v>
      </c>
      <c r="F158" s="29">
        <f t="shared" si="6"/>
        <v>6297072</v>
      </c>
      <c r="G158" s="35">
        <f>F131</f>
        <v>27.85</v>
      </c>
      <c r="H158" s="136" t="s">
        <v>1711</v>
      </c>
      <c r="I158" s="26">
        <f>ROUND(G158*F158,0)</f>
        <v>175373455</v>
      </c>
      <c r="J158" s="17"/>
    </row>
    <row r="159" spans="1:11" x14ac:dyDescent="0.35">
      <c r="B159" s="36"/>
      <c r="C159" s="36"/>
      <c r="D159" s="36"/>
      <c r="E159" s="38">
        <f t="shared" si="6"/>
        <v>0</v>
      </c>
      <c r="F159" s="38">
        <f t="shared" si="6"/>
        <v>0</v>
      </c>
      <c r="G159" s="35"/>
      <c r="I159" s="37">
        <f>ROUND(G159*F159,0)</f>
        <v>0</v>
      </c>
      <c r="J159" s="17"/>
    </row>
    <row r="160" spans="1:11" x14ac:dyDescent="0.35">
      <c r="B160" s="36"/>
      <c r="C160" s="36"/>
      <c r="D160" s="36"/>
      <c r="E160" s="28">
        <f>E157+E158+E159</f>
        <v>70102</v>
      </c>
      <c r="F160" s="28">
        <f>F157+F158+F159</f>
        <v>6297072</v>
      </c>
      <c r="G160" s="35"/>
      <c r="I160" s="34">
        <f>I157+I158+I159</f>
        <v>175373455</v>
      </c>
      <c r="K160" s="36" t="s">
        <v>7</v>
      </c>
    </row>
    <row r="161" spans="1:13" x14ac:dyDescent="0.35">
      <c r="B161" s="36"/>
      <c r="C161" s="36"/>
      <c r="D161" s="36"/>
      <c r="E161" s="28"/>
      <c r="F161" s="28"/>
      <c r="G161" s="35"/>
      <c r="H161" s="33" t="s">
        <v>22</v>
      </c>
      <c r="I161" s="34">
        <f>ROUND(I160*(K161-1),0)</f>
        <v>1943138</v>
      </c>
      <c r="J161" s="33" t="s">
        <v>23</v>
      </c>
      <c r="K161" s="689">
        <f>G21</f>
        <v>1.01108</v>
      </c>
    </row>
    <row r="162" spans="1:13" x14ac:dyDescent="0.35">
      <c r="B162" s="36"/>
      <c r="C162" s="36"/>
      <c r="D162" s="36"/>
      <c r="E162" s="28"/>
      <c r="F162" s="28"/>
      <c r="G162" s="35"/>
      <c r="H162" s="33" t="s">
        <v>21</v>
      </c>
      <c r="I162" s="32">
        <f>I160+I161</f>
        <v>177316593</v>
      </c>
      <c r="J162" s="8"/>
    </row>
    <row r="163" spans="1:13" x14ac:dyDescent="0.35">
      <c r="I163" s="3"/>
    </row>
    <row r="164" spans="1:13" x14ac:dyDescent="0.35">
      <c r="A164" s="3" t="s">
        <v>8</v>
      </c>
      <c r="B164" s="123" t="str">
        <f>$B$52</f>
        <v>0</v>
      </c>
      <c r="C164" s="123" t="str">
        <f>$C$52</f>
        <v>-</v>
      </c>
      <c r="D164" s="123">
        <f>$D$52</f>
        <v>0</v>
      </c>
      <c r="E164" s="29">
        <f t="shared" ref="E164:F166" si="7">O22</f>
        <v>0</v>
      </c>
      <c r="F164" s="29">
        <f t="shared" si="7"/>
        <v>0</v>
      </c>
      <c r="G164" s="35">
        <f>F133</f>
        <v>0</v>
      </c>
      <c r="H164" s="136" t="s">
        <v>2103</v>
      </c>
      <c r="I164" s="421"/>
      <c r="J164" s="17"/>
    </row>
    <row r="165" spans="1:13" x14ac:dyDescent="0.35">
      <c r="C165" s="123" t="str">
        <f>$C$53</f>
        <v>&gt;</v>
      </c>
      <c r="D165" s="123">
        <f>$D$53</f>
        <v>0</v>
      </c>
      <c r="E165" s="29">
        <f t="shared" si="7"/>
        <v>2187</v>
      </c>
      <c r="F165" s="29">
        <f t="shared" si="7"/>
        <v>3765413</v>
      </c>
      <c r="G165" s="35">
        <f>F134</f>
        <v>18.630000000000003</v>
      </c>
      <c r="H165" s="136" t="s">
        <v>1713</v>
      </c>
      <c r="I165" s="26">
        <f>ROUND(G165*F165,0)</f>
        <v>70149644</v>
      </c>
      <c r="J165" s="17"/>
    </row>
    <row r="166" spans="1:13" x14ac:dyDescent="0.35">
      <c r="B166" s="36"/>
      <c r="C166" s="36"/>
      <c r="D166" s="36"/>
      <c r="E166" s="38">
        <f t="shared" si="7"/>
        <v>0</v>
      </c>
      <c r="F166" s="38">
        <f t="shared" si="7"/>
        <v>0</v>
      </c>
      <c r="G166" s="35"/>
      <c r="I166" s="37">
        <f>ROUND(G166*F166,0)</f>
        <v>0</v>
      </c>
      <c r="J166" s="17"/>
    </row>
    <row r="167" spans="1:13" x14ac:dyDescent="0.35">
      <c r="B167" s="36"/>
      <c r="C167" s="36"/>
      <c r="D167" s="36"/>
      <c r="E167" s="28">
        <f>E164+E165+E166</f>
        <v>2187</v>
      </c>
      <c r="F167" s="28">
        <f>F164+F165+F166</f>
        <v>3765413</v>
      </c>
      <c r="G167" s="35"/>
      <c r="I167" s="34">
        <f>I164+I165+I166</f>
        <v>70149644</v>
      </c>
      <c r="J167" s="17"/>
    </row>
    <row r="168" spans="1:13" x14ac:dyDescent="0.35">
      <c r="H168" s="33" t="s">
        <v>22</v>
      </c>
      <c r="I168" s="34">
        <f>ROUND(I167*(K161-1),0)</f>
        <v>777258</v>
      </c>
      <c r="J168" s="17"/>
    </row>
    <row r="169" spans="1:13" x14ac:dyDescent="0.35">
      <c r="H169" s="33" t="s">
        <v>21</v>
      </c>
      <c r="I169" s="32">
        <f>I167+I168</f>
        <v>70926902</v>
      </c>
      <c r="J169" s="8"/>
    </row>
    <row r="170" spans="1:13" ht="15" thickBot="1" x14ac:dyDescent="0.4">
      <c r="I170" s="3"/>
    </row>
    <row r="171" spans="1:13" ht="15.5" thickTop="1" thickBot="1" x14ac:dyDescent="0.4">
      <c r="I171" s="24">
        <f>I147+I154+I162+I169</f>
        <v>389673038</v>
      </c>
      <c r="J171" s="288"/>
    </row>
    <row r="172" spans="1:13" ht="15.5" thickTop="1" thickBot="1" x14ac:dyDescent="0.4">
      <c r="I172" s="34"/>
      <c r="J172" s="509"/>
      <c r="L172" s="17"/>
    </row>
    <row r="173" spans="1:13" x14ac:dyDescent="0.35">
      <c r="A173" s="882" t="str">
        <f>$A$33</f>
        <v xml:space="preserve">NYPA 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1" t="s">
        <v>6</v>
      </c>
      <c r="M173" s="2"/>
    </row>
    <row r="174" spans="1:13" x14ac:dyDescent="0.35">
      <c r="A174" s="11" t="s">
        <v>402</v>
      </c>
      <c r="B174" s="1306">
        <f>$F$33</f>
        <v>2019</v>
      </c>
      <c r="C174" s="1306"/>
      <c r="D174" s="1306"/>
      <c r="E174" s="10"/>
      <c r="F174" s="10"/>
      <c r="G174" s="10"/>
      <c r="H174" s="10"/>
      <c r="I174" s="10"/>
      <c r="J174" s="10"/>
      <c r="K174" s="13"/>
      <c r="L174" s="17"/>
      <c r="M174" s="2"/>
    </row>
    <row r="175" spans="1:13" x14ac:dyDescent="0.35">
      <c r="A175" s="699" t="s">
        <v>403</v>
      </c>
      <c r="B175" s="883"/>
      <c r="C175" s="883"/>
      <c r="D175" s="883"/>
      <c r="E175" s="884"/>
      <c r="F175" s="10"/>
      <c r="G175" s="10"/>
      <c r="H175" s="10"/>
      <c r="I175" s="10"/>
      <c r="J175" s="10"/>
      <c r="K175" s="12">
        <f>I171</f>
        <v>389673038</v>
      </c>
      <c r="L175" s="288"/>
      <c r="M175" s="2"/>
    </row>
    <row r="176" spans="1:13" x14ac:dyDescent="0.35">
      <c r="A176" s="20"/>
      <c r="B176" s="19"/>
      <c r="C176" s="19"/>
      <c r="D176" s="19"/>
      <c r="E176" s="10"/>
      <c r="F176" s="10"/>
      <c r="G176" s="10"/>
      <c r="H176" s="10"/>
      <c r="I176" s="10"/>
      <c r="J176" s="10"/>
      <c r="K176" s="470"/>
      <c r="L176" s="17"/>
      <c r="M176" s="2"/>
    </row>
    <row r="177" spans="1:16" x14ac:dyDescent="0.3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471"/>
      <c r="L177" s="8"/>
      <c r="M177" s="2"/>
    </row>
    <row r="178" spans="1:16" x14ac:dyDescent="0.35">
      <c r="A178" s="11" t="s">
        <v>404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2">
        <f>K175+K176+K177</f>
        <v>389673038</v>
      </c>
      <c r="L178" s="2"/>
      <c r="M178" s="2"/>
      <c r="N178" s="2"/>
      <c r="O178" s="2"/>
      <c r="P178" s="2"/>
    </row>
    <row r="179" spans="1:16" x14ac:dyDescent="0.35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3"/>
      <c r="L179" s="2"/>
      <c r="M179" s="2"/>
      <c r="N179" s="2"/>
      <c r="O179" s="2"/>
      <c r="P179" s="2"/>
    </row>
    <row r="180" spans="1:16" x14ac:dyDescent="0.35">
      <c r="A180" s="11"/>
      <c r="B180" s="10" t="s">
        <v>405</v>
      </c>
      <c r="C180" s="10"/>
      <c r="D180" s="10"/>
      <c r="E180" s="10"/>
      <c r="F180" s="10"/>
      <c r="G180" s="10"/>
      <c r="H180" s="10"/>
      <c r="I180" s="10"/>
      <c r="J180" s="10"/>
      <c r="K180" s="828">
        <f>G29</f>
        <v>389610477</v>
      </c>
      <c r="L180" s="2"/>
      <c r="M180" s="2"/>
      <c r="N180" s="2"/>
      <c r="O180" s="2"/>
      <c r="P180" s="2"/>
    </row>
    <row r="181" spans="1:16" x14ac:dyDescent="0.35">
      <c r="A181" s="11"/>
      <c r="B181" s="10" t="s">
        <v>1</v>
      </c>
      <c r="C181" s="10"/>
      <c r="D181" s="10"/>
      <c r="E181" s="10"/>
      <c r="F181" s="10"/>
      <c r="G181" s="10"/>
      <c r="H181" s="10"/>
      <c r="I181" s="10"/>
      <c r="J181" s="10"/>
      <c r="K181" s="12">
        <f>K178-K180</f>
        <v>62561</v>
      </c>
      <c r="L181" s="2"/>
      <c r="M181" s="2"/>
      <c r="N181" s="2"/>
      <c r="O181" s="2"/>
      <c r="P181" s="2"/>
    </row>
    <row r="182" spans="1:16" x14ac:dyDescent="0.35">
      <c r="A182" s="11"/>
      <c r="B182" s="10" t="s">
        <v>0</v>
      </c>
      <c r="C182" s="10"/>
      <c r="D182" s="10"/>
      <c r="E182" s="10"/>
      <c r="F182" s="10"/>
      <c r="G182" s="10"/>
      <c r="H182" s="10"/>
      <c r="I182" s="10"/>
      <c r="J182" s="10"/>
      <c r="K182" s="9">
        <f>K178/K180-1</f>
        <v>1.605731973166602E-4</v>
      </c>
      <c r="L182" s="8"/>
    </row>
    <row r="183" spans="1:16" ht="15" thickBot="1" x14ac:dyDescent="0.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4"/>
    </row>
  </sheetData>
  <mergeCells count="26">
    <mergeCell ref="B174:D174"/>
    <mergeCell ref="H71:O71"/>
    <mergeCell ref="H72:I72"/>
    <mergeCell ref="J72:K72"/>
    <mergeCell ref="L72:M72"/>
    <mergeCell ref="N72:O72"/>
    <mergeCell ref="B121:D121"/>
    <mergeCell ref="B122:D122"/>
    <mergeCell ref="E126:F126"/>
    <mergeCell ref="E127:F127"/>
    <mergeCell ref="H127:I127"/>
    <mergeCell ref="B138:D138"/>
    <mergeCell ref="E61:F61"/>
    <mergeCell ref="H61:O61"/>
    <mergeCell ref="E62:F62"/>
    <mergeCell ref="H62:I62"/>
    <mergeCell ref="J62:K62"/>
    <mergeCell ref="L62:M62"/>
    <mergeCell ref="N62:O62"/>
    <mergeCell ref="E40:H40"/>
    <mergeCell ref="J40:N40"/>
    <mergeCell ref="E41:F41"/>
    <mergeCell ref="J41:K41"/>
    <mergeCell ref="H48:H49"/>
    <mergeCell ref="J48:J49"/>
    <mergeCell ref="E49:G49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36" max="16383" man="1"/>
  </row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52">
    <tabColor rgb="FFFFC000"/>
  </sheetPr>
  <dimension ref="A1:Q171"/>
  <sheetViews>
    <sheetView workbookViewId="0">
      <selection activeCell="G221" sqref="G221"/>
    </sheetView>
  </sheetViews>
  <sheetFormatPr defaultColWidth="8.81640625" defaultRowHeight="14.5" x14ac:dyDescent="0.35"/>
  <cols>
    <col min="1" max="1" width="15.7265625" style="3" customWidth="1"/>
    <col min="2" max="3" width="13.81640625" style="3" customWidth="1"/>
    <col min="4" max="4" width="9.1796875" style="3" customWidth="1"/>
    <col min="5" max="5" width="15.81640625" style="3" customWidth="1"/>
    <col min="6" max="6" width="12" style="2" customWidth="1"/>
    <col min="7" max="7" width="13.453125" style="3" customWidth="1"/>
    <col min="8" max="8" width="12.1796875" style="3" customWidth="1"/>
    <col min="9" max="9" width="25.7265625" style="3" customWidth="1"/>
    <col min="10" max="10" width="27.26953125" style="3" customWidth="1"/>
    <col min="11" max="11" width="16.1796875" style="3" customWidth="1"/>
    <col min="12" max="13" width="14.26953125" style="3" customWidth="1"/>
    <col min="14" max="14" width="14.7265625" style="3" customWidth="1"/>
    <col min="15" max="15" width="12.81640625" style="3" customWidth="1"/>
    <col min="16" max="17" width="14.7265625" style="3" customWidth="1"/>
    <col min="18" max="16384" width="8.81640625" style="3"/>
  </cols>
  <sheetData>
    <row r="1" spans="1:14" ht="18.5" x14ac:dyDescent="0.35">
      <c r="A1" s="238" t="s">
        <v>2303</v>
      </c>
    </row>
    <row r="2" spans="1:14" x14ac:dyDescent="0.35">
      <c r="A2" s="182" t="s">
        <v>248</v>
      </c>
      <c r="B2" s="180"/>
    </row>
    <row r="3" spans="1:14" x14ac:dyDescent="0.35">
      <c r="A3" s="182" t="s">
        <v>204</v>
      </c>
      <c r="B3" s="180"/>
      <c r="D3" s="863" t="s">
        <v>1428</v>
      </c>
      <c r="E3" s="1250">
        <f>'[1]A1.)RatesInput'!$G$3</f>
        <v>2017</v>
      </c>
    </row>
    <row r="4" spans="1:14" x14ac:dyDescent="0.35">
      <c r="A4" s="182" t="s">
        <v>195</v>
      </c>
      <c r="B4" s="180"/>
      <c r="C4" s="180"/>
      <c r="D4" s="863" t="s">
        <v>1075</v>
      </c>
      <c r="E4" s="805" t="str">
        <f>'9A.)HL_RedesignRateSummary'!D9</f>
        <v>Current</v>
      </c>
      <c r="F4" s="231"/>
      <c r="H4" s="180"/>
      <c r="I4" s="180"/>
      <c r="J4" s="197" t="str">
        <f>$A$2</f>
        <v>SC5</v>
      </c>
      <c r="K4" s="30"/>
      <c r="L4" s="30"/>
      <c r="M4" s="30"/>
      <c r="N4" s="30"/>
    </row>
    <row r="5" spans="1:14" x14ac:dyDescent="0.35">
      <c r="D5" s="863" t="s">
        <v>1076</v>
      </c>
      <c r="E5" s="805" t="s">
        <v>1074</v>
      </c>
      <c r="F5" s="232"/>
      <c r="J5" s="197" t="str">
        <f>A4</f>
        <v>TODL</v>
      </c>
      <c r="K5" s="30" t="s">
        <v>42</v>
      </c>
      <c r="L5" s="30" t="s">
        <v>40</v>
      </c>
      <c r="M5" s="30"/>
      <c r="N5" s="30"/>
    </row>
    <row r="6" spans="1:14" x14ac:dyDescent="0.35">
      <c r="E6" s="860"/>
      <c r="F6" s="230"/>
      <c r="I6" s="190" t="s">
        <v>196</v>
      </c>
      <c r="J6" s="3" t="str">
        <f>CONCATENATE($A$2,"(FS)kW pd 1 LT")</f>
        <v>SC5(FS)kW pd 1 LT</v>
      </c>
      <c r="K6" s="877">
        <f>IF(ISNUMBER(VLOOKUP($J6,'[1]D2.)BillingDeterminants(TOD)'!$A$5:$K$171,4,0)),VLOOKUP($J6,'[1]D2.)BillingDeterminants(TOD)'!$A$5:$K$171,4,0),0)</f>
        <v>0</v>
      </c>
      <c r="L6" s="877">
        <f>IF(ISNUMBER(VLOOKUP($J6,'[1]D2.)BillingDeterminants(TOD)'!$A$5:$K$171,5,0)),VLOOKUP($J6,'[1]D2.)BillingDeterminants(TOD)'!$A$5:$K$171,5,0),0)</f>
        <v>0</v>
      </c>
    </row>
    <row r="7" spans="1:14" x14ac:dyDescent="0.35">
      <c r="A7" s="3" t="str">
        <f>CONCATENATE($A$2," TOD (LT)")</f>
        <v>SC5 TOD (LT)</v>
      </c>
      <c r="B7" s="3" t="s">
        <v>168</v>
      </c>
      <c r="E7" s="861">
        <f>IF(ISNUMBER(VLOOKUP($A7,'[1]A1.)RatesInput'!$B$287:$J$309,HLOOKUP(E$4,'[1]A1.)RatesInput'!$B$287:$J$309,2,0),0)),VLOOKUP($A7,'[1]A1.)RatesInput'!$B$287:$J$309,HLOOKUP(E$4,'[1]A1.)RatesInput'!$B$287:$J$309,2,0),0),0)</f>
        <v>22.76</v>
      </c>
      <c r="F7" s="230"/>
      <c r="I7" s="190"/>
      <c r="J7" s="3" t="str">
        <f>CONCATENATE($A$2,"(FS)kW pd 1 HT")</f>
        <v>SC5(FS)kW pd 1 HT</v>
      </c>
      <c r="K7" s="878">
        <f>IF(ISNUMBER(VLOOKUP($J7,'[1]D2.)BillingDeterminants(TOD)'!$A$5:$K$171,4,0)),VLOOKUP($J7,'[1]D2.)BillingDeterminants(TOD)'!$A$5:$K$171,4,0),0)</f>
        <v>0</v>
      </c>
      <c r="L7" s="878">
        <f>IF(ISNUMBER(VLOOKUP($J7,'[1]D2.)BillingDeterminants(TOD)'!$A$5:$K$171,5,0)),VLOOKUP($J7,'[1]D2.)BillingDeterminants(TOD)'!$A$5:$K$171,5,0),0)</f>
        <v>0</v>
      </c>
    </row>
    <row r="8" spans="1:14" x14ac:dyDescent="0.35">
      <c r="E8" s="861"/>
      <c r="F8" s="230"/>
      <c r="I8" s="190" t="s">
        <v>197</v>
      </c>
      <c r="J8" s="3" t="str">
        <f>CONCATENATE($A$2,"(FS)kW pd 2 LT")</f>
        <v>SC5(FS)kW pd 2 LT</v>
      </c>
      <c r="K8" s="878">
        <f>IF(ISNUMBER(VLOOKUP($J8,'[1]D2.)BillingDeterminants(TOD)'!$A$5:$K$171,4,0)),VLOOKUP($J8,'[1]D2.)BillingDeterminants(TOD)'!$A$5:$K$171,4,0),0)</f>
        <v>0</v>
      </c>
      <c r="L8" s="878">
        <f>IF(ISNUMBER(VLOOKUP($J8,'[1]D2.)BillingDeterminants(TOD)'!$A$5:$K$171,5,0)),VLOOKUP($J8,'[1]D2.)BillingDeterminants(TOD)'!$A$5:$K$171,5,0),0)</f>
        <v>0</v>
      </c>
    </row>
    <row r="9" spans="1:14" x14ac:dyDescent="0.35">
      <c r="A9" s="3" t="str">
        <f>CONCATENATE($A$2," TOD (HT)")</f>
        <v>SC5 TOD (HT)</v>
      </c>
      <c r="B9" s="3" t="s">
        <v>168</v>
      </c>
      <c r="E9" s="861">
        <f>IF(ISNUMBER(VLOOKUP($A9,'[1]A1.)RatesInput'!$B$287:$J$309,HLOOKUP(E$4,'[1]A1.)RatesInput'!$B$287:$J$309,2,0),0)),VLOOKUP($A9,'[1]A1.)RatesInput'!$B$287:$J$309,HLOOKUP(E$4,'[1]A1.)RatesInput'!$B$287:$J$309,2,0),0),0)</f>
        <v>13.83</v>
      </c>
      <c r="F9" s="230"/>
      <c r="I9" s="190"/>
      <c r="J9" s="3" t="str">
        <f>CONCATENATE($A$2,"(FS)kW pd 2 HT")</f>
        <v>SC5(FS)kW pd 2 HT</v>
      </c>
      <c r="K9" s="878">
        <f>IF(ISNUMBER(VLOOKUP($J9,'[1]D2.)BillingDeterminants(TOD)'!$A$5:$K$171,4,0)),VLOOKUP($J9,'[1]D2.)BillingDeterminants(TOD)'!$A$5:$K$171,4,0),0)</f>
        <v>0</v>
      </c>
      <c r="L9" s="878">
        <f>IF(ISNUMBER(VLOOKUP($J9,'[1]D2.)BillingDeterminants(TOD)'!$A$5:$K$171,5,0)),VLOOKUP($J9,'[1]D2.)BillingDeterminants(TOD)'!$A$5:$K$171,5,0),0)</f>
        <v>0</v>
      </c>
    </row>
    <row r="10" spans="1:14" x14ac:dyDescent="0.35">
      <c r="E10" s="861"/>
      <c r="F10" s="230"/>
      <c r="I10" s="190" t="s">
        <v>198</v>
      </c>
      <c r="J10" s="3" t="str">
        <f>CONCATENATE($A$2,"(FS)kW Secondary")</f>
        <v>SC5(FS)kW Secondary</v>
      </c>
      <c r="K10" s="878">
        <f>IF(ISNUMBER(VLOOKUP($J10,'[1]D2.)BillingDeterminants(TOD)'!$A$5:$K$171,4,0)),VLOOKUP($J10,'[1]D2.)BillingDeterminants(TOD)'!$A$5:$K$171,4,0),0)</f>
        <v>0</v>
      </c>
      <c r="L10" s="878">
        <f>IF(ISNUMBER(VLOOKUP($J10,'[1]D2.)BillingDeterminants(TOD)'!$A$5:$K$171,5,0)),VLOOKUP($J10,'[1]D2.)BillingDeterminants(TOD)'!$A$5:$K$171,5,0),0)</f>
        <v>0</v>
      </c>
    </row>
    <row r="11" spans="1:14" x14ac:dyDescent="0.35">
      <c r="A11" s="3" t="str">
        <f>CONCATENATE($A$2," TOD (LT)")</f>
        <v>SC5 TOD (LT)</v>
      </c>
      <c r="B11" s="3" t="s">
        <v>169</v>
      </c>
      <c r="E11" s="861">
        <f>IF(ISNUMBER(VLOOKUP($A11,'[1]A1.)RatesInput'!$B$315:$J$340,HLOOKUP(E$5,'[1]A1.)RatesInput'!$B$315:$J$340,3,0),0)),VLOOKUP($A11,'[1]A1.)RatesInput'!$B$315:$J$340,HLOOKUP(E$5,'[1]A1.)RatesInput'!$B$315:$J$340,3,0),0),0)</f>
        <v>14.97</v>
      </c>
      <c r="F11" s="230"/>
      <c r="J11" s="3" t="str">
        <f>CONCATENATE($A$2,"(FS)kWh LT")</f>
        <v>SC5(FS)kWh LT</v>
      </c>
      <c r="K11" s="878">
        <f>IF(ISNUMBER(VLOOKUP($J11,'[1]D2.)BillingDeterminants(TOD)'!$A$5:$K$171,4,0)),VLOOKUP($J11,'[1]D2.)BillingDeterminants(TOD)'!$A$5:$K$171,4,0),0)</f>
        <v>0</v>
      </c>
      <c r="L11" s="878">
        <f>IF(ISNUMBER(VLOOKUP($J11,'[1]D2.)BillingDeterminants(TOD)'!$A$5:$K$171,5,0)),VLOOKUP($J11,'[1]D2.)BillingDeterminants(TOD)'!$A$5:$K$171,5,0),0)</f>
        <v>0</v>
      </c>
    </row>
    <row r="12" spans="1:14" x14ac:dyDescent="0.35">
      <c r="E12" s="861"/>
      <c r="F12" s="230"/>
      <c r="J12" s="3" t="str">
        <f>CONCATENATE($A$2,"(FS)kWh HT")</f>
        <v>SC5(FS)kWh HT</v>
      </c>
      <c r="K12" s="878">
        <f>IF(ISNUMBER(VLOOKUP($J12,'[1]D2.)BillingDeterminants(TOD)'!$A$5:$K$171,4,0)),VLOOKUP($J12,'[1]D2.)BillingDeterminants(TOD)'!$A$5:$K$171,4,0),0)</f>
        <v>0</v>
      </c>
      <c r="L12" s="878">
        <f>IF(ISNUMBER(VLOOKUP($J12,'[1]D2.)BillingDeterminants(TOD)'!$A$5:$K$171,5,0)),VLOOKUP($J12,'[1]D2.)BillingDeterminants(TOD)'!$A$5:$K$171,5,0),0)</f>
        <v>0</v>
      </c>
    </row>
    <row r="13" spans="1:14" x14ac:dyDescent="0.35">
      <c r="A13" s="3" t="str">
        <f>CONCATENATE($A$2," TOD (HT)")</f>
        <v>SC5 TOD (HT)</v>
      </c>
      <c r="B13" s="3" t="s">
        <v>169</v>
      </c>
      <c r="E13" s="862">
        <f>IF(ISNUMBER(VLOOKUP($A13,'[1]A1.)RatesInput'!$B$315:$J$340,HLOOKUP(E$5,'[1]A1.)RatesInput'!$B$315:$J$340,3,0),0)),VLOOKUP($A13,'[1]A1.)RatesInput'!$B$315:$J$340,HLOOKUP(E$5,'[1]A1.)RatesInput'!$B$315:$J$340,3,0),0),0)</f>
        <v>10.050000000000001</v>
      </c>
      <c r="F13" s="230"/>
      <c r="G13" s="230"/>
      <c r="J13" s="3" t="str">
        <f>CONCATENATE($A$2,"(FS)kWh OnPk LT")</f>
        <v>SC5(FS)kWh OnPk LT</v>
      </c>
      <c r="K13" s="878">
        <f>IF(ISNUMBER(VLOOKUP($J13,'[1]D2.)BillingDeterminants(TOD)'!$A$5:$K$171,4,0)),VLOOKUP($J13,'[1]D2.)BillingDeterminants(TOD)'!$A$5:$K$171,4,0),0)</f>
        <v>0</v>
      </c>
      <c r="L13" s="878">
        <f>IF(ISNUMBER(VLOOKUP($J13,'[1]D2.)BillingDeterminants(TOD)'!$A$5:$K$171,5,0)),VLOOKUP($J13,'[1]D2.)BillingDeterminants(TOD)'!$A$5:$K$171,5,0),0)</f>
        <v>0</v>
      </c>
    </row>
    <row r="14" spans="1:14" ht="15" thickBot="1" x14ac:dyDescent="0.4">
      <c r="J14" s="3" t="str">
        <f>CONCATENATE($A$2,"(FS)kWh OnPk HT")</f>
        <v>SC5(FS)kWh OnPk HT</v>
      </c>
      <c r="K14" s="878">
        <f>IF(ISNUMBER(VLOOKUP($J14,'[1]D2.)BillingDeterminants(TOD)'!$A$5:$K$171,4,0)),VLOOKUP($J14,'[1]D2.)BillingDeterminants(TOD)'!$A$5:$K$171,4,0),0)</f>
        <v>0</v>
      </c>
      <c r="L14" s="878">
        <f>IF(ISNUMBER(VLOOKUP($J14,'[1]D2.)BillingDeterminants(TOD)'!$A$5:$K$171,5,0)),VLOOKUP($J14,'[1]D2.)BillingDeterminants(TOD)'!$A$5:$K$171,5,0),0)</f>
        <v>0</v>
      </c>
    </row>
    <row r="15" spans="1:14" ht="15.5" thickTop="1" thickBot="1" x14ac:dyDescent="0.4">
      <c r="E15" s="422" t="str">
        <f>E$5</f>
        <v>ED Shifting</v>
      </c>
      <c r="G15" s="423" t="s">
        <v>142</v>
      </c>
      <c r="J15" s="3" t="str">
        <f>CONCATENATE($A$2,"(FS)kWh OffPk LT")</f>
        <v>SC5(FS)kWh OffPk LT</v>
      </c>
      <c r="K15" s="878">
        <f>IF(ISNUMBER(VLOOKUP($J15,'[1]D2.)BillingDeterminants(TOD)'!$A$5:$K$171,4,0)),VLOOKUP($J15,'[1]D2.)BillingDeterminants(TOD)'!$A$5:$K$171,4,0),0)</f>
        <v>0</v>
      </c>
      <c r="L15" s="878">
        <f>IF(ISNUMBER(VLOOKUP($J15,'[1]D2.)BillingDeterminants(TOD)'!$A$5:$K$171,5,0)),VLOOKUP($J15,'[1]D2.)BillingDeterminants(TOD)'!$A$5:$K$171,5,0),0)</f>
        <v>0</v>
      </c>
      <c r="M15" s="1307" t="s">
        <v>246</v>
      </c>
      <c r="N15" s="1309"/>
    </row>
    <row r="16" spans="1:14" ht="15" thickTop="1" x14ac:dyDescent="0.35">
      <c r="A16" s="3" t="s">
        <v>938</v>
      </c>
      <c r="E16" s="572">
        <f>'9A.)HL_RedesignRateSummary'!D124</f>
        <v>0</v>
      </c>
      <c r="F16" s="233">
        <f>(E16*8+E19*4)/12</f>
        <v>1.5333333333333332</v>
      </c>
      <c r="G16" s="874">
        <f>L131</f>
        <v>0</v>
      </c>
      <c r="H16" s="233">
        <f>(G16*8+G19*4)/12</f>
        <v>1.5333333333333332</v>
      </c>
      <c r="J16" s="3" t="str">
        <f>CONCATENATE($A$2,"(FS)kWh OffPk HT")</f>
        <v>SC5(FS)kWh OffPk HT</v>
      </c>
      <c r="K16" s="879">
        <f>IF(ISNUMBER(VLOOKUP($J16,'[1]D2.)BillingDeterminants(TOD)'!$A$5:$K$171,4,0)),VLOOKUP($J16,'[1]D2.)BillingDeterminants(TOD)'!$A$5:$K$171,4,0),0)</f>
        <v>0</v>
      </c>
      <c r="L16" s="879">
        <f>IF(ISNUMBER(VLOOKUP($J16,'[1]D2.)BillingDeterminants(TOD)'!$A$5:$K$171,5,0)),VLOOKUP($J16,'[1]D2.)BillingDeterminants(TOD)'!$A$5:$K$171,5,0),0)</f>
        <v>0</v>
      </c>
      <c r="M16" s="30" t="s">
        <v>42</v>
      </c>
      <c r="N16" s="30" t="s">
        <v>40</v>
      </c>
    </row>
    <row r="17" spans="1:14" x14ac:dyDescent="0.35">
      <c r="A17" s="3" t="s">
        <v>939</v>
      </c>
      <c r="E17" s="571">
        <f>'9A.)HL_RedesignRateSummary'!D125</f>
        <v>8.0399999999999991</v>
      </c>
      <c r="F17" s="233">
        <f>(E17*8+E20*4)/12</f>
        <v>8.5133333333333336</v>
      </c>
      <c r="G17" s="875">
        <f>L132</f>
        <v>7.93</v>
      </c>
      <c r="H17" s="233">
        <f>(G17*8+G20*4)/12</f>
        <v>8.4033333333333342</v>
      </c>
      <c r="I17" s="190" t="s">
        <v>196</v>
      </c>
      <c r="J17" s="3" t="str">
        <f>CONCATENATE($A$2,"(RA)kW pd 1 LT")</f>
        <v>SC5(RA)kW pd 1 LT</v>
      </c>
      <c r="K17" s="877">
        <f>IF(ISNUMBER(VLOOKUP($J17,'[1]D2.)BillingDeterminants(TOD)'!$A$5:$K$171,4,0)),VLOOKUP($J17,'[1]D2.)BillingDeterminants(TOD)'!$A$5:$K$171,4,0),0)</f>
        <v>9249.6</v>
      </c>
      <c r="L17" s="877">
        <f>IF(ISNUMBER(VLOOKUP($J17,'[1]D2.)BillingDeterminants(TOD)'!$A$5:$K$171,5,0)),VLOOKUP($J17,'[1]D2.)BillingDeterminants(TOD)'!$A$5:$K$171,5,0),0)</f>
        <v>17349.599999999999</v>
      </c>
      <c r="M17" s="205">
        <f>K6+K17</f>
        <v>9249.6</v>
      </c>
      <c r="N17" s="205">
        <f t="shared" ref="N17:N27" si="0">L6+L17</f>
        <v>17349.599999999999</v>
      </c>
    </row>
    <row r="18" spans="1:14" x14ac:dyDescent="0.35">
      <c r="A18" s="3" t="s">
        <v>940</v>
      </c>
      <c r="E18" s="571">
        <f>'9A.)HL_RedesignRateSummary'!D126</f>
        <v>2.8599999999999994</v>
      </c>
      <c r="F18" s="233">
        <f>(E18*8+E21*4)/12</f>
        <v>4.9266666666666659</v>
      </c>
      <c r="G18" s="875">
        <f>L133</f>
        <v>3.78</v>
      </c>
      <c r="H18" s="233">
        <f>(G18*8+G21*4)/12</f>
        <v>5.8466666666666667</v>
      </c>
      <c r="I18" s="190"/>
      <c r="J18" s="3" t="str">
        <f>CONCATENATE($A$2,"(RA)kW pd 1 HT")</f>
        <v>SC5(RA)kW pd 1 HT</v>
      </c>
      <c r="K18" s="878">
        <f>IF(ISNUMBER(VLOOKUP($J18,'[1]D2.)BillingDeterminants(TOD)'!$A$5:$K$171,4,0)),VLOOKUP($J18,'[1]D2.)BillingDeterminants(TOD)'!$A$5:$K$171,4,0),0)</f>
        <v>60312.880000000005</v>
      </c>
      <c r="L18" s="878">
        <f>IF(ISNUMBER(VLOOKUP($J18,'[1]D2.)BillingDeterminants(TOD)'!$A$5:$K$171,5,0)),VLOOKUP($J18,'[1]D2.)BillingDeterminants(TOD)'!$A$5:$K$171,5,0),0)</f>
        <v>134829.04</v>
      </c>
      <c r="M18" s="206">
        <f t="shared" ref="M18:M27" si="1">K7+K18</f>
        <v>60312.880000000005</v>
      </c>
      <c r="N18" s="206">
        <f t="shared" si="0"/>
        <v>134829.04</v>
      </c>
    </row>
    <row r="19" spans="1:14" x14ac:dyDescent="0.35">
      <c r="A19" s="3" t="s">
        <v>941</v>
      </c>
      <c r="E19" s="571">
        <f>'9A.)HL_RedesignRateSummary'!D127</f>
        <v>4.5999999999999996</v>
      </c>
      <c r="F19" s="233"/>
      <c r="G19" s="875">
        <f>K131</f>
        <v>4.5999999999999996</v>
      </c>
      <c r="H19" s="233"/>
      <c r="I19" s="190" t="s">
        <v>197</v>
      </c>
      <c r="J19" s="3" t="str">
        <f>CONCATENATE($A$2,"(RA)kW pd 2 LT")</f>
        <v>SC5(RA)kW pd 2 LT</v>
      </c>
      <c r="K19" s="878">
        <f>IF(ISNUMBER(VLOOKUP($J19,'[1]D2.)BillingDeterminants(TOD)'!$A$5:$K$171,4,0)),VLOOKUP($J19,'[1]D2.)BillingDeterminants(TOD)'!$A$5:$K$171,4,0),0)</f>
        <v>9249.6</v>
      </c>
      <c r="L19" s="878">
        <f>IF(ISNUMBER(VLOOKUP($J19,'[1]D2.)BillingDeterminants(TOD)'!$A$5:$K$171,5,0)),VLOOKUP($J19,'[1]D2.)BillingDeterminants(TOD)'!$A$5:$K$171,5,0),0)</f>
        <v>17349.599999999999</v>
      </c>
      <c r="M19" s="206">
        <f t="shared" si="1"/>
        <v>9249.6</v>
      </c>
      <c r="N19" s="206">
        <f t="shared" si="0"/>
        <v>17349.599999999999</v>
      </c>
    </row>
    <row r="20" spans="1:14" x14ac:dyDescent="0.35">
      <c r="A20" s="3" t="s">
        <v>942</v>
      </c>
      <c r="E20" s="571">
        <f>'9A.)HL_RedesignRateSummary'!D128</f>
        <v>9.4599999999999991</v>
      </c>
      <c r="F20" s="233"/>
      <c r="G20" s="875">
        <f>K132</f>
        <v>9.35</v>
      </c>
      <c r="H20" s="233"/>
      <c r="I20" s="190"/>
      <c r="J20" s="3" t="str">
        <f>CONCATENATE($A$2,"(RA)kW pd 2 HT")</f>
        <v>SC5(RA)kW pd 2 HT</v>
      </c>
      <c r="K20" s="878">
        <f>IF(ISNUMBER(VLOOKUP($J20,'[1]D2.)BillingDeterminants(TOD)'!$A$5:$K$171,4,0)),VLOOKUP($J20,'[1]D2.)BillingDeterminants(TOD)'!$A$5:$K$171,4,0),0)</f>
        <v>62098</v>
      </c>
      <c r="L20" s="878">
        <f>IF(ISNUMBER(VLOOKUP($J20,'[1]D2.)BillingDeterminants(TOD)'!$A$5:$K$171,5,0)),VLOOKUP($J20,'[1]D2.)BillingDeterminants(TOD)'!$A$5:$K$171,5,0),0)</f>
        <v>139243.36000000004</v>
      </c>
      <c r="M20" s="206">
        <f t="shared" si="1"/>
        <v>62098</v>
      </c>
      <c r="N20" s="206">
        <f t="shared" si="0"/>
        <v>139243.36000000004</v>
      </c>
    </row>
    <row r="21" spans="1:14" x14ac:dyDescent="0.35">
      <c r="A21" s="3" t="s">
        <v>943</v>
      </c>
      <c r="E21" s="573">
        <f>'9A.)HL_RedesignRateSummary'!D129</f>
        <v>9.0599999999999987</v>
      </c>
      <c r="F21" s="233"/>
      <c r="G21" s="876">
        <f>K133</f>
        <v>9.98</v>
      </c>
      <c r="H21" s="233"/>
      <c r="I21" s="190" t="s">
        <v>198</v>
      </c>
      <c r="J21" s="3" t="str">
        <f>CONCATENATE($A$2,"(RA)kW Secondary")</f>
        <v>SC5(RA)kW Secondary</v>
      </c>
      <c r="K21" s="878">
        <f>IF(ISNUMBER(VLOOKUP($J21,'[1]D2.)BillingDeterminants(TOD)'!$A$5:$K$171,4,0)),VLOOKUP($J21,'[1]D2.)BillingDeterminants(TOD)'!$A$5:$K$171,4,0),0)</f>
        <v>9249.5</v>
      </c>
      <c r="L21" s="878">
        <f>IF(ISNUMBER(VLOOKUP($J21,'[1]D2.)BillingDeterminants(TOD)'!$A$5:$K$171,5,0)),VLOOKUP($J21,'[1]D2.)BillingDeterminants(TOD)'!$A$5:$K$171,5,0),0)</f>
        <v>17349.300000000003</v>
      </c>
      <c r="M21" s="206">
        <f t="shared" si="1"/>
        <v>9249.5</v>
      </c>
      <c r="N21" s="206">
        <f t="shared" si="0"/>
        <v>17349.300000000003</v>
      </c>
    </row>
    <row r="22" spans="1:14" x14ac:dyDescent="0.35">
      <c r="F22" s="1070">
        <f>(F16+F17)/(F16+F17+F18)</f>
        <v>0.67097061442564565</v>
      </c>
      <c r="H22" s="1070">
        <f>(H16+H17)/(H16+H17+H18)</f>
        <v>0.62956705385427669</v>
      </c>
      <c r="J22" s="3" t="str">
        <f>CONCATENATE($A$2,"(RA)kWh LT")</f>
        <v>SC5(RA)kWh LT</v>
      </c>
      <c r="K22" s="878">
        <f>IF(ISNUMBER(VLOOKUP($J22,'[1]D2.)BillingDeterminants(TOD)'!$A$5:$K$171,4,0)),VLOOKUP($J22,'[1]D2.)BillingDeterminants(TOD)'!$A$5:$K$171,4,0),0)</f>
        <v>5768000</v>
      </c>
      <c r="L22" s="878">
        <f>IF(ISNUMBER(VLOOKUP($J22,'[1]D2.)BillingDeterminants(TOD)'!$A$5:$K$171,5,0)),VLOOKUP($J22,'[1]D2.)BillingDeterminants(TOD)'!$A$5:$K$171,5,0),0)</f>
        <v>10680000</v>
      </c>
      <c r="M22" s="206">
        <f t="shared" si="1"/>
        <v>5768000</v>
      </c>
      <c r="N22" s="206">
        <f t="shared" si="0"/>
        <v>10680000</v>
      </c>
    </row>
    <row r="23" spans="1:14" x14ac:dyDescent="0.35">
      <c r="A23" s="17" t="s">
        <v>139</v>
      </c>
      <c r="C23" s="17"/>
      <c r="E23" s="689">
        <f>HLOOKUP($E$3,'[1]A1.)RatesInput'!$D$63:$J$83,'[1]A1.)RatesInput'!$A$80,0)</f>
        <v>1.01108</v>
      </c>
      <c r="J23" s="3" t="str">
        <f>CONCATENATE($A$2,"(RA)kWh HT")</f>
        <v>SC5(RA)kWh HT</v>
      </c>
      <c r="K23" s="878">
        <f>IF(ISNUMBER(VLOOKUP($J23,'[1]D2.)BillingDeterminants(TOD)'!$A$5:$K$171,4,0)),VLOOKUP($J23,'[1]D2.)BillingDeterminants(TOD)'!$A$5:$K$171,4,0),0)</f>
        <v>30259600</v>
      </c>
      <c r="L23" s="878">
        <f>IF(ISNUMBER(VLOOKUP($J23,'[1]D2.)BillingDeterminants(TOD)'!$A$5:$K$171,5,0)),VLOOKUP($J23,'[1]D2.)BillingDeterminants(TOD)'!$A$5:$K$171,5,0),0)</f>
        <v>62404400</v>
      </c>
      <c r="M23" s="206">
        <f t="shared" si="1"/>
        <v>30259600</v>
      </c>
      <c r="N23" s="206">
        <f t="shared" si="0"/>
        <v>62404400</v>
      </c>
    </row>
    <row r="24" spans="1:14" x14ac:dyDescent="0.35">
      <c r="A24" s="17" t="s">
        <v>137</v>
      </c>
      <c r="C24" s="17"/>
      <c r="E24" s="689">
        <f>HLOOKUP($E$3,'[1]A1.)RatesInput'!$D$63:$J$83,'[1]A1.)RatesInput'!$A$81,0)</f>
        <v>1.0119199999999999</v>
      </c>
      <c r="J24" s="3" t="str">
        <f>CONCATENATE($A$2,"(RA)kWh OnPk LT")</f>
        <v>SC5(RA)kWh OnPk LT</v>
      </c>
      <c r="K24" s="878">
        <f>IF(ISNUMBER(VLOOKUP($J24,'[1]D2.)BillingDeterminants(TOD)'!$A$5:$K$171,4,0)),VLOOKUP($J24,'[1]D2.)BillingDeterminants(TOD)'!$A$5:$K$171,4,0),0)</f>
        <v>2537291</v>
      </c>
      <c r="L24" s="878">
        <f>IF(ISNUMBER(VLOOKUP($J24,'[1]D2.)BillingDeterminants(TOD)'!$A$5:$K$171,5,0)),VLOOKUP($J24,'[1]D2.)BillingDeterminants(TOD)'!$A$5:$K$171,5,0),0)</f>
        <v>4683918</v>
      </c>
      <c r="M24" s="206">
        <f t="shared" si="1"/>
        <v>2537291</v>
      </c>
      <c r="N24" s="206">
        <f t="shared" si="0"/>
        <v>4683918</v>
      </c>
    </row>
    <row r="25" spans="1:14" x14ac:dyDescent="0.35">
      <c r="A25" s="17" t="s">
        <v>136</v>
      </c>
      <c r="C25" s="17"/>
      <c r="E25" s="689">
        <f>HLOOKUP($E$3,'[1]A1.)RatesInput'!$D$63:$J$83,'[1]A1.)RatesInput'!$A$82,0)</f>
        <v>1.01067</v>
      </c>
      <c r="J25" s="3" t="str">
        <f>CONCATENATE($A$2,"(RA)kWh OnPk HT")</f>
        <v>SC5(RA)kWh OnPk HT</v>
      </c>
      <c r="K25" s="878">
        <f>IF(ISNUMBER(VLOOKUP($J25,'[1]D2.)BillingDeterminants(TOD)'!$A$5:$K$171,4,0)),VLOOKUP($J25,'[1]D2.)BillingDeterminants(TOD)'!$A$5:$K$171,4,0),0)</f>
        <v>13044883</v>
      </c>
      <c r="L25" s="878">
        <f>IF(ISNUMBER(VLOOKUP($J25,'[1]D2.)BillingDeterminants(TOD)'!$A$5:$K$171,5,0)),VLOOKUP($J25,'[1]D2.)BillingDeterminants(TOD)'!$A$5:$K$171,5,0),0)</f>
        <v>28324937</v>
      </c>
      <c r="M25" s="206">
        <f t="shared" si="1"/>
        <v>13044883</v>
      </c>
      <c r="N25" s="206">
        <f t="shared" si="0"/>
        <v>28324937</v>
      </c>
    </row>
    <row r="26" spans="1:14" x14ac:dyDescent="0.35">
      <c r="J26" s="3" t="str">
        <f>CONCATENATE($A$2,"(RA)kWh OffPk LT")</f>
        <v>SC5(RA)kWh OffPk LT</v>
      </c>
      <c r="K26" s="878">
        <f>IF(ISNUMBER(VLOOKUP($J26,'[1]D2.)BillingDeterminants(TOD)'!$A$5:$K$171,4,0)),VLOOKUP($J26,'[1]D2.)BillingDeterminants(TOD)'!$A$5:$K$171,4,0),0)</f>
        <v>3230709</v>
      </c>
      <c r="L26" s="878">
        <f>IF(ISNUMBER(VLOOKUP($J26,'[1]D2.)BillingDeterminants(TOD)'!$A$5:$K$171,5,0)),VLOOKUP($J26,'[1]D2.)BillingDeterminants(TOD)'!$A$5:$K$171,5,0),0)</f>
        <v>5996082</v>
      </c>
      <c r="M26" s="206">
        <f t="shared" si="1"/>
        <v>3230709</v>
      </c>
      <c r="N26" s="206">
        <f t="shared" si="0"/>
        <v>5996082</v>
      </c>
    </row>
    <row r="27" spans="1:14" x14ac:dyDescent="0.35">
      <c r="A27" s="3" t="s">
        <v>200</v>
      </c>
      <c r="E27" s="245">
        <f>'[2]4D-2.)HY_TODLRatePxOut(SC5)'!$W$22+'[2]4D-2.)HY_TODLRatePxOut(SC5)'!$W$42</f>
        <v>2387362</v>
      </c>
      <c r="F27" s="581"/>
      <c r="J27" s="3" t="str">
        <f>CONCATENATE($A$2,"(RA)kWh OffPk HT")</f>
        <v>SC5(RA)kWh OffPk HT</v>
      </c>
      <c r="K27" s="879">
        <f>IF(ISNUMBER(VLOOKUP($J27,'[1]D2.)BillingDeterminants(TOD)'!$A$5:$K$171,4,0)),VLOOKUP($J27,'[1]D2.)BillingDeterminants(TOD)'!$A$5:$K$171,4,0),0)</f>
        <v>17214717</v>
      </c>
      <c r="L27" s="879">
        <f>IF(ISNUMBER(VLOOKUP($J27,'[1]D2.)BillingDeterminants(TOD)'!$A$5:$K$171,5,0)),VLOOKUP($J27,'[1]D2.)BillingDeterminants(TOD)'!$A$5:$K$171,5,0),0)</f>
        <v>34079463</v>
      </c>
      <c r="M27" s="207">
        <f t="shared" si="1"/>
        <v>17214717</v>
      </c>
      <c r="N27" s="207">
        <f t="shared" si="0"/>
        <v>34079463</v>
      </c>
    </row>
    <row r="28" spans="1:14" x14ac:dyDescent="0.35">
      <c r="A28" s="3" t="s">
        <v>201</v>
      </c>
      <c r="E28" s="245">
        <f>'[2]4D-2.)HY_TODLRatePxOut(SC5)'!$W$21+'[2]4D-2.)HY_TODLRatePxOut(SC5)'!$W$41</f>
        <v>133419</v>
      </c>
      <c r="F28" s="581"/>
      <c r="K28" s="218"/>
      <c r="L28" s="218"/>
    </row>
    <row r="29" spans="1:14" x14ac:dyDescent="0.35">
      <c r="A29" s="3" t="s">
        <v>247</v>
      </c>
      <c r="E29" s="245">
        <f>'[2]4D-2.)HY_TODLRatePxOut(SC5)'!$Y$44</f>
        <v>2414182</v>
      </c>
      <c r="K29" s="218"/>
      <c r="L29" s="218"/>
    </row>
    <row r="30" spans="1:14" x14ac:dyDescent="0.35">
      <c r="K30" s="218"/>
      <c r="L30" s="218"/>
    </row>
    <row r="31" spans="1:14" x14ac:dyDescent="0.35">
      <c r="K31" s="218"/>
      <c r="L31" s="218"/>
    </row>
    <row r="32" spans="1:14" s="88" customFormat="1" x14ac:dyDescent="0.35"/>
    <row r="33" spans="1:16" x14ac:dyDescent="0.35">
      <c r="A33" s="70" t="s">
        <v>2292</v>
      </c>
      <c r="I33" s="100" t="s">
        <v>296</v>
      </c>
      <c r="J33" s="808">
        <f>'9A.)HL_RedesignRateSummary'!$F$4</f>
        <v>2019</v>
      </c>
    </row>
    <row r="34" spans="1:16" x14ac:dyDescent="0.35">
      <c r="A34" s="197" t="str">
        <f>$A$2</f>
        <v>SC5</v>
      </c>
      <c r="I34" s="100" t="s">
        <v>297</v>
      </c>
      <c r="J34" s="808">
        <f>'9A.)HL_RedesignRateSummary'!$F$5</f>
        <v>2017</v>
      </c>
    </row>
    <row r="35" spans="1:16" ht="15" thickBot="1" x14ac:dyDescent="0.4">
      <c r="A35" s="197" t="str">
        <f>$A$3</f>
        <v>Rate II</v>
      </c>
      <c r="B35" s="198"/>
      <c r="I35" s="100" t="s">
        <v>2150</v>
      </c>
      <c r="J35" s="808">
        <f>'9A.)HL_RedesignRateSummary'!$F$3</f>
        <v>2020</v>
      </c>
      <c r="K35" s="3" t="str">
        <f>'9A.)HL_RedesignRateSummary'!$G$3</f>
        <v>RY1</v>
      </c>
    </row>
    <row r="36" spans="1:16" ht="15.5" thickTop="1" thickBot="1" x14ac:dyDescent="0.4">
      <c r="A36" s="199">
        <f>$E$3</f>
        <v>2017</v>
      </c>
      <c r="B36" s="1316" t="s">
        <v>168</v>
      </c>
      <c r="C36" s="1317"/>
      <c r="D36" s="1317"/>
      <c r="E36" s="1317"/>
      <c r="F36" s="1317"/>
      <c r="G36" s="1318"/>
      <c r="I36" s="1316" t="s">
        <v>169</v>
      </c>
      <c r="J36" s="1317"/>
      <c r="K36" s="1317"/>
      <c r="L36" s="1318"/>
    </row>
    <row r="37" spans="1:16" ht="15" thickTop="1" x14ac:dyDescent="0.35">
      <c r="B37" s="1340" t="s">
        <v>171</v>
      </c>
      <c r="C37" s="1340"/>
      <c r="E37" s="30" t="s">
        <v>173</v>
      </c>
      <c r="F37" s="219"/>
      <c r="G37" s="30" t="s">
        <v>174</v>
      </c>
      <c r="I37" s="1340" t="s">
        <v>176</v>
      </c>
      <c r="J37" s="1340"/>
      <c r="K37" s="30" t="s">
        <v>173</v>
      </c>
      <c r="L37" s="30" t="s">
        <v>174</v>
      </c>
      <c r="M37" s="30" t="s">
        <v>1</v>
      </c>
    </row>
    <row r="38" spans="1:16" x14ac:dyDescent="0.35">
      <c r="B38" s="118" t="s">
        <v>8</v>
      </c>
      <c r="C38" s="118" t="s">
        <v>9</v>
      </c>
      <c r="E38" s="30" t="s">
        <v>172</v>
      </c>
      <c r="F38" s="219"/>
      <c r="G38" s="30" t="s">
        <v>175</v>
      </c>
      <c r="I38" s="118" t="s">
        <v>8</v>
      </c>
      <c r="J38" s="118" t="s">
        <v>9</v>
      </c>
      <c r="K38" s="30" t="s">
        <v>172</v>
      </c>
      <c r="L38" s="30" t="s">
        <v>175</v>
      </c>
    </row>
    <row r="39" spans="1:16" x14ac:dyDescent="0.35">
      <c r="B39" s="200" t="s">
        <v>79</v>
      </c>
      <c r="C39" s="200" t="s">
        <v>78</v>
      </c>
      <c r="E39" s="200" t="s">
        <v>181</v>
      </c>
      <c r="F39" s="234"/>
      <c r="G39" s="200" t="s">
        <v>180</v>
      </c>
      <c r="I39" s="200" t="s">
        <v>177</v>
      </c>
      <c r="J39" s="200" t="s">
        <v>178</v>
      </c>
      <c r="K39" s="200" t="s">
        <v>179</v>
      </c>
      <c r="L39" s="200" t="s">
        <v>182</v>
      </c>
      <c r="M39" s="200" t="s">
        <v>183</v>
      </c>
    </row>
    <row r="40" spans="1:16" x14ac:dyDescent="0.35">
      <c r="A40" s="3" t="str">
        <f>CONCATENATE($A$2," TOD")</f>
        <v>SC5 TOD</v>
      </c>
      <c r="B40" s="27">
        <f>E9</f>
        <v>13.83</v>
      </c>
      <c r="C40" s="27">
        <f>E7</f>
        <v>22.76</v>
      </c>
      <c r="E40" s="35">
        <f>C40-B40</f>
        <v>8.9300000000000015</v>
      </c>
      <c r="F40" s="228"/>
      <c r="G40" s="871">
        <f>B40/C40</f>
        <v>0.6076449912126537</v>
      </c>
      <c r="H40" s="2"/>
      <c r="I40" s="27">
        <f>E13</f>
        <v>10.050000000000001</v>
      </c>
      <c r="J40" s="27">
        <f>E11</f>
        <v>14.97</v>
      </c>
      <c r="K40" s="228">
        <f>J40-I40</f>
        <v>4.92</v>
      </c>
      <c r="L40" s="871">
        <f>ROUND(I40/J40,2)</f>
        <v>0.67</v>
      </c>
      <c r="M40" s="201">
        <f>L40-G40</f>
        <v>6.2355008787346344E-2</v>
      </c>
    </row>
    <row r="42" spans="1:16" x14ac:dyDescent="0.35">
      <c r="A42" s="199"/>
    </row>
    <row r="43" spans="1:16" x14ac:dyDescent="0.35">
      <c r="A43" s="70" t="s">
        <v>184</v>
      </c>
      <c r="H43" s="33" t="s">
        <v>520</v>
      </c>
      <c r="I43" s="40">
        <f>'9C.)HL_RedgnRate_SC5_I'!$K$46</f>
        <v>3</v>
      </c>
      <c r="J43" s="136" t="s">
        <v>165</v>
      </c>
      <c r="P43" s="284"/>
    </row>
    <row r="44" spans="1:16" ht="15" thickBot="1" x14ac:dyDescent="0.4">
      <c r="G44" s="30"/>
      <c r="H44" s="33" t="s">
        <v>294</v>
      </c>
      <c r="I44" s="40">
        <f>'9C.)HL_RedgnRate_SC5_I'!$K$47</f>
        <v>3</v>
      </c>
      <c r="J44" s="136" t="s">
        <v>166</v>
      </c>
      <c r="P44" s="284"/>
    </row>
    <row r="45" spans="1:16" ht="15" thickTop="1" x14ac:dyDescent="0.35">
      <c r="C45" s="1327" t="s">
        <v>293</v>
      </c>
      <c r="E45" s="568" t="s">
        <v>293</v>
      </c>
      <c r="G45" s="1327" t="s">
        <v>168</v>
      </c>
      <c r="I45" s="568" t="s">
        <v>190</v>
      </c>
    </row>
    <row r="46" spans="1:16" s="30" customFormat="1" ht="15" thickBot="1" x14ac:dyDescent="0.4">
      <c r="C46" s="1328"/>
      <c r="E46" s="569" t="s">
        <v>187</v>
      </c>
      <c r="F46" s="219"/>
      <c r="G46" s="1328"/>
      <c r="I46" s="569" t="s">
        <v>191</v>
      </c>
    </row>
    <row r="47" spans="1:16" s="30" customFormat="1" ht="15" thickTop="1" x14ac:dyDescent="0.35">
      <c r="B47" s="30" t="s">
        <v>25</v>
      </c>
      <c r="C47" s="30" t="s">
        <v>185</v>
      </c>
      <c r="E47" s="30" t="s">
        <v>186</v>
      </c>
      <c r="F47" s="219"/>
      <c r="G47" s="30" t="s">
        <v>189</v>
      </c>
      <c r="I47" s="199" t="s">
        <v>295</v>
      </c>
    </row>
    <row r="48" spans="1:16" s="30" customFormat="1" x14ac:dyDescent="0.35">
      <c r="E48" s="30" t="s">
        <v>188</v>
      </c>
      <c r="F48" s="219"/>
    </row>
    <row r="49" spans="1:13" s="30" customFormat="1" ht="15" thickBot="1" x14ac:dyDescent="0.4">
      <c r="C49" s="200" t="s">
        <v>1583</v>
      </c>
      <c r="E49" s="200" t="s">
        <v>1778</v>
      </c>
      <c r="F49" s="234"/>
      <c r="G49" s="200" t="s">
        <v>1173</v>
      </c>
      <c r="I49" s="200" t="s">
        <v>2106</v>
      </c>
      <c r="L49" s="216" t="s">
        <v>214</v>
      </c>
    </row>
    <row r="50" spans="1:13" x14ac:dyDescent="0.35">
      <c r="K50" s="3" t="s">
        <v>193</v>
      </c>
      <c r="L50" s="214">
        <f>1-L51</f>
        <v>0.39</v>
      </c>
      <c r="M50" s="136" t="s">
        <v>2105</v>
      </c>
    </row>
    <row r="51" spans="1:13" ht="15" thickBot="1" x14ac:dyDescent="0.4">
      <c r="A51" s="3" t="str">
        <f>CONCATENATE($A$2," TOD")</f>
        <v>SC5 TOD</v>
      </c>
      <c r="C51" s="203">
        <f>L40</f>
        <v>0.67</v>
      </c>
      <c r="E51" s="35">
        <f>K40</f>
        <v>4.92</v>
      </c>
      <c r="F51" s="228"/>
      <c r="G51" s="203">
        <f>G40</f>
        <v>0.6076449912126537</v>
      </c>
      <c r="I51" s="688">
        <f>ROUND(C51-ROUND((C51-G51)*(I43/I44),4),2)</f>
        <v>0.61</v>
      </c>
      <c r="K51" s="3" t="s">
        <v>194</v>
      </c>
      <c r="L51" s="215">
        <f>I51</f>
        <v>0.61</v>
      </c>
      <c r="M51" s="136" t="s">
        <v>1111</v>
      </c>
    </row>
    <row r="52" spans="1:13" x14ac:dyDescent="0.35">
      <c r="I52" s="204"/>
    </row>
    <row r="54" spans="1:13" x14ac:dyDescent="0.35">
      <c r="A54" s="70" t="s">
        <v>192</v>
      </c>
    </row>
    <row r="55" spans="1:13" x14ac:dyDescent="0.35">
      <c r="A55" s="190" t="s">
        <v>210</v>
      </c>
    </row>
    <row r="56" spans="1:13" x14ac:dyDescent="0.35">
      <c r="A56" s="190"/>
    </row>
    <row r="57" spans="1:13" x14ac:dyDescent="0.35">
      <c r="A57" s="334" t="s">
        <v>1549</v>
      </c>
    </row>
    <row r="58" spans="1:13" ht="15" thickBot="1" x14ac:dyDescent="0.4">
      <c r="G58" s="30" t="s">
        <v>207</v>
      </c>
    </row>
    <row r="59" spans="1:13" ht="15.5" thickTop="1" thickBot="1" x14ac:dyDescent="0.4">
      <c r="B59" s="1307" t="s">
        <v>203</v>
      </c>
      <c r="C59" s="1309"/>
      <c r="E59" s="30" t="s">
        <v>206</v>
      </c>
      <c r="F59" s="219"/>
      <c r="G59" s="30" t="s">
        <v>208</v>
      </c>
    </row>
    <row r="60" spans="1:13" ht="15" thickTop="1" x14ac:dyDescent="0.35">
      <c r="B60" s="30" t="s">
        <v>42</v>
      </c>
      <c r="C60" s="30" t="s">
        <v>40</v>
      </c>
      <c r="E60" s="30" t="s">
        <v>187</v>
      </c>
      <c r="F60" s="219"/>
      <c r="G60" s="30" t="s">
        <v>209</v>
      </c>
    </row>
    <row r="61" spans="1:13" x14ac:dyDescent="0.35">
      <c r="A61" s="3" t="s">
        <v>196</v>
      </c>
      <c r="B61" s="27">
        <f>$E$19</f>
        <v>4.5999999999999996</v>
      </c>
      <c r="C61" s="27">
        <f>$E$16</f>
        <v>0</v>
      </c>
      <c r="D61" s="136" t="s">
        <v>165</v>
      </c>
      <c r="G61" s="208">
        <f>ROUND(B61*4/12,2)</f>
        <v>1.53</v>
      </c>
      <c r="H61" s="136" t="s">
        <v>2112</v>
      </c>
    </row>
    <row r="62" spans="1:13" ht="15" thickBot="1" x14ac:dyDescent="0.4">
      <c r="A62" s="3" t="s">
        <v>197</v>
      </c>
      <c r="B62" s="27">
        <f>$E$20</f>
        <v>9.4599999999999991</v>
      </c>
      <c r="C62" s="27">
        <f>$E$17</f>
        <v>8.0399999999999991</v>
      </c>
      <c r="D62" s="136" t="s">
        <v>2107</v>
      </c>
      <c r="E62" s="27">
        <f>ROUND(B62-C62,2)</f>
        <v>1.42</v>
      </c>
      <c r="F62" s="136" t="s">
        <v>2110</v>
      </c>
      <c r="G62" s="208">
        <f>ROUND((B62*4+C62*8)/12,2)</f>
        <v>8.51</v>
      </c>
      <c r="H62" s="136" t="s">
        <v>2113</v>
      </c>
      <c r="J62" s="216" t="s">
        <v>203</v>
      </c>
    </row>
    <row r="63" spans="1:13" x14ac:dyDescent="0.35">
      <c r="A63" s="3" t="s">
        <v>198</v>
      </c>
      <c r="B63" s="209">
        <f>$E$21</f>
        <v>9.0599999999999987</v>
      </c>
      <c r="C63" s="209">
        <f>$E$18</f>
        <v>2.8599999999999994</v>
      </c>
      <c r="D63" s="136" t="s">
        <v>2108</v>
      </c>
      <c r="E63" s="27">
        <f>ROUND(B63-C63,2)</f>
        <v>6.2</v>
      </c>
      <c r="F63" s="136" t="s">
        <v>2111</v>
      </c>
      <c r="G63" s="210">
        <f>ROUND((B63*4+C63*8)/12,2)</f>
        <v>4.93</v>
      </c>
      <c r="H63" s="136" t="s">
        <v>2114</v>
      </c>
      <c r="I63" s="33" t="s">
        <v>211</v>
      </c>
      <c r="J63" s="885">
        <f>ROUND(G63/G64,4)</f>
        <v>0.32929999999999998</v>
      </c>
      <c r="K63" s="136" t="s">
        <v>2117</v>
      </c>
    </row>
    <row r="64" spans="1:13" ht="15" thickBot="1" x14ac:dyDescent="0.4">
      <c r="A64" s="3" t="s">
        <v>205</v>
      </c>
      <c r="B64" s="27">
        <f>SUM(B61:B63)</f>
        <v>23.119999999999997</v>
      </c>
      <c r="C64" s="27">
        <f>SUM(C61:C63)</f>
        <v>10.899999999999999</v>
      </c>
      <c r="D64" s="136" t="s">
        <v>2109</v>
      </c>
      <c r="G64" s="27">
        <f>SUM(G61:G63)</f>
        <v>14.969999999999999</v>
      </c>
      <c r="H64" s="136" t="s">
        <v>2115</v>
      </c>
      <c r="I64" s="33" t="s">
        <v>212</v>
      </c>
      <c r="J64" s="213">
        <f>1-J63</f>
        <v>0.67070000000000007</v>
      </c>
      <c r="K64" s="136" t="s">
        <v>2118</v>
      </c>
    </row>
    <row r="65" spans="1:8" x14ac:dyDescent="0.35">
      <c r="H65" s="200"/>
    </row>
    <row r="68" spans="1:8" x14ac:dyDescent="0.35">
      <c r="A68" s="3" t="s">
        <v>200</v>
      </c>
      <c r="G68" s="245">
        <f>E27</f>
        <v>2387362</v>
      </c>
      <c r="H68" s="136" t="s">
        <v>109</v>
      </c>
    </row>
    <row r="69" spans="1:8" ht="15" thickBot="1" x14ac:dyDescent="0.4">
      <c r="A69" s="3" t="s">
        <v>201</v>
      </c>
      <c r="G69" s="245">
        <f>E28</f>
        <v>133419</v>
      </c>
      <c r="H69" s="136" t="s">
        <v>108</v>
      </c>
    </row>
    <row r="70" spans="1:8" ht="15.5" thickTop="1" thickBot="1" x14ac:dyDescent="0.4">
      <c r="A70" s="3" t="s">
        <v>199</v>
      </c>
      <c r="G70" s="591">
        <f>G69/J63*L50</f>
        <v>158012.17734588523</v>
      </c>
      <c r="H70" s="136" t="s">
        <v>2116</v>
      </c>
    </row>
    <row r="71" spans="1:8" ht="15" thickTop="1" x14ac:dyDescent="0.35"/>
    <row r="73" spans="1:8" x14ac:dyDescent="0.35">
      <c r="A73" s="2"/>
      <c r="B73" s="219" t="s">
        <v>42</v>
      </c>
      <c r="C73" s="219" t="s">
        <v>40</v>
      </c>
      <c r="D73" s="2"/>
      <c r="E73" s="2"/>
      <c r="G73" s="2"/>
    </row>
    <row r="74" spans="1:8" x14ac:dyDescent="0.35">
      <c r="A74" s="2" t="s">
        <v>196</v>
      </c>
      <c r="B74" s="72">
        <f>$M$17+$M$18</f>
        <v>69562.48000000001</v>
      </c>
      <c r="C74" s="582">
        <f>$N$17+$N$18</f>
        <v>152178.64000000001</v>
      </c>
      <c r="D74" s="581"/>
      <c r="E74" s="2"/>
      <c r="G74" s="2"/>
    </row>
    <row r="75" spans="1:8" x14ac:dyDescent="0.35">
      <c r="A75" s="2" t="s">
        <v>197</v>
      </c>
      <c r="B75" s="72">
        <f>$M$19+$M$20</f>
        <v>71347.600000000006</v>
      </c>
      <c r="C75" s="72">
        <f>$N$19+$N$20</f>
        <v>156592.96000000005</v>
      </c>
      <c r="D75" s="581"/>
      <c r="E75" s="2"/>
      <c r="G75" s="2"/>
    </row>
    <row r="76" spans="1:8" x14ac:dyDescent="0.35">
      <c r="A76" s="2" t="s">
        <v>198</v>
      </c>
      <c r="B76" s="72">
        <f>$M$21</f>
        <v>9249.5</v>
      </c>
      <c r="C76" s="72">
        <f>$N$21</f>
        <v>17349.300000000003</v>
      </c>
      <c r="D76" s="2"/>
      <c r="E76" s="2"/>
      <c r="G76" s="2"/>
    </row>
    <row r="77" spans="1:8" x14ac:dyDescent="0.35">
      <c r="A77" s="2"/>
      <c r="B77" s="2"/>
      <c r="C77" s="2"/>
      <c r="D77" s="2"/>
      <c r="E77" s="2"/>
      <c r="G77" s="2"/>
    </row>
    <row r="78" spans="1:8" x14ac:dyDescent="0.35">
      <c r="A78" s="334" t="s">
        <v>1546</v>
      </c>
      <c r="B78" s="2"/>
      <c r="C78" s="2"/>
      <c r="D78" s="2"/>
      <c r="E78" s="2"/>
      <c r="G78" s="227">
        <f>E63</f>
        <v>6.2</v>
      </c>
      <c r="H78" s="136" t="s">
        <v>1556</v>
      </c>
    </row>
    <row r="79" spans="1:8" x14ac:dyDescent="0.35">
      <c r="B79" s="2"/>
      <c r="C79" s="2"/>
      <c r="D79" s="2"/>
      <c r="E79" s="2"/>
      <c r="G79" s="2"/>
      <c r="H79" s="2"/>
    </row>
    <row r="80" spans="1:8" x14ac:dyDescent="0.35">
      <c r="B80" s="2"/>
      <c r="C80" s="219" t="s">
        <v>25</v>
      </c>
      <c r="D80" s="219"/>
      <c r="E80" s="219"/>
      <c r="F80" s="219"/>
      <c r="G80" s="2"/>
      <c r="H80" s="2"/>
    </row>
    <row r="81" spans="1:8" x14ac:dyDescent="0.35">
      <c r="B81" s="222" t="s">
        <v>215</v>
      </c>
      <c r="C81" s="224">
        <f>B76</f>
        <v>9249.5</v>
      </c>
      <c r="D81" s="2" t="s">
        <v>217</v>
      </c>
      <c r="E81" s="228">
        <f>G78</f>
        <v>6.2</v>
      </c>
      <c r="F81" s="228"/>
      <c r="G81" s="2"/>
      <c r="H81" s="136" t="s">
        <v>2119</v>
      </c>
    </row>
    <row r="82" spans="1:8" x14ac:dyDescent="0.35">
      <c r="B82" s="222" t="s">
        <v>216</v>
      </c>
      <c r="C82" s="225">
        <f>C76</f>
        <v>17349.300000000003</v>
      </c>
      <c r="D82" s="2" t="s">
        <v>32</v>
      </c>
      <c r="E82" s="2"/>
      <c r="G82" s="2"/>
      <c r="H82" s="136" t="s">
        <v>2120</v>
      </c>
    </row>
    <row r="83" spans="1:8" x14ac:dyDescent="0.35">
      <c r="C83" s="28">
        <f>C81+C82</f>
        <v>26598.800000000003</v>
      </c>
      <c r="D83" s="136" t="s">
        <v>1638</v>
      </c>
    </row>
    <row r="85" spans="1:8" x14ac:dyDescent="0.35">
      <c r="B85" s="222" t="s">
        <v>218</v>
      </c>
      <c r="C85" s="34">
        <f>G70</f>
        <v>158012.17734588523</v>
      </c>
      <c r="D85" s="226" t="s">
        <v>31</v>
      </c>
      <c r="E85" s="28">
        <f>C83</f>
        <v>26598.800000000003</v>
      </c>
      <c r="F85" s="2" t="s">
        <v>217</v>
      </c>
      <c r="G85" s="34">
        <f>ROUND(C81*E81,0)</f>
        <v>57347</v>
      </c>
      <c r="H85" s="136" t="s">
        <v>2121</v>
      </c>
    </row>
    <row r="86" spans="1:8" x14ac:dyDescent="0.35">
      <c r="C86" s="34">
        <f>C85-G85</f>
        <v>100665.17734588523</v>
      </c>
      <c r="D86" s="226" t="s">
        <v>31</v>
      </c>
      <c r="E86" s="28">
        <f>E85</f>
        <v>26598.800000000003</v>
      </c>
      <c r="F86" s="2" t="s">
        <v>32</v>
      </c>
      <c r="H86" s="136" t="s">
        <v>2122</v>
      </c>
    </row>
    <row r="87" spans="1:8" x14ac:dyDescent="0.35">
      <c r="B87" s="222" t="s">
        <v>219</v>
      </c>
      <c r="C87" s="222" t="s">
        <v>32</v>
      </c>
      <c r="D87" s="226" t="s">
        <v>31</v>
      </c>
      <c r="E87" s="229">
        <f>ROUND(C86/E86,2)</f>
        <v>3.78</v>
      </c>
      <c r="F87" s="228"/>
      <c r="H87" s="136" t="s">
        <v>2123</v>
      </c>
    </row>
    <row r="88" spans="1:8" x14ac:dyDescent="0.35">
      <c r="B88" s="222" t="s">
        <v>220</v>
      </c>
      <c r="D88" s="226" t="s">
        <v>31</v>
      </c>
      <c r="E88" s="229">
        <f>E87+E81</f>
        <v>9.98</v>
      </c>
      <c r="F88" s="228"/>
      <c r="H88" s="136" t="s">
        <v>2124</v>
      </c>
    </row>
    <row r="91" spans="1:8" x14ac:dyDescent="0.35">
      <c r="A91" s="334" t="s">
        <v>1547</v>
      </c>
      <c r="G91" s="227">
        <f>B61</f>
        <v>4.5999999999999996</v>
      </c>
      <c r="H91" s="136" t="s">
        <v>165</v>
      </c>
    </row>
    <row r="93" spans="1:8" x14ac:dyDescent="0.35">
      <c r="B93" s="222" t="s">
        <v>224</v>
      </c>
      <c r="C93" s="28">
        <f>B74</f>
        <v>69562.48000000001</v>
      </c>
      <c r="D93" s="3" t="s">
        <v>39</v>
      </c>
      <c r="E93" s="27">
        <f>G91</f>
        <v>4.5999999999999996</v>
      </c>
      <c r="F93" s="226" t="s">
        <v>31</v>
      </c>
      <c r="G93" s="34">
        <f>ROUND(C93*E93,0)</f>
        <v>319987</v>
      </c>
      <c r="H93" s="136" t="s">
        <v>2125</v>
      </c>
    </row>
    <row r="96" spans="1:8" x14ac:dyDescent="0.35">
      <c r="A96" s="334" t="s">
        <v>1548</v>
      </c>
      <c r="G96" s="227">
        <f>E62</f>
        <v>1.42</v>
      </c>
      <c r="H96" s="136" t="s">
        <v>1091</v>
      </c>
    </row>
    <row r="98" spans="2:8" x14ac:dyDescent="0.35">
      <c r="B98" s="3" t="s">
        <v>225</v>
      </c>
      <c r="E98" s="26">
        <f>G68</f>
        <v>2387362</v>
      </c>
      <c r="F98" s="136" t="s">
        <v>109</v>
      </c>
    </row>
    <row r="99" spans="2:8" x14ac:dyDescent="0.35">
      <c r="B99" s="3" t="s">
        <v>226</v>
      </c>
      <c r="E99" s="278">
        <f>G70</f>
        <v>158012.17734588523</v>
      </c>
      <c r="F99" s="136" t="s">
        <v>1574</v>
      </c>
    </row>
    <row r="100" spans="2:8" x14ac:dyDescent="0.35">
      <c r="B100" s="3" t="s">
        <v>227</v>
      </c>
      <c r="E100" s="37">
        <f>G93</f>
        <v>319987</v>
      </c>
      <c r="F100" s="136" t="s">
        <v>229</v>
      </c>
    </row>
    <row r="101" spans="2:8" x14ac:dyDescent="0.35">
      <c r="B101" s="3" t="s">
        <v>228</v>
      </c>
      <c r="E101" s="34">
        <f>E98-E99-E100</f>
        <v>1909362.8226541146</v>
      </c>
      <c r="F101" s="136" t="s">
        <v>2131</v>
      </c>
    </row>
    <row r="104" spans="2:8" x14ac:dyDescent="0.35">
      <c r="B104" s="222" t="s">
        <v>230</v>
      </c>
      <c r="C104" s="224">
        <f>B75</f>
        <v>71347.600000000006</v>
      </c>
      <c r="D104" s="2" t="s">
        <v>217</v>
      </c>
      <c r="E104" s="27">
        <f>G96</f>
        <v>1.42</v>
      </c>
      <c r="H104" s="136" t="s">
        <v>2126</v>
      </c>
    </row>
    <row r="105" spans="2:8" x14ac:dyDescent="0.35">
      <c r="B105" s="222" t="s">
        <v>231</v>
      </c>
      <c r="C105" s="225">
        <f>C75</f>
        <v>156592.96000000005</v>
      </c>
      <c r="D105" s="2" t="s">
        <v>32</v>
      </c>
      <c r="H105" s="136" t="s">
        <v>2120</v>
      </c>
    </row>
    <row r="106" spans="2:8" x14ac:dyDescent="0.35">
      <c r="C106" s="28">
        <f>C104+C105</f>
        <v>227940.56000000006</v>
      </c>
      <c r="D106" s="136" t="s">
        <v>1604</v>
      </c>
    </row>
    <row r="108" spans="2:8" x14ac:dyDescent="0.35">
      <c r="B108" s="222" t="s">
        <v>218</v>
      </c>
      <c r="C108" s="34">
        <f>E101</f>
        <v>1909362.8226541146</v>
      </c>
      <c r="D108" s="226" t="s">
        <v>31</v>
      </c>
      <c r="E108" s="28">
        <f>C106</f>
        <v>227940.56000000006</v>
      </c>
      <c r="F108" s="2" t="s">
        <v>217</v>
      </c>
      <c r="G108" s="34">
        <f>ROUND(C104*E104,0)</f>
        <v>101314</v>
      </c>
      <c r="H108" s="136" t="s">
        <v>2127</v>
      </c>
    </row>
    <row r="109" spans="2:8" x14ac:dyDescent="0.35">
      <c r="C109" s="34">
        <f>C108-G108</f>
        <v>1808048.8226541146</v>
      </c>
      <c r="D109" s="226" t="s">
        <v>31</v>
      </c>
      <c r="E109" s="28">
        <f>E108</f>
        <v>227940.56000000006</v>
      </c>
      <c r="F109" s="2" t="s">
        <v>32</v>
      </c>
      <c r="H109" s="136" t="s">
        <v>2128</v>
      </c>
    </row>
    <row r="110" spans="2:8" x14ac:dyDescent="0.35">
      <c r="B110" s="222" t="s">
        <v>232</v>
      </c>
      <c r="C110" s="222" t="s">
        <v>32</v>
      </c>
      <c r="D110" s="226" t="s">
        <v>31</v>
      </c>
      <c r="E110" s="229">
        <f>ROUND(C109/E109,2)</f>
        <v>7.93</v>
      </c>
      <c r="H110" s="136" t="s">
        <v>2129</v>
      </c>
    </row>
    <row r="111" spans="2:8" x14ac:dyDescent="0.35">
      <c r="B111" s="222" t="s">
        <v>233</v>
      </c>
      <c r="D111" s="226" t="s">
        <v>31</v>
      </c>
      <c r="E111" s="229">
        <f>E110+E104</f>
        <v>9.35</v>
      </c>
      <c r="H111" s="136" t="s">
        <v>2130</v>
      </c>
    </row>
    <row r="113" spans="1:16" ht="15" thickBot="1" x14ac:dyDescent="0.4">
      <c r="F113" s="3"/>
    </row>
    <row r="114" spans="1:16" ht="15" thickBot="1" x14ac:dyDescent="0.4">
      <c r="A114" s="60"/>
      <c r="B114" s="59"/>
      <c r="C114" s="59"/>
      <c r="D114" s="98"/>
      <c r="F114" s="3"/>
    </row>
    <row r="115" spans="1:16" ht="15.5" thickTop="1" thickBot="1" x14ac:dyDescent="0.4">
      <c r="A115" s="235" t="str">
        <f>$A$2</f>
        <v>SC5</v>
      </c>
      <c r="B115" s="1307" t="s">
        <v>235</v>
      </c>
      <c r="C115" s="1309"/>
      <c r="D115" s="94"/>
      <c r="F115" s="3"/>
    </row>
    <row r="116" spans="1:16" ht="15" thickTop="1" x14ac:dyDescent="0.35">
      <c r="A116" s="235" t="str">
        <f>$A$3</f>
        <v>Rate II</v>
      </c>
      <c r="B116" s="236" t="s">
        <v>42</v>
      </c>
      <c r="C116" s="236" t="s">
        <v>40</v>
      </c>
      <c r="D116" s="94"/>
      <c r="F116" s="3"/>
    </row>
    <row r="117" spans="1:16" x14ac:dyDescent="0.35">
      <c r="A117" s="96" t="s">
        <v>196</v>
      </c>
      <c r="B117" s="237">
        <f>B61</f>
        <v>4.5999999999999996</v>
      </c>
      <c r="C117" s="237">
        <f>E72</f>
        <v>0</v>
      </c>
      <c r="D117" s="94"/>
      <c r="E117" s="136" t="s">
        <v>165</v>
      </c>
      <c r="F117" s="3"/>
    </row>
    <row r="118" spans="1:16" x14ac:dyDescent="0.35">
      <c r="A118" s="96" t="s">
        <v>197</v>
      </c>
      <c r="B118" s="237">
        <f>E111</f>
        <v>9.35</v>
      </c>
      <c r="C118" s="237">
        <f>E110</f>
        <v>7.93</v>
      </c>
      <c r="D118" s="94"/>
      <c r="E118" s="136" t="s">
        <v>1734</v>
      </c>
      <c r="F118" s="136" t="s">
        <v>1733</v>
      </c>
    </row>
    <row r="119" spans="1:16" x14ac:dyDescent="0.35">
      <c r="A119" s="96" t="s">
        <v>198</v>
      </c>
      <c r="B119" s="209">
        <f>E88</f>
        <v>9.98</v>
      </c>
      <c r="C119" s="209">
        <f>E87</f>
        <v>3.78</v>
      </c>
      <c r="D119" s="94"/>
      <c r="E119" s="136" t="s">
        <v>1640</v>
      </c>
      <c r="F119" s="136" t="s">
        <v>1639</v>
      </c>
    </row>
    <row r="120" spans="1:16" x14ac:dyDescent="0.35">
      <c r="A120" s="96" t="s">
        <v>205</v>
      </c>
      <c r="B120" s="237">
        <f>SUM(B117:B119)</f>
        <v>23.93</v>
      </c>
      <c r="C120" s="237">
        <f>SUM(C117:C119)</f>
        <v>11.709999999999999</v>
      </c>
      <c r="D120" s="94"/>
      <c r="E120" s="136" t="s">
        <v>2132</v>
      </c>
      <c r="F120" s="136" t="s">
        <v>2133</v>
      </c>
    </row>
    <row r="121" spans="1:16" ht="15" thickBot="1" x14ac:dyDescent="0.4">
      <c r="A121" s="93"/>
      <c r="B121" s="46"/>
      <c r="C121" s="46"/>
      <c r="D121" s="91"/>
      <c r="F121" s="3"/>
    </row>
    <row r="124" spans="1:16" s="88" customFormat="1" x14ac:dyDescent="0.35"/>
    <row r="125" spans="1:16" ht="18.5" x14ac:dyDescent="0.35">
      <c r="A125" s="238" t="s">
        <v>241</v>
      </c>
      <c r="F125" s="3"/>
    </row>
    <row r="126" spans="1:16" x14ac:dyDescent="0.35">
      <c r="F126" s="3"/>
    </row>
    <row r="127" spans="1:16" x14ac:dyDescent="0.35">
      <c r="F127" s="3"/>
    </row>
    <row r="128" spans="1:16" ht="15" thickBot="1" x14ac:dyDescent="0.4">
      <c r="G128" s="30" t="s">
        <v>207</v>
      </c>
      <c r="O128" s="2"/>
      <c r="P128" s="30" t="s">
        <v>207</v>
      </c>
    </row>
    <row r="129" spans="1:17" ht="15.5" thickTop="1" thickBot="1" x14ac:dyDescent="0.4">
      <c r="A129" s="239" t="str">
        <f>$A$2</f>
        <v>SC5</v>
      </c>
      <c r="B129" s="1307" t="s">
        <v>203</v>
      </c>
      <c r="C129" s="1309"/>
      <c r="E129" s="30" t="s">
        <v>206</v>
      </c>
      <c r="F129" s="219"/>
      <c r="G129" s="30" t="s">
        <v>208</v>
      </c>
      <c r="J129" s="239" t="str">
        <f>$A$2</f>
        <v>SC5</v>
      </c>
      <c r="K129" s="1307" t="s">
        <v>235</v>
      </c>
      <c r="L129" s="1309"/>
      <c r="N129" s="30" t="s">
        <v>206</v>
      </c>
      <c r="O129" s="219"/>
      <c r="P129" s="30" t="s">
        <v>208</v>
      </c>
    </row>
    <row r="130" spans="1:17" ht="15" thickTop="1" x14ac:dyDescent="0.35">
      <c r="A130" s="239" t="str">
        <f>$A$3</f>
        <v>Rate II</v>
      </c>
      <c r="B130" s="30" t="s">
        <v>42</v>
      </c>
      <c r="C130" s="30" t="s">
        <v>40</v>
      </c>
      <c r="E130" s="30" t="s">
        <v>187</v>
      </c>
      <c r="F130" s="219"/>
      <c r="G130" s="30" t="s">
        <v>209</v>
      </c>
      <c r="J130" s="239" t="str">
        <f>$A$3</f>
        <v>Rate II</v>
      </c>
      <c r="K130" s="30" t="s">
        <v>42</v>
      </c>
      <c r="L130" s="30" t="s">
        <v>40</v>
      </c>
      <c r="N130" s="30" t="s">
        <v>187</v>
      </c>
      <c r="O130" s="219"/>
      <c r="P130" s="30" t="s">
        <v>209</v>
      </c>
    </row>
    <row r="131" spans="1:17" x14ac:dyDescent="0.35">
      <c r="A131" s="3" t="s">
        <v>196</v>
      </c>
      <c r="B131" s="27">
        <f>B61</f>
        <v>4.5999999999999996</v>
      </c>
      <c r="C131" s="27">
        <f t="shared" ref="C131:C133" si="2">C61</f>
        <v>0</v>
      </c>
      <c r="G131" s="208">
        <f>ROUND(B131*4/12,2)</f>
        <v>1.53</v>
      </c>
      <c r="J131" s="3" t="s">
        <v>196</v>
      </c>
      <c r="K131" s="27">
        <f>B117</f>
        <v>4.5999999999999996</v>
      </c>
      <c r="L131" s="27">
        <f>C117</f>
        <v>0</v>
      </c>
      <c r="O131" s="2"/>
      <c r="P131" s="208">
        <f>ROUND(K131*4/12,2)</f>
        <v>1.53</v>
      </c>
    </row>
    <row r="132" spans="1:17" x14ac:dyDescent="0.35">
      <c r="A132" s="3" t="s">
        <v>197</v>
      </c>
      <c r="B132" s="27">
        <f t="shared" ref="B132:B133" si="3">B62</f>
        <v>9.4599999999999991</v>
      </c>
      <c r="C132" s="27">
        <f t="shared" si="2"/>
        <v>8.0399999999999991</v>
      </c>
      <c r="E132" s="27">
        <f>ROUND(B132-C132,2)</f>
        <v>1.42</v>
      </c>
      <c r="F132" s="223"/>
      <c r="G132" s="208">
        <f>ROUND((B132*4+C132*8)/12,2)</f>
        <v>8.51</v>
      </c>
      <c r="J132" s="3" t="s">
        <v>197</v>
      </c>
      <c r="K132" s="27">
        <f t="shared" ref="K132:L133" si="4">B118</f>
        <v>9.35</v>
      </c>
      <c r="L132" s="27">
        <f t="shared" si="4"/>
        <v>7.93</v>
      </c>
      <c r="N132" s="27">
        <f>ROUND(K132-L132,2)</f>
        <v>1.42</v>
      </c>
      <c r="O132" s="223"/>
      <c r="P132" s="208">
        <f>ROUND((K132*4+L132*8)/12,2)</f>
        <v>8.4</v>
      </c>
    </row>
    <row r="133" spans="1:17" x14ac:dyDescent="0.35">
      <c r="A133" s="3" t="s">
        <v>198</v>
      </c>
      <c r="B133" s="27">
        <f t="shared" si="3"/>
        <v>9.0599999999999987</v>
      </c>
      <c r="C133" s="27">
        <f t="shared" si="2"/>
        <v>2.8599999999999994</v>
      </c>
      <c r="E133" s="27">
        <f>ROUND(B133-C133,2)</f>
        <v>6.2</v>
      </c>
      <c r="F133" s="223"/>
      <c r="G133" s="210">
        <f>ROUND((B133*4+C133*8)/12,2)</f>
        <v>4.93</v>
      </c>
      <c r="J133" s="3" t="s">
        <v>198</v>
      </c>
      <c r="K133" s="27">
        <f t="shared" si="4"/>
        <v>9.98</v>
      </c>
      <c r="L133" s="27">
        <f t="shared" si="4"/>
        <v>3.78</v>
      </c>
      <c r="N133" s="27">
        <f>ROUND(K133-L133,2)</f>
        <v>6.2</v>
      </c>
      <c r="O133" s="223"/>
      <c r="P133" s="210">
        <f>ROUND((K133*4+L133*8)/12,2)</f>
        <v>5.85</v>
      </c>
    </row>
    <row r="134" spans="1:17" x14ac:dyDescent="0.35">
      <c r="A134" s="3" t="s">
        <v>205</v>
      </c>
      <c r="B134" s="27">
        <f>SUM(B131:B133)</f>
        <v>23.119999999999997</v>
      </c>
      <c r="C134" s="27">
        <f>SUM(C131:C133)</f>
        <v>10.899999999999999</v>
      </c>
      <c r="G134" s="27">
        <f>SUM(G131:G133)</f>
        <v>14.969999999999999</v>
      </c>
      <c r="J134" s="3" t="s">
        <v>205</v>
      </c>
      <c r="K134" s="27">
        <f>SUM(K131:K133)</f>
        <v>23.93</v>
      </c>
      <c r="L134" s="27">
        <f>SUM(L131:L133)</f>
        <v>11.709999999999999</v>
      </c>
      <c r="O134" s="2"/>
      <c r="P134" s="27">
        <f>SUM(P131:P133)</f>
        <v>15.78</v>
      </c>
    </row>
    <row r="135" spans="1:17" x14ac:dyDescent="0.35">
      <c r="O135" s="2"/>
    </row>
    <row r="136" spans="1:17" x14ac:dyDescent="0.35">
      <c r="F136" s="33" t="s">
        <v>193</v>
      </c>
      <c r="G136" s="27">
        <f>G133</f>
        <v>4.93</v>
      </c>
      <c r="H136" s="240">
        <f>ROUND(G136/G137,4)</f>
        <v>0.32929999999999998</v>
      </c>
      <c r="O136" s="33" t="s">
        <v>193</v>
      </c>
      <c r="P136" s="27">
        <f>P133</f>
        <v>5.85</v>
      </c>
      <c r="Q136" s="240">
        <f>ROUND(P136/P137,4)</f>
        <v>0.37069999999999997</v>
      </c>
    </row>
    <row r="137" spans="1:17" x14ac:dyDescent="0.35">
      <c r="F137" s="33" t="s">
        <v>194</v>
      </c>
      <c r="G137" s="27">
        <f>G134</f>
        <v>14.969999999999999</v>
      </c>
      <c r="H137" s="241">
        <f>1-H136</f>
        <v>0.67070000000000007</v>
      </c>
      <c r="O137" s="33" t="s">
        <v>194</v>
      </c>
      <c r="P137" s="27">
        <f>P134</f>
        <v>15.78</v>
      </c>
      <c r="Q137" s="241">
        <f>1-Q136</f>
        <v>0.62929999999999997</v>
      </c>
    </row>
    <row r="138" spans="1:17" ht="15" thickBot="1" x14ac:dyDescent="0.4">
      <c r="O138" s="2"/>
    </row>
    <row r="139" spans="1:17" ht="15.5" thickTop="1" thickBot="1" x14ac:dyDescent="0.4">
      <c r="B139" s="1307" t="s">
        <v>236</v>
      </c>
      <c r="C139" s="1309"/>
      <c r="K139" s="1307" t="s">
        <v>236</v>
      </c>
      <c r="L139" s="1309"/>
      <c r="O139" s="2"/>
    </row>
    <row r="140" spans="1:17" ht="15" thickTop="1" x14ac:dyDescent="0.35">
      <c r="A140" s="3" t="s">
        <v>196</v>
      </c>
      <c r="B140" s="35">
        <f>B131-$C$132</f>
        <v>-3.4399999999999995</v>
      </c>
      <c r="J140" s="3" t="s">
        <v>196</v>
      </c>
      <c r="K140" s="35">
        <f>K131-$C$132</f>
        <v>-3.4399999999999995</v>
      </c>
      <c r="O140" s="2"/>
    </row>
    <row r="141" spans="1:17" x14ac:dyDescent="0.35">
      <c r="A141" s="3" t="s">
        <v>197</v>
      </c>
      <c r="B141" s="35">
        <f>B132-$C$132</f>
        <v>1.42</v>
      </c>
      <c r="C141" s="35">
        <f t="shared" ref="C141:C142" si="5">C132-$C$132</f>
        <v>0</v>
      </c>
      <c r="J141" s="3" t="s">
        <v>197</v>
      </c>
      <c r="K141" s="35">
        <f>K132-$C$132</f>
        <v>1.3100000000000005</v>
      </c>
      <c r="L141" s="35">
        <f t="shared" ref="L141:L142" si="6">L132-$C$132</f>
        <v>-0.10999999999999943</v>
      </c>
      <c r="O141" s="2"/>
    </row>
    <row r="142" spans="1:17" x14ac:dyDescent="0.35">
      <c r="A142" s="3" t="s">
        <v>198</v>
      </c>
      <c r="B142" s="35">
        <f>B133-$C$132</f>
        <v>1.0199999999999996</v>
      </c>
      <c r="C142" s="35">
        <f t="shared" si="5"/>
        <v>-5.18</v>
      </c>
      <c r="J142" s="3" t="s">
        <v>198</v>
      </c>
      <c r="K142" s="35">
        <f>K133-$C$132</f>
        <v>1.9400000000000013</v>
      </c>
      <c r="L142" s="35">
        <f t="shared" si="6"/>
        <v>-4.26</v>
      </c>
      <c r="O142" s="2"/>
    </row>
    <row r="143" spans="1:17" x14ac:dyDescent="0.35">
      <c r="O143" s="2"/>
    </row>
    <row r="144" spans="1:17" ht="15" thickBot="1" x14ac:dyDescent="0.4">
      <c r="F144" s="3"/>
    </row>
    <row r="145" spans="1:14" ht="15.5" thickTop="1" thickBot="1" x14ac:dyDescent="0.4">
      <c r="B145" s="1307" t="s">
        <v>25</v>
      </c>
      <c r="C145" s="1309"/>
      <c r="F145" s="3"/>
      <c r="K145" s="1307" t="s">
        <v>25</v>
      </c>
      <c r="L145" s="1309"/>
    </row>
    <row r="146" spans="1:14" ht="15" thickTop="1" x14ac:dyDescent="0.35">
      <c r="B146" s="30" t="s">
        <v>42</v>
      </c>
      <c r="C146" s="30" t="s">
        <v>40</v>
      </c>
      <c r="F146" s="3"/>
      <c r="K146" s="30" t="s">
        <v>42</v>
      </c>
      <c r="L146" s="30" t="s">
        <v>40</v>
      </c>
    </row>
    <row r="147" spans="1:14" x14ac:dyDescent="0.35">
      <c r="A147" s="3" t="s">
        <v>196</v>
      </c>
      <c r="B147" s="242">
        <f>B74</f>
        <v>69562.48000000001</v>
      </c>
      <c r="C147" s="583">
        <f t="shared" ref="C147:C149" si="7">C74</f>
        <v>152178.64000000001</v>
      </c>
      <c r="F147" s="3"/>
      <c r="J147" s="3" t="s">
        <v>196</v>
      </c>
      <c r="K147" s="242">
        <f>B147</f>
        <v>69562.48000000001</v>
      </c>
      <c r="L147" s="242">
        <f t="shared" ref="L147:L149" si="8">C147</f>
        <v>152178.64000000001</v>
      </c>
    </row>
    <row r="148" spans="1:14" x14ac:dyDescent="0.35">
      <c r="A148" s="3" t="s">
        <v>197</v>
      </c>
      <c r="B148" s="242">
        <f t="shared" ref="B148" si="9">B75</f>
        <v>71347.600000000006</v>
      </c>
      <c r="C148" s="242">
        <f t="shared" si="7"/>
        <v>156592.96000000005</v>
      </c>
      <c r="F148" s="3"/>
      <c r="J148" s="3" t="s">
        <v>197</v>
      </c>
      <c r="K148" s="242">
        <f t="shared" ref="K148:K149" si="10">B148</f>
        <v>71347.600000000006</v>
      </c>
      <c r="L148" s="242">
        <f t="shared" si="8"/>
        <v>156592.96000000005</v>
      </c>
    </row>
    <row r="149" spans="1:14" x14ac:dyDescent="0.35">
      <c r="A149" s="3" t="s">
        <v>198</v>
      </c>
      <c r="B149" s="242">
        <f t="shared" ref="B149" si="11">B76</f>
        <v>9249.5</v>
      </c>
      <c r="C149" s="242">
        <f t="shared" si="7"/>
        <v>17349.300000000003</v>
      </c>
      <c r="F149" s="3"/>
      <c r="J149" s="3" t="s">
        <v>198</v>
      </c>
      <c r="K149" s="242">
        <f t="shared" si="10"/>
        <v>9249.5</v>
      </c>
      <c r="L149" s="242">
        <f t="shared" si="8"/>
        <v>17349.300000000003</v>
      </c>
    </row>
    <row r="150" spans="1:14" x14ac:dyDescent="0.35">
      <c r="B150" s="242"/>
      <c r="C150" s="242"/>
      <c r="F150" s="3"/>
      <c r="K150" s="242"/>
      <c r="L150" s="242"/>
    </row>
    <row r="151" spans="1:14" ht="15" thickBot="1" x14ac:dyDescent="0.4">
      <c r="F151" s="3"/>
    </row>
    <row r="152" spans="1:14" ht="15.5" thickTop="1" thickBot="1" x14ac:dyDescent="0.4">
      <c r="B152" s="1307" t="s">
        <v>239</v>
      </c>
      <c r="C152" s="1308"/>
      <c r="D152" s="1308"/>
      <c r="E152" s="1309"/>
      <c r="F152" s="3"/>
      <c r="K152" s="1307" t="s">
        <v>239</v>
      </c>
      <c r="L152" s="1308"/>
      <c r="M152" s="1308"/>
      <c r="N152" s="1309"/>
    </row>
    <row r="153" spans="1:14" ht="15" thickTop="1" x14ac:dyDescent="0.35">
      <c r="B153" s="30" t="s">
        <v>42</v>
      </c>
      <c r="C153" s="30" t="s">
        <v>40</v>
      </c>
      <c r="E153" s="30" t="s">
        <v>237</v>
      </c>
      <c r="F153" s="3"/>
      <c r="K153" s="30" t="s">
        <v>42</v>
      </c>
      <c r="L153" s="30" t="s">
        <v>40</v>
      </c>
      <c r="N153" s="30" t="s">
        <v>237</v>
      </c>
    </row>
    <row r="154" spans="1:14" x14ac:dyDescent="0.35">
      <c r="A154" s="3" t="s">
        <v>196</v>
      </c>
      <c r="B154" s="103">
        <f>ROUND(B131*B147,0)</f>
        <v>319987</v>
      </c>
      <c r="C154" s="103">
        <f t="shared" ref="B154:C156" si="12">ROUND(C131*C147,0)</f>
        <v>0</v>
      </c>
      <c r="E154" s="34">
        <f>B154+C154</f>
        <v>319987</v>
      </c>
      <c r="F154" s="3"/>
      <c r="J154" s="3" t="s">
        <v>196</v>
      </c>
      <c r="K154" s="103">
        <f t="shared" ref="K154:L156" si="13">ROUND(K131*K147,0)</f>
        <v>319987</v>
      </c>
      <c r="L154" s="103">
        <f t="shared" si="13"/>
        <v>0</v>
      </c>
      <c r="N154" s="34">
        <f>K154+L154</f>
        <v>319987</v>
      </c>
    </row>
    <row r="155" spans="1:14" x14ac:dyDescent="0.35">
      <c r="A155" s="3" t="s">
        <v>197</v>
      </c>
      <c r="B155" s="103">
        <f t="shared" si="12"/>
        <v>674948</v>
      </c>
      <c r="C155" s="103">
        <f t="shared" si="12"/>
        <v>1259007</v>
      </c>
      <c r="E155" s="34">
        <f t="shared" ref="E155:E156" si="14">B155+C155</f>
        <v>1933955</v>
      </c>
      <c r="F155" s="3"/>
      <c r="J155" s="3" t="s">
        <v>197</v>
      </c>
      <c r="K155" s="308">
        <f>ROUND(K132*K148,0)</f>
        <v>667100</v>
      </c>
      <c r="L155" s="103">
        <f t="shared" si="13"/>
        <v>1241782</v>
      </c>
      <c r="N155" s="34">
        <f t="shared" ref="N155:N156" si="15">K155+L155</f>
        <v>1908882</v>
      </c>
    </row>
    <row r="156" spans="1:14" ht="15" thickBot="1" x14ac:dyDescent="0.4">
      <c r="A156" s="3" t="s">
        <v>198</v>
      </c>
      <c r="B156" s="103">
        <f t="shared" si="12"/>
        <v>83800</v>
      </c>
      <c r="C156" s="103">
        <f t="shared" si="12"/>
        <v>49619</v>
      </c>
      <c r="E156" s="34">
        <f t="shared" si="14"/>
        <v>133419</v>
      </c>
      <c r="F156" s="3"/>
      <c r="J156" s="3" t="s">
        <v>198</v>
      </c>
      <c r="K156" s="103">
        <f t="shared" si="13"/>
        <v>92310</v>
      </c>
      <c r="L156" s="103">
        <f t="shared" si="13"/>
        <v>65580</v>
      </c>
      <c r="N156" s="34">
        <f t="shared" si="15"/>
        <v>157890</v>
      </c>
    </row>
    <row r="157" spans="1:14" ht="15.5" thickTop="1" thickBot="1" x14ac:dyDescent="0.4">
      <c r="A157" s="3" t="s">
        <v>205</v>
      </c>
      <c r="B157" s="243">
        <f>SUM(B154:B156)</f>
        <v>1078735</v>
      </c>
      <c r="C157" s="243">
        <f>SUM(C154:C156)</f>
        <v>1308626</v>
      </c>
      <c r="E157" s="243">
        <f>SUM(E154:E156)</f>
        <v>2387361</v>
      </c>
      <c r="F157" s="3"/>
      <c r="J157" s="3" t="s">
        <v>205</v>
      </c>
      <c r="K157" s="243">
        <f>SUM(K154:K156)</f>
        <v>1079397</v>
      </c>
      <c r="L157" s="243">
        <f>SUM(L154:L156)</f>
        <v>1307362</v>
      </c>
      <c r="N157" s="243">
        <f>SUM(N154:N156)</f>
        <v>2386759</v>
      </c>
    </row>
    <row r="158" spans="1:14" ht="15" thickTop="1" x14ac:dyDescent="0.35">
      <c r="F158" s="3"/>
    </row>
    <row r="159" spans="1:14" x14ac:dyDescent="0.35">
      <c r="A159" s="3" t="s">
        <v>238</v>
      </c>
      <c r="B159" s="3">
        <f>E24</f>
        <v>1.0119199999999999</v>
      </c>
      <c r="C159" s="3">
        <f>E25</f>
        <v>1.01067</v>
      </c>
      <c r="F159" s="3"/>
      <c r="J159" s="3" t="s">
        <v>238</v>
      </c>
      <c r="K159" s="3">
        <f>B159</f>
        <v>1.0119199999999999</v>
      </c>
      <c r="L159" s="3">
        <f>C159</f>
        <v>1.01067</v>
      </c>
    </row>
    <row r="160" spans="1:14" ht="15" thickBot="1" x14ac:dyDescent="0.4">
      <c r="F160" s="3"/>
    </row>
    <row r="161" spans="1:15" ht="15.5" thickTop="1" thickBot="1" x14ac:dyDescent="0.4">
      <c r="B161" s="1307" t="s">
        <v>240</v>
      </c>
      <c r="C161" s="1308"/>
      <c r="D161" s="1308"/>
      <c r="E161" s="1309"/>
      <c r="F161" s="3"/>
      <c r="K161" s="1307" t="s">
        <v>240</v>
      </c>
      <c r="L161" s="1308"/>
      <c r="M161" s="1308"/>
      <c r="N161" s="1309"/>
    </row>
    <row r="162" spans="1:15" ht="15" thickTop="1" x14ac:dyDescent="0.35">
      <c r="B162" s="30" t="s">
        <v>42</v>
      </c>
      <c r="C162" s="30" t="s">
        <v>40</v>
      </c>
      <c r="E162" s="30" t="s">
        <v>237</v>
      </c>
      <c r="F162" s="3"/>
      <c r="K162" s="30" t="s">
        <v>42</v>
      </c>
      <c r="L162" s="30" t="s">
        <v>40</v>
      </c>
      <c r="N162" s="30" t="s">
        <v>237</v>
      </c>
    </row>
    <row r="163" spans="1:15" x14ac:dyDescent="0.35">
      <c r="A163" s="3" t="s">
        <v>196</v>
      </c>
      <c r="B163" s="103">
        <f>ROUND(B154*$B$159,0)</f>
        <v>323801</v>
      </c>
      <c r="C163" s="103">
        <f>ROUND(C154*$C$159,0)</f>
        <v>0</v>
      </c>
      <c r="E163" s="34">
        <f>B163+C163</f>
        <v>323801</v>
      </c>
      <c r="F163" s="3"/>
      <c r="J163" s="3" t="s">
        <v>196</v>
      </c>
      <c r="K163" s="103">
        <f>ROUND(K154*$B$159,0)</f>
        <v>323801</v>
      </c>
      <c r="L163" s="103">
        <f>ROUND(L154*$C$159,0)</f>
        <v>0</v>
      </c>
      <c r="N163" s="34">
        <f>K163+L163</f>
        <v>323801</v>
      </c>
    </row>
    <row r="164" spans="1:15" x14ac:dyDescent="0.35">
      <c r="A164" s="3" t="s">
        <v>197</v>
      </c>
      <c r="B164" s="103">
        <f>ROUND(B155*$B$159,0)</f>
        <v>682993</v>
      </c>
      <c r="C164" s="103">
        <f>ROUND(C155*$C$159,0)</f>
        <v>1272441</v>
      </c>
      <c r="E164" s="34">
        <f t="shared" ref="E164:E165" si="16">B164+C164</f>
        <v>1955434</v>
      </c>
      <c r="F164" s="3"/>
      <c r="J164" s="3" t="s">
        <v>197</v>
      </c>
      <c r="K164" s="103">
        <f>ROUND(K155*$B$159,0)</f>
        <v>675052</v>
      </c>
      <c r="L164" s="103">
        <f>ROUND(L155*$C$159,0)</f>
        <v>1255032</v>
      </c>
      <c r="N164" s="34">
        <f t="shared" ref="N164:N165" si="17">K164+L164</f>
        <v>1930084</v>
      </c>
    </row>
    <row r="165" spans="1:15" ht="15" thickBot="1" x14ac:dyDescent="0.4">
      <c r="A165" s="3" t="s">
        <v>198</v>
      </c>
      <c r="B165" s="103">
        <f>ROUND(B156*$B$159,0)</f>
        <v>84799</v>
      </c>
      <c r="C165" s="103">
        <f>ROUND(C156*$C$159,0)</f>
        <v>50148</v>
      </c>
      <c r="E165" s="34">
        <f t="shared" si="16"/>
        <v>134947</v>
      </c>
      <c r="F165" s="3"/>
      <c r="J165" s="3" t="s">
        <v>198</v>
      </c>
      <c r="K165" s="103">
        <f>ROUND(K156*$B$159,0)</f>
        <v>93410</v>
      </c>
      <c r="L165" s="103">
        <f>ROUND(L156*$C$159,0)</f>
        <v>66280</v>
      </c>
      <c r="N165" s="34">
        <f t="shared" si="17"/>
        <v>159690</v>
      </c>
    </row>
    <row r="166" spans="1:15" ht="15.5" thickTop="1" thickBot="1" x14ac:dyDescent="0.4">
      <c r="A166" s="3" t="s">
        <v>205</v>
      </c>
      <c r="B166" s="243">
        <f>SUM(B163:B165)</f>
        <v>1091593</v>
      </c>
      <c r="C166" s="243">
        <f>SUM(C163:C165)</f>
        <v>1322589</v>
      </c>
      <c r="E166" s="243">
        <f>SUM(E163:E165)</f>
        <v>2414182</v>
      </c>
      <c r="F166" s="3"/>
      <c r="J166" s="3" t="s">
        <v>205</v>
      </c>
      <c r="K166" s="243">
        <f>SUM(K163:K165)</f>
        <v>1092263</v>
      </c>
      <c r="L166" s="243">
        <f>SUM(L163:L165)</f>
        <v>1321312</v>
      </c>
      <c r="N166" s="243">
        <f>SUM(N163:N165)</f>
        <v>2413575</v>
      </c>
      <c r="O166" s="288"/>
    </row>
    <row r="167" spans="1:15" ht="15.5" thickTop="1" thickBot="1" x14ac:dyDescent="0.4">
      <c r="F167" s="3"/>
      <c r="O167" s="288"/>
    </row>
    <row r="168" spans="1:15" ht="15.5" thickTop="1" thickBot="1" x14ac:dyDescent="0.4">
      <c r="A168" s="3" t="s">
        <v>244</v>
      </c>
      <c r="E168" s="247">
        <f>E29</f>
        <v>2414182</v>
      </c>
      <c r="J168" s="3" t="s">
        <v>244</v>
      </c>
      <c r="N168" s="243">
        <f>E168</f>
        <v>2414182</v>
      </c>
      <c r="O168" s="288"/>
    </row>
    <row r="169" spans="1:15" ht="15" thickTop="1" x14ac:dyDescent="0.35">
      <c r="A169" s="3" t="s">
        <v>243</v>
      </c>
      <c r="E169" s="34">
        <f>E166-E168</f>
        <v>0</v>
      </c>
      <c r="J169" s="3" t="s">
        <v>243</v>
      </c>
      <c r="N169" s="34">
        <f>N166-N168</f>
        <v>-607</v>
      </c>
      <c r="O169" s="288"/>
    </row>
    <row r="170" spans="1:15" x14ac:dyDescent="0.35">
      <c r="A170" s="3" t="s">
        <v>245</v>
      </c>
      <c r="E170" s="244">
        <f>E166/E168-1</f>
        <v>0</v>
      </c>
      <c r="J170" s="3" t="s">
        <v>245</v>
      </c>
      <c r="N170" s="244">
        <f>N166/N168-1</f>
        <v>-2.5143091945845075E-4</v>
      </c>
      <c r="O170" s="288"/>
    </row>
    <row r="171" spans="1:15" x14ac:dyDescent="0.35">
      <c r="O171" s="288"/>
    </row>
  </sheetData>
  <mergeCells count="19">
    <mergeCell ref="B145:C145"/>
    <mergeCell ref="K145:L145"/>
    <mergeCell ref="B152:E152"/>
    <mergeCell ref="K152:N152"/>
    <mergeCell ref="B161:E161"/>
    <mergeCell ref="K161:N161"/>
    <mergeCell ref="B59:C59"/>
    <mergeCell ref="B115:C115"/>
    <mergeCell ref="B129:C129"/>
    <mergeCell ref="K129:L129"/>
    <mergeCell ref="B139:C139"/>
    <mergeCell ref="K139:L139"/>
    <mergeCell ref="C45:C46"/>
    <mergeCell ref="G45:G46"/>
    <mergeCell ref="M15:N15"/>
    <mergeCell ref="B36:G36"/>
    <mergeCell ref="I36:L36"/>
    <mergeCell ref="B37:C37"/>
    <mergeCell ref="I37:J37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7" max="16383" man="1"/>
    <brk id="124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00B0F0"/>
  </sheetPr>
  <dimension ref="A1:Q172"/>
  <sheetViews>
    <sheetView workbookViewId="0">
      <selection activeCell="H32" sqref="H32"/>
    </sheetView>
  </sheetViews>
  <sheetFormatPr defaultColWidth="8.81640625" defaultRowHeight="14.5" x14ac:dyDescent="0.35"/>
  <cols>
    <col min="1" max="1" width="15.7265625" style="3" customWidth="1"/>
    <col min="2" max="3" width="13.81640625" style="3" customWidth="1"/>
    <col min="4" max="4" width="8.1796875" style="3" customWidth="1"/>
    <col min="5" max="5" width="16.7265625" style="3" customWidth="1"/>
    <col min="6" max="6" width="11.453125" style="2" customWidth="1"/>
    <col min="7" max="7" width="13.453125" style="3" customWidth="1"/>
    <col min="8" max="8" width="20.1796875" style="3" customWidth="1"/>
    <col min="9" max="9" width="25.7265625" style="3" customWidth="1"/>
    <col min="10" max="10" width="27.26953125" style="3" customWidth="1"/>
    <col min="11" max="11" width="16.1796875" style="3" customWidth="1"/>
    <col min="12" max="13" width="14.26953125" style="3" customWidth="1"/>
    <col min="14" max="14" width="14.7265625" style="3" customWidth="1"/>
    <col min="15" max="15" width="12.81640625" style="3" customWidth="1"/>
    <col min="16" max="17" width="14.7265625" style="3" customWidth="1"/>
    <col min="18" max="16384" width="8.81640625" style="3"/>
  </cols>
  <sheetData>
    <row r="1" spans="1:14" ht="18.5" x14ac:dyDescent="0.35">
      <c r="A1" s="238" t="s">
        <v>2302</v>
      </c>
    </row>
    <row r="2" spans="1:14" x14ac:dyDescent="0.35">
      <c r="A2" s="182" t="s">
        <v>167</v>
      </c>
      <c r="B2" s="180"/>
    </row>
    <row r="3" spans="1:14" x14ac:dyDescent="0.35">
      <c r="A3" s="182" t="s">
        <v>204</v>
      </c>
      <c r="B3" s="180"/>
      <c r="D3" s="33" t="s">
        <v>1428</v>
      </c>
      <c r="E3" s="1251">
        <f>'[1]A1.)RatesInput'!$G$3</f>
        <v>2017</v>
      </c>
    </row>
    <row r="4" spans="1:14" x14ac:dyDescent="0.35">
      <c r="A4" s="182" t="s">
        <v>195</v>
      </c>
      <c r="B4" s="180"/>
      <c r="C4" s="180"/>
      <c r="D4" s="33" t="s">
        <v>1075</v>
      </c>
      <c r="E4" s="231" t="str">
        <f>'9A.)HL_RedesignRateSummary'!D9</f>
        <v>Current</v>
      </c>
      <c r="F4" s="231"/>
      <c r="H4" s="180"/>
      <c r="I4" s="180"/>
      <c r="J4" s="197" t="str">
        <f>$A$2</f>
        <v>SC8</v>
      </c>
      <c r="K4" s="30"/>
      <c r="L4" s="30"/>
      <c r="M4" s="30"/>
      <c r="N4" s="30"/>
    </row>
    <row r="5" spans="1:14" x14ac:dyDescent="0.35">
      <c r="D5" s="33" t="s">
        <v>1076</v>
      </c>
      <c r="E5" s="231" t="s">
        <v>1074</v>
      </c>
      <c r="F5" s="232"/>
      <c r="J5" s="197" t="str">
        <f>A4</f>
        <v>TODL</v>
      </c>
      <c r="K5" s="30" t="s">
        <v>42</v>
      </c>
      <c r="L5" s="30" t="s">
        <v>40</v>
      </c>
      <c r="M5" s="30"/>
      <c r="N5" s="30"/>
    </row>
    <row r="6" spans="1:14" x14ac:dyDescent="0.35">
      <c r="E6" s="194"/>
      <c r="F6" s="230"/>
      <c r="I6" s="190" t="s">
        <v>196</v>
      </c>
      <c r="J6" s="3" t="str">
        <f>CONCATENATE($A$2,"(FS)kW pd 1 LT")</f>
        <v>SC8(FS)kW pd 1 LT</v>
      </c>
      <c r="K6" s="205">
        <f>IF(ISNUMBER(VLOOKUP($J6,'[1]D2.)BillingDeterminants(TOD)'!$A$5:$K$171,4,0)),VLOOKUP($J6,'[1]D2.)BillingDeterminants(TOD)'!$A$5:$K$171,4,0),0)</f>
        <v>6852.7199999999993</v>
      </c>
      <c r="L6" s="205">
        <f>IF(ISNUMBER(VLOOKUP($J6,'[1]D2.)BillingDeterminants(TOD)'!$A$5:$K$171,5,0)),VLOOKUP($J6,'[1]D2.)BillingDeterminants(TOD)'!$A$5:$K$171,5,0),0)</f>
        <v>8104.32</v>
      </c>
    </row>
    <row r="7" spans="1:14" x14ac:dyDescent="0.35">
      <c r="A7" s="3" t="str">
        <f>CONCATENATE($A$2," TOD (LT)")</f>
        <v>SC8 TOD (LT)</v>
      </c>
      <c r="B7" s="3" t="s">
        <v>168</v>
      </c>
      <c r="E7" s="195">
        <f>IF(ISNUMBER(VLOOKUP($A7,'[1]A1.)RatesInput'!$B$287:$J$309,HLOOKUP(E$4,'[1]A1.)RatesInput'!$B$287:$J$309,2,0),0)),VLOOKUP($A7,'[1]A1.)RatesInput'!$B$287:$J$309,HLOOKUP(E$4,'[1]A1.)RatesInput'!$B$287:$J$309,2,0),0),0)</f>
        <v>37.99</v>
      </c>
      <c r="F7" s="230"/>
      <c r="I7" s="190"/>
      <c r="J7" s="3" t="str">
        <f>CONCATENATE($A$2,"(FS)kW pd 1 HT")</f>
        <v>SC8(FS)kW pd 1 HT</v>
      </c>
      <c r="K7" s="206">
        <f>IF(ISNUMBER(VLOOKUP($J7,'[1]D2.)BillingDeterminants(TOD)'!$A$5:$K$171,4,0)),VLOOKUP($J7,'[1]D2.)BillingDeterminants(TOD)'!$A$5:$K$171,4,0),0)</f>
        <v>0</v>
      </c>
      <c r="L7" s="206">
        <f>IF(ISNUMBER(VLOOKUP($J7,'[1]D2.)BillingDeterminants(TOD)'!$A$5:$K$171,5,0)),VLOOKUP($J7,'[1]D2.)BillingDeterminants(TOD)'!$A$5:$K$171,5,0),0)</f>
        <v>0</v>
      </c>
    </row>
    <row r="8" spans="1:14" x14ac:dyDescent="0.35">
      <c r="E8" s="195"/>
      <c r="F8" s="230"/>
      <c r="I8" s="190" t="s">
        <v>197</v>
      </c>
      <c r="J8" s="3" t="str">
        <f>CONCATENATE($A$2,"(FS)kW pd 2 LT")</f>
        <v>SC8(FS)kW pd 2 LT</v>
      </c>
      <c r="K8" s="206">
        <f>IF(ISNUMBER(VLOOKUP($J8,'[1]D2.)BillingDeterminants(TOD)'!$A$5:$K$171,4,0)),VLOOKUP($J8,'[1]D2.)BillingDeterminants(TOD)'!$A$5:$K$171,4,0),0)</f>
        <v>7535.28</v>
      </c>
      <c r="L8" s="206">
        <f>IF(ISNUMBER(VLOOKUP($J8,'[1]D2.)BillingDeterminants(TOD)'!$A$5:$K$171,5,0)),VLOOKUP($J8,'[1]D2.)BillingDeterminants(TOD)'!$A$5:$K$171,5,0),0)</f>
        <v>8948.16</v>
      </c>
    </row>
    <row r="9" spans="1:14" x14ac:dyDescent="0.35">
      <c r="A9" s="3" t="str">
        <f>CONCATENATE($A$2," TOD (HT)")</f>
        <v>SC8 TOD (HT)</v>
      </c>
      <c r="B9" s="3" t="s">
        <v>168</v>
      </c>
      <c r="E9" s="195">
        <f>IF(ISNUMBER(VLOOKUP($A9,'[1]A1.)RatesInput'!$B$287:$J$309,HLOOKUP(E$4,'[1]A1.)RatesInput'!$B$287:$J$309,2,0),0)),VLOOKUP($A9,'[1]A1.)RatesInput'!$B$287:$J$309,HLOOKUP(E$4,'[1]A1.)RatesInput'!$B$287:$J$309,2,0),0),0)</f>
        <v>26.05</v>
      </c>
      <c r="F9" s="230"/>
      <c r="I9" s="190"/>
      <c r="J9" s="3" t="str">
        <f>CONCATENATE($A$2,"(FS)kW pd 2 HT")</f>
        <v>SC8(FS)kW pd 2 HT</v>
      </c>
      <c r="K9" s="206">
        <f>IF(ISNUMBER(VLOOKUP($J9,'[1]D2.)BillingDeterminants(TOD)'!$A$5:$K$171,4,0)),VLOOKUP($J9,'[1]D2.)BillingDeterminants(TOD)'!$A$5:$K$171,4,0),0)</f>
        <v>0</v>
      </c>
      <c r="L9" s="206">
        <f>IF(ISNUMBER(VLOOKUP($J9,'[1]D2.)BillingDeterminants(TOD)'!$A$5:$K$171,5,0)),VLOOKUP($J9,'[1]D2.)BillingDeterminants(TOD)'!$A$5:$K$171,5,0),0)</f>
        <v>0</v>
      </c>
    </row>
    <row r="10" spans="1:14" x14ac:dyDescent="0.35">
      <c r="E10" s="195"/>
      <c r="F10" s="230"/>
      <c r="I10" s="190" t="s">
        <v>198</v>
      </c>
      <c r="J10" s="3" t="str">
        <f>CONCATENATE($A$2,"(FS)kW Secondary")</f>
        <v>SC8(FS)kW Secondary</v>
      </c>
      <c r="K10" s="206">
        <f>IF(ISNUMBER(VLOOKUP($J10,'[1]D2.)BillingDeterminants(TOD)'!$A$5:$K$171,4,0)),VLOOKUP($J10,'[1]D2.)BillingDeterminants(TOD)'!$A$5:$K$171,4,0),0)</f>
        <v>7535.1</v>
      </c>
      <c r="L10" s="206">
        <f>IF(ISNUMBER(VLOOKUP($J10,'[1]D2.)BillingDeterminants(TOD)'!$A$5:$K$171,5,0)),VLOOKUP($J10,'[1]D2.)BillingDeterminants(TOD)'!$A$5:$K$171,5,0),0)</f>
        <v>9112.4999999999982</v>
      </c>
    </row>
    <row r="11" spans="1:14" x14ac:dyDescent="0.35">
      <c r="A11" s="3" t="str">
        <f>CONCATENATE($A$2," TOD (LT)")</f>
        <v>SC8 TOD (LT)</v>
      </c>
      <c r="B11" s="3" t="s">
        <v>169</v>
      </c>
      <c r="E11" s="195">
        <f>IF(ISNUMBER(VLOOKUP($A11,'[1]A1.)RatesInput'!$B$315:$J$340,HLOOKUP(E$5,'[1]A1.)RatesInput'!$B$315:$J$340,3,0),0)),VLOOKUP($A11,'[1]A1.)RatesInput'!$B$315:$J$340,HLOOKUP(E$5,'[1]A1.)RatesInput'!$B$315:$J$340,3,0),0),0)</f>
        <v>29.36</v>
      </c>
      <c r="F11" s="230"/>
      <c r="J11" s="3" t="str">
        <f>CONCATENATE($A$2,"(FS)kWh LT")</f>
        <v>SC8(FS)kWh LT</v>
      </c>
      <c r="K11" s="206">
        <f>IF(ISNUMBER(VLOOKUP($J11,'[1]D2.)BillingDeterminants(TOD)'!$A$5:$K$171,4,0)),VLOOKUP($J11,'[1]D2.)BillingDeterminants(TOD)'!$A$5:$K$171,4,0),0)</f>
        <v>3078800</v>
      </c>
      <c r="L11" s="206">
        <f>IF(ISNUMBER(VLOOKUP($J11,'[1]D2.)BillingDeterminants(TOD)'!$A$5:$K$171,5,0)),VLOOKUP($J11,'[1]D2.)BillingDeterminants(TOD)'!$A$5:$K$171,5,0),0)</f>
        <v>3994400</v>
      </c>
    </row>
    <row r="12" spans="1:14" x14ac:dyDescent="0.35">
      <c r="E12" s="195"/>
      <c r="F12" s="230"/>
      <c r="J12" s="3" t="str">
        <f>CONCATENATE($A$2,"(FS)kWh HT")</f>
        <v>SC8(FS)kWh HT</v>
      </c>
      <c r="K12" s="206">
        <f>IF(ISNUMBER(VLOOKUP($J12,'[1]D2.)BillingDeterminants(TOD)'!$A$5:$K$171,4,0)),VLOOKUP($J12,'[1]D2.)BillingDeterminants(TOD)'!$A$5:$K$171,4,0),0)</f>
        <v>0</v>
      </c>
      <c r="L12" s="206">
        <f>IF(ISNUMBER(VLOOKUP($J12,'[1]D2.)BillingDeterminants(TOD)'!$A$5:$K$171,5,0)),VLOOKUP($J12,'[1]D2.)BillingDeterminants(TOD)'!$A$5:$K$171,5,0),0)</f>
        <v>0</v>
      </c>
    </row>
    <row r="13" spans="1:14" x14ac:dyDescent="0.35">
      <c r="A13" s="3" t="str">
        <f>CONCATENATE($A$2," TOD (HT)")</f>
        <v>SC8 TOD (HT)</v>
      </c>
      <c r="B13" s="3" t="s">
        <v>169</v>
      </c>
      <c r="E13" s="196">
        <f>IF(ISNUMBER(VLOOKUP($A13,'[1]A1.)RatesInput'!$B$315:$J$340,HLOOKUP(E$5,'[1]A1.)RatesInput'!$B$315:$J$340,3,0),0)),VLOOKUP($A13,'[1]A1.)RatesInput'!$B$315:$J$340,HLOOKUP(E$5,'[1]A1.)RatesInput'!$B$315:$J$340,3,0),0),0)</f>
        <v>20.95</v>
      </c>
      <c r="F13" s="230"/>
      <c r="G13" s="230"/>
      <c r="J13" s="3" t="str">
        <f>CONCATENATE($A$2,"(FS)kWh OnPk LT")</f>
        <v>SC8(FS)kWh OnPk LT</v>
      </c>
      <c r="K13" s="206">
        <f>IF(ISNUMBER(VLOOKUP($J13,'[1]D2.)BillingDeterminants(TOD)'!$A$5:$K$171,4,0)),VLOOKUP($J13,'[1]D2.)BillingDeterminants(TOD)'!$A$5:$K$171,4,0),0)</f>
        <v>1355833</v>
      </c>
      <c r="L13" s="206">
        <f>IF(ISNUMBER(VLOOKUP($J13,'[1]D2.)BillingDeterminants(TOD)'!$A$5:$K$171,5,0)),VLOOKUP($J13,'[1]D2.)BillingDeterminants(TOD)'!$A$5:$K$171,5,0),0)</f>
        <v>1755870</v>
      </c>
    </row>
    <row r="14" spans="1:14" ht="15" thickBot="1" x14ac:dyDescent="0.4">
      <c r="J14" s="3" t="str">
        <f>CONCATENATE($A$2,"(FS)kWh OnPk HT")</f>
        <v>SC8(FS)kWh OnPk HT</v>
      </c>
      <c r="K14" s="206">
        <f>IF(ISNUMBER(VLOOKUP($J14,'[1]D2.)BillingDeterminants(TOD)'!$A$5:$K$171,4,0)),VLOOKUP($J14,'[1]D2.)BillingDeterminants(TOD)'!$A$5:$K$171,4,0),0)</f>
        <v>0</v>
      </c>
      <c r="L14" s="206">
        <f>IF(ISNUMBER(VLOOKUP($J14,'[1]D2.)BillingDeterminants(TOD)'!$A$5:$K$171,5,0)),VLOOKUP($J14,'[1]D2.)BillingDeterminants(TOD)'!$A$5:$K$171,5,0),0)</f>
        <v>0</v>
      </c>
    </row>
    <row r="15" spans="1:14" ht="15.5" thickTop="1" thickBot="1" x14ac:dyDescent="0.4">
      <c r="E15" s="527" t="str">
        <f>'9A.)HL_RedesignRateSummary'!D10</f>
        <v>ED shifting</v>
      </c>
      <c r="G15" s="423" t="s">
        <v>142</v>
      </c>
      <c r="J15" s="3" t="str">
        <f>CONCATENATE($A$2,"(FS)kWh OffPk LT")</f>
        <v>SC8(FS)kWh OffPk LT</v>
      </c>
      <c r="K15" s="206">
        <f>IF(ISNUMBER(VLOOKUP($J15,'[1]D2.)BillingDeterminants(TOD)'!$A$5:$K$171,4,0)),VLOOKUP($J15,'[1]D2.)BillingDeterminants(TOD)'!$A$5:$K$171,4,0),0)</f>
        <v>1722967</v>
      </c>
      <c r="L15" s="206">
        <f>IF(ISNUMBER(VLOOKUP($J15,'[1]D2.)BillingDeterminants(TOD)'!$A$5:$K$171,5,0)),VLOOKUP($J15,'[1]D2.)BillingDeterminants(TOD)'!$A$5:$K$171,5,0),0)</f>
        <v>2238530</v>
      </c>
      <c r="M15" s="1307" t="s">
        <v>246</v>
      </c>
      <c r="N15" s="1309"/>
    </row>
    <row r="16" spans="1:14" ht="15" thickTop="1" x14ac:dyDescent="0.35">
      <c r="A16" s="3" t="s">
        <v>876</v>
      </c>
      <c r="E16" s="434">
        <f>'9A.)HL_RedesignRateSummary'!D11</f>
        <v>0</v>
      </c>
      <c r="F16" s="233">
        <f>(E16*8+E19*4)/12</f>
        <v>3.02</v>
      </c>
      <c r="G16" s="341">
        <f>L131</f>
        <v>0</v>
      </c>
      <c r="H16" s="233">
        <f>(G16*8+G19*4)/12</f>
        <v>3.02</v>
      </c>
      <c r="J16" s="3" t="str">
        <f>CONCATENATE($A$2,"(FS)kWh OffPk HT")</f>
        <v>SC8(FS)kWh OffPk HT</v>
      </c>
      <c r="K16" s="207">
        <f>IF(ISNUMBER(VLOOKUP($J16,'[1]D2.)BillingDeterminants(TOD)'!$A$5:$K$171,4,0)),VLOOKUP($J16,'[1]D2.)BillingDeterminants(TOD)'!$A$5:$K$171,4,0),0)</f>
        <v>0</v>
      </c>
      <c r="L16" s="207">
        <f>IF(ISNUMBER(VLOOKUP($J16,'[1]D2.)BillingDeterminants(TOD)'!$A$5:$K$171,5,0)),VLOOKUP($J16,'[1]D2.)BillingDeterminants(TOD)'!$A$5:$K$171,5,0),0)</f>
        <v>0</v>
      </c>
      <c r="M16" s="30" t="s">
        <v>42</v>
      </c>
      <c r="N16" s="30" t="s">
        <v>40</v>
      </c>
    </row>
    <row r="17" spans="1:14" x14ac:dyDescent="0.35">
      <c r="A17" s="3" t="s">
        <v>877</v>
      </c>
      <c r="E17" s="432">
        <f>'9A.)HL_RedesignRateSummary'!D12</f>
        <v>15.98</v>
      </c>
      <c r="F17" s="233">
        <f>(E17*8+E20*4)/12</f>
        <v>17.933333333333334</v>
      </c>
      <c r="G17" s="342">
        <f>L132</f>
        <v>15.17</v>
      </c>
      <c r="H17" s="233">
        <f>(G17*8+G20*4)/12</f>
        <v>17.123333333333335</v>
      </c>
      <c r="I17" s="190" t="s">
        <v>196</v>
      </c>
      <c r="J17" s="3" t="str">
        <f>CONCATENATE($A$2,"(RA)kW pd 1 LT")</f>
        <v>SC8(RA)kW pd 1 LT</v>
      </c>
      <c r="K17" s="205">
        <f>IF(ISNUMBER(VLOOKUP($J17,'[1]D2.)BillingDeterminants(TOD)'!$A$5:$K$171,4,0)),VLOOKUP($J17,'[1]D2.)BillingDeterminants(TOD)'!$A$5:$K$171,4,0),0)</f>
        <v>111158.31</v>
      </c>
      <c r="L17" s="205">
        <f>IF(ISNUMBER(VLOOKUP($J17,'[1]D2.)BillingDeterminants(TOD)'!$A$5:$K$171,5,0)),VLOOKUP($J17,'[1]D2.)BillingDeterminants(TOD)'!$A$5:$K$171,5,0),0)</f>
        <v>149018.64000000001</v>
      </c>
      <c r="M17" s="205">
        <f>K6+K17</f>
        <v>118011.03</v>
      </c>
      <c r="N17" s="205">
        <f t="shared" ref="N17:N27" si="0">L6+L17</f>
        <v>157122.96000000002</v>
      </c>
    </row>
    <row r="18" spans="1:14" x14ac:dyDescent="0.35">
      <c r="A18" s="3" t="s">
        <v>878</v>
      </c>
      <c r="E18" s="432">
        <f>'9A.)HL_RedesignRateSummary'!D13</f>
        <v>3.74</v>
      </c>
      <c r="F18" s="233">
        <f>(E18*8+E21*4)/12</f>
        <v>8.4066666666666681</v>
      </c>
      <c r="G18" s="342">
        <f>L133</f>
        <v>4.54</v>
      </c>
      <c r="H18" s="233">
        <f>(G18*8+G21*4)/12</f>
        <v>9.2066666666666652</v>
      </c>
      <c r="I18" s="190"/>
      <c r="J18" s="3" t="str">
        <f>CONCATENATE($A$2,"(RA)kW pd 1 HT")</f>
        <v>SC8(RA)kW pd 1 HT</v>
      </c>
      <c r="K18" s="206">
        <f>IF(ISNUMBER(VLOOKUP($J18,'[1]D2.)BillingDeterminants(TOD)'!$A$5:$K$171,4,0)),VLOOKUP($J18,'[1]D2.)BillingDeterminants(TOD)'!$A$5:$K$171,4,0),0)</f>
        <v>0</v>
      </c>
      <c r="L18" s="206">
        <f>IF(ISNUMBER(VLOOKUP($J18,'[1]D2.)BillingDeterminants(TOD)'!$A$5:$K$171,5,0)),VLOOKUP($J18,'[1]D2.)BillingDeterminants(TOD)'!$A$5:$K$171,5,0),0)</f>
        <v>0</v>
      </c>
      <c r="M18" s="206">
        <f t="shared" ref="M18:M27" si="1">K7+K18</f>
        <v>0</v>
      </c>
      <c r="N18" s="206">
        <f t="shared" si="0"/>
        <v>0</v>
      </c>
    </row>
    <row r="19" spans="1:14" x14ac:dyDescent="0.35">
      <c r="A19" s="3" t="s">
        <v>879</v>
      </c>
      <c r="E19" s="432">
        <f>'9A.)HL_RedesignRateSummary'!D14</f>
        <v>9.06</v>
      </c>
      <c r="F19" s="233"/>
      <c r="G19" s="342">
        <f>K131</f>
        <v>9.06</v>
      </c>
      <c r="H19" s="233"/>
      <c r="I19" s="190" t="s">
        <v>197</v>
      </c>
      <c r="J19" s="3" t="str">
        <f>CONCATENATE($A$2,"(RA)kW pd 2 LT")</f>
        <v>SC8(RA)kW pd 2 LT</v>
      </c>
      <c r="K19" s="206">
        <f>IF(ISNUMBER(VLOOKUP($J19,'[1]D2.)BillingDeterminants(TOD)'!$A$5:$K$171,4,0)),VLOOKUP($J19,'[1]D2.)BillingDeterminants(TOD)'!$A$5:$K$171,4,0),0)</f>
        <v>117827.29999999999</v>
      </c>
      <c r="L19" s="206">
        <f>IF(ISNUMBER(VLOOKUP($J19,'[1]D2.)BillingDeterminants(TOD)'!$A$5:$K$171,5,0)),VLOOKUP($J19,'[1]D2.)BillingDeterminants(TOD)'!$A$5:$K$171,5,0),0)</f>
        <v>158224.50999999995</v>
      </c>
      <c r="M19" s="206">
        <f t="shared" si="1"/>
        <v>125362.57999999999</v>
      </c>
      <c r="N19" s="206">
        <f t="shared" si="0"/>
        <v>167172.66999999995</v>
      </c>
    </row>
    <row r="20" spans="1:14" x14ac:dyDescent="0.35">
      <c r="A20" s="3" t="s">
        <v>880</v>
      </c>
      <c r="E20" s="432">
        <f>'9A.)HL_RedesignRateSummary'!D15</f>
        <v>21.84</v>
      </c>
      <c r="F20" s="233"/>
      <c r="G20" s="342">
        <f>K132</f>
        <v>21.03</v>
      </c>
      <c r="H20" s="233"/>
      <c r="I20" s="190"/>
      <c r="J20" s="3" t="str">
        <f>CONCATENATE($A$2,"(RA)kW pd 2 HT")</f>
        <v>SC8(RA)kW pd 2 HT</v>
      </c>
      <c r="K20" s="206">
        <f>IF(ISNUMBER(VLOOKUP($J20,'[1]D2.)BillingDeterminants(TOD)'!$A$5:$K$171,4,0)),VLOOKUP($J20,'[1]D2.)BillingDeterminants(TOD)'!$A$5:$K$171,4,0),0)</f>
        <v>0</v>
      </c>
      <c r="L20" s="206">
        <f>IF(ISNUMBER(VLOOKUP($J20,'[1]D2.)BillingDeterminants(TOD)'!$A$5:$K$171,5,0)),VLOOKUP($J20,'[1]D2.)BillingDeterminants(TOD)'!$A$5:$K$171,5,0),0)</f>
        <v>0</v>
      </c>
      <c r="M20" s="206">
        <f t="shared" si="1"/>
        <v>0</v>
      </c>
      <c r="N20" s="206">
        <f t="shared" si="0"/>
        <v>0</v>
      </c>
    </row>
    <row r="21" spans="1:14" x14ac:dyDescent="0.35">
      <c r="A21" s="3" t="s">
        <v>881</v>
      </c>
      <c r="E21" s="430">
        <f>'9A.)HL_RedesignRateSummary'!D16</f>
        <v>17.740000000000002</v>
      </c>
      <c r="F21" s="233"/>
      <c r="G21" s="343">
        <f>K133</f>
        <v>18.54</v>
      </c>
      <c r="H21" s="233"/>
      <c r="I21" s="190" t="s">
        <v>198</v>
      </c>
      <c r="J21" s="3" t="str">
        <f>CONCATENATE($A$2,"(RA)kW Secondary")</f>
        <v>SC8(RA)kW Secondary</v>
      </c>
      <c r="K21" s="206">
        <f>IF(ISNUMBER(VLOOKUP($J21,'[1]D2.)BillingDeterminants(TOD)'!$A$5:$K$171,4,0)),VLOOKUP($J21,'[1]D2.)BillingDeterminants(TOD)'!$A$5:$K$171,4,0),0)</f>
        <v>118125.09999999999</v>
      </c>
      <c r="L21" s="206">
        <f>IF(ISNUMBER(VLOOKUP($J21,'[1]D2.)BillingDeterminants(TOD)'!$A$5:$K$171,5,0)),VLOOKUP($J21,'[1]D2.)BillingDeterminants(TOD)'!$A$5:$K$171,5,0),0)</f>
        <v>159298.60000000003</v>
      </c>
      <c r="M21" s="206">
        <f t="shared" si="1"/>
        <v>125660.2</v>
      </c>
      <c r="N21" s="206">
        <f t="shared" si="0"/>
        <v>168411.10000000003</v>
      </c>
    </row>
    <row r="22" spans="1:14" x14ac:dyDescent="0.35">
      <c r="F22" s="1070">
        <f>(F16+F17)/(F16+F17+F18)</f>
        <v>0.71366939146230701</v>
      </c>
      <c r="H22" s="1070">
        <f>(H16+H17)/(H16+H17+H18)</f>
        <v>0.68631459398069283</v>
      </c>
      <c r="J22" s="3" t="str">
        <f>CONCATENATE($A$2,"(RA)kWh LT")</f>
        <v>SC8(RA)kWh LT</v>
      </c>
      <c r="K22" s="206">
        <f>IF(ISNUMBER(VLOOKUP($J22,'[1]D2.)BillingDeterminants(TOD)'!$A$5:$K$171,4,0)),VLOOKUP($J22,'[1]D2.)BillingDeterminants(TOD)'!$A$5:$K$171,4,0),0)</f>
        <v>51642160</v>
      </c>
      <c r="L22" s="206">
        <f>IF(ISNUMBER(VLOOKUP($J22,'[1]D2.)BillingDeterminants(TOD)'!$A$5:$K$171,5,0)),VLOOKUP($J22,'[1]D2.)BillingDeterminants(TOD)'!$A$5:$K$171,5,0),0)</f>
        <v>77660080</v>
      </c>
      <c r="M22" s="206">
        <f t="shared" si="1"/>
        <v>54720960</v>
      </c>
      <c r="N22" s="206">
        <f t="shared" si="0"/>
        <v>81654480</v>
      </c>
    </row>
    <row r="23" spans="1:14" x14ac:dyDescent="0.35">
      <c r="A23" s="17" t="s">
        <v>139</v>
      </c>
      <c r="C23" s="17"/>
      <c r="E23" s="689">
        <f>HLOOKUP($E$3,'[1]A1.)RatesInput'!$D$63:$J$83,'[1]A1.)RatesInput'!$A$80,0)</f>
        <v>1.01108</v>
      </c>
      <c r="J23" s="3" t="str">
        <f>CONCATENATE($A$2,"(RA)kWh HT")</f>
        <v>SC8(RA)kWh HT</v>
      </c>
      <c r="K23" s="206">
        <f>IF(ISNUMBER(VLOOKUP($J23,'[1]D2.)BillingDeterminants(TOD)'!$A$5:$K$171,4,0)),VLOOKUP($J23,'[1]D2.)BillingDeterminants(TOD)'!$A$5:$K$171,4,0),0)</f>
        <v>0</v>
      </c>
      <c r="L23" s="206">
        <f>IF(ISNUMBER(VLOOKUP($J23,'[1]D2.)BillingDeterminants(TOD)'!$A$5:$K$171,5,0)),VLOOKUP($J23,'[1]D2.)BillingDeterminants(TOD)'!$A$5:$K$171,5,0),0)</f>
        <v>0</v>
      </c>
      <c r="M23" s="206">
        <f t="shared" si="1"/>
        <v>0</v>
      </c>
      <c r="N23" s="206">
        <f t="shared" si="0"/>
        <v>0</v>
      </c>
    </row>
    <row r="24" spans="1:14" x14ac:dyDescent="0.35">
      <c r="A24" s="17" t="s">
        <v>137</v>
      </c>
      <c r="C24" s="17"/>
      <c r="E24" s="689">
        <f>HLOOKUP($E$3,'[1]A1.)RatesInput'!$D$63:$J$83,'[1]A1.)RatesInput'!$A$81,0)</f>
        <v>1.0119199999999999</v>
      </c>
      <c r="J24" s="3" t="str">
        <f>CONCATENATE($A$2,"(RA)kWh OnPk LT")</f>
        <v>SC8(RA)kWh OnPk LT</v>
      </c>
      <c r="K24" s="206">
        <f>IF(ISNUMBER(VLOOKUP($J24,'[1]D2.)BillingDeterminants(TOD)'!$A$5:$K$171,4,0)),VLOOKUP($J24,'[1]D2.)BillingDeterminants(TOD)'!$A$5:$K$171,4,0),0)</f>
        <v>22889051</v>
      </c>
      <c r="L24" s="206">
        <f>IF(ISNUMBER(VLOOKUP($J24,'[1]D2.)BillingDeterminants(TOD)'!$A$5:$K$171,5,0)),VLOOKUP($J24,'[1]D2.)BillingDeterminants(TOD)'!$A$5:$K$171,5,0),0)</f>
        <v>34699946</v>
      </c>
      <c r="M24" s="206">
        <f t="shared" si="1"/>
        <v>24244884</v>
      </c>
      <c r="N24" s="206">
        <f t="shared" si="0"/>
        <v>36455816</v>
      </c>
    </row>
    <row r="25" spans="1:14" x14ac:dyDescent="0.35">
      <c r="A25" s="17" t="s">
        <v>136</v>
      </c>
      <c r="C25" s="17"/>
      <c r="E25" s="689">
        <f>HLOOKUP($E$3,'[1]A1.)RatesInput'!$D$63:$J$83,'[1]A1.)RatesInput'!$A$82,0)</f>
        <v>1.01067</v>
      </c>
      <c r="J25" s="3" t="str">
        <f>CONCATENATE($A$2,"(RA)kWh OnPk HT")</f>
        <v>SC8(RA)kWh OnPk HT</v>
      </c>
      <c r="K25" s="206">
        <f>IF(ISNUMBER(VLOOKUP($J25,'[1]D2.)BillingDeterminants(TOD)'!$A$5:$K$171,4,0)),VLOOKUP($J25,'[1]D2.)BillingDeterminants(TOD)'!$A$5:$K$171,4,0),0)</f>
        <v>0</v>
      </c>
      <c r="L25" s="206">
        <f>IF(ISNUMBER(VLOOKUP($J25,'[1]D2.)BillingDeterminants(TOD)'!$A$5:$K$171,5,0)),VLOOKUP($J25,'[1]D2.)BillingDeterminants(TOD)'!$A$5:$K$171,5,0),0)</f>
        <v>0</v>
      </c>
      <c r="M25" s="206">
        <f t="shared" si="1"/>
        <v>0</v>
      </c>
      <c r="N25" s="206">
        <f t="shared" si="0"/>
        <v>0</v>
      </c>
    </row>
    <row r="26" spans="1:14" x14ac:dyDescent="0.35">
      <c r="J26" s="3" t="str">
        <f>CONCATENATE($A$2,"(RA)kWh OffPk LT")</f>
        <v>SC8(RA)kWh OffPk LT</v>
      </c>
      <c r="K26" s="206">
        <f>IF(ISNUMBER(VLOOKUP($J26,'[1]D2.)BillingDeterminants(TOD)'!$A$5:$K$171,4,0)),VLOOKUP($J26,'[1]D2.)BillingDeterminants(TOD)'!$A$5:$K$171,4,0),0)</f>
        <v>28753109</v>
      </c>
      <c r="L26" s="206">
        <f>IF(ISNUMBER(VLOOKUP($J26,'[1]D2.)BillingDeterminants(TOD)'!$A$5:$K$171,5,0)),VLOOKUP($J26,'[1]D2.)BillingDeterminants(TOD)'!$A$5:$K$171,5,0),0)</f>
        <v>42960134</v>
      </c>
      <c r="M26" s="206">
        <f t="shared" si="1"/>
        <v>30476076</v>
      </c>
      <c r="N26" s="206">
        <f t="shared" si="0"/>
        <v>45198664</v>
      </c>
    </row>
    <row r="27" spans="1:14" x14ac:dyDescent="0.35">
      <c r="A27" s="3" t="s">
        <v>200</v>
      </c>
      <c r="E27" s="245">
        <f>'[2]4D-3.)HY_TODLRatePxOut(SC8)'!$W$22+'[2]4D-3.)HY_TODLRatePxOut(SC8)'!$W$42</f>
        <v>9337589</v>
      </c>
      <c r="F27" s="581"/>
      <c r="J27" s="3" t="str">
        <f>CONCATENATE($A$2,"(RA)kWh OffPk HT")</f>
        <v>SC8(RA)kWh OffPk HT</v>
      </c>
      <c r="K27" s="207">
        <f>IF(ISNUMBER(VLOOKUP($J27,'[1]D2.)BillingDeterminants(TOD)'!$A$5:$K$171,4,0)),VLOOKUP($J27,'[1]D2.)BillingDeterminants(TOD)'!$A$5:$K$171,4,0),0)</f>
        <v>0</v>
      </c>
      <c r="L27" s="207">
        <f>IF(ISNUMBER(VLOOKUP($J27,'[1]D2.)BillingDeterminants(TOD)'!$A$5:$K$171,5,0)),VLOOKUP($J27,'[1]D2.)BillingDeterminants(TOD)'!$A$5:$K$171,5,0),0)</f>
        <v>0</v>
      </c>
      <c r="M27" s="207">
        <f t="shared" si="1"/>
        <v>0</v>
      </c>
      <c r="N27" s="207">
        <f t="shared" si="0"/>
        <v>0</v>
      </c>
    </row>
    <row r="28" spans="1:14" x14ac:dyDescent="0.35">
      <c r="A28" s="3" t="s">
        <v>201</v>
      </c>
      <c r="E28" s="245">
        <f>'[2]4D-3.)HY_TODLRatePxOut(SC8)'!$W$21+'[2]4D-3.)HY_TODLRatePxOut(SC8)'!$W$41</f>
        <v>2859070</v>
      </c>
      <c r="F28" s="581"/>
      <c r="K28" s="218"/>
      <c r="L28" s="218"/>
    </row>
    <row r="29" spans="1:14" x14ac:dyDescent="0.35">
      <c r="A29" s="3" t="s">
        <v>247</v>
      </c>
      <c r="E29" s="245">
        <f>'[2]4D-3.)HY_TODLRatePxOut(SC8)'!$Y$44</f>
        <v>9444767</v>
      </c>
      <c r="K29" s="218"/>
      <c r="L29" s="218"/>
    </row>
    <row r="30" spans="1:14" x14ac:dyDescent="0.35">
      <c r="K30" s="218"/>
      <c r="L30" s="218"/>
    </row>
    <row r="31" spans="1:14" x14ac:dyDescent="0.35">
      <c r="K31" s="218"/>
      <c r="L31" s="218"/>
    </row>
    <row r="32" spans="1:14" s="88" customFormat="1" x14ac:dyDescent="0.35"/>
    <row r="33" spans="1:16" x14ac:dyDescent="0.35">
      <c r="A33" s="70" t="str">
        <f>'9F.)HL_RedgnRate_SC5_II'!$A$33</f>
        <v>Development of High Tension / Low Tension Differentials to be used in Revenue Neutral Rate Redesign - 3/3</v>
      </c>
      <c r="I33" s="100" t="s">
        <v>296</v>
      </c>
      <c r="J33" s="808">
        <f>'9A.)HL_RedesignRateSummary'!$F$4</f>
        <v>2019</v>
      </c>
    </row>
    <row r="34" spans="1:16" x14ac:dyDescent="0.35">
      <c r="A34" s="197" t="str">
        <f>$A$2</f>
        <v>SC8</v>
      </c>
      <c r="I34" s="100" t="s">
        <v>297</v>
      </c>
      <c r="J34" s="808">
        <f>'9A.)HL_RedesignRateSummary'!$F$5</f>
        <v>2017</v>
      </c>
    </row>
    <row r="35" spans="1:16" ht="15" thickBot="1" x14ac:dyDescent="0.4">
      <c r="A35" s="197" t="str">
        <f>$A$3</f>
        <v>Rate II</v>
      </c>
      <c r="B35" s="198"/>
      <c r="I35" s="100" t="s">
        <v>2150</v>
      </c>
      <c r="J35" s="808">
        <f>'9A.)HL_RedesignRateSummary'!$F$3</f>
        <v>2020</v>
      </c>
      <c r="K35" s="3" t="str">
        <f>'9A.)HL_RedesignRateSummary'!$G$3</f>
        <v>RY1</v>
      </c>
    </row>
    <row r="36" spans="1:16" ht="15.5" thickTop="1" thickBot="1" x14ac:dyDescent="0.4">
      <c r="A36" s="199">
        <f>$E$3</f>
        <v>2017</v>
      </c>
      <c r="B36" s="1316" t="s">
        <v>168</v>
      </c>
      <c r="C36" s="1317"/>
      <c r="D36" s="1317"/>
      <c r="E36" s="1317"/>
      <c r="F36" s="1317"/>
      <c r="G36" s="1318"/>
      <c r="I36" s="1316" t="s">
        <v>169</v>
      </c>
      <c r="J36" s="1317"/>
      <c r="K36" s="1317"/>
      <c r="L36" s="1318"/>
    </row>
    <row r="37" spans="1:16" ht="15" thickTop="1" x14ac:dyDescent="0.35">
      <c r="B37" s="1340" t="s">
        <v>171</v>
      </c>
      <c r="C37" s="1340"/>
      <c r="E37" s="30" t="s">
        <v>173</v>
      </c>
      <c r="F37" s="219"/>
      <c r="G37" s="30" t="s">
        <v>174</v>
      </c>
      <c r="I37" s="1340" t="s">
        <v>176</v>
      </c>
      <c r="J37" s="1340"/>
      <c r="K37" s="30" t="s">
        <v>173</v>
      </c>
      <c r="L37" s="30" t="s">
        <v>174</v>
      </c>
      <c r="M37" s="30" t="s">
        <v>1</v>
      </c>
    </row>
    <row r="38" spans="1:16" x14ac:dyDescent="0.35">
      <c r="B38" s="118" t="s">
        <v>8</v>
      </c>
      <c r="C38" s="118" t="s">
        <v>9</v>
      </c>
      <c r="E38" s="30" t="s">
        <v>172</v>
      </c>
      <c r="F38" s="219"/>
      <c r="G38" s="30" t="s">
        <v>175</v>
      </c>
      <c r="I38" s="118" t="s">
        <v>8</v>
      </c>
      <c r="J38" s="118" t="s">
        <v>9</v>
      </c>
      <c r="K38" s="30" t="s">
        <v>172</v>
      </c>
      <c r="L38" s="30" t="s">
        <v>175</v>
      </c>
    </row>
    <row r="39" spans="1:16" x14ac:dyDescent="0.35">
      <c r="B39" s="200" t="s">
        <v>79</v>
      </c>
      <c r="C39" s="200" t="s">
        <v>78</v>
      </c>
      <c r="E39" s="200" t="s">
        <v>181</v>
      </c>
      <c r="F39" s="234"/>
      <c r="G39" s="200" t="s">
        <v>180</v>
      </c>
      <c r="I39" s="200" t="s">
        <v>177</v>
      </c>
      <c r="J39" s="200" t="s">
        <v>178</v>
      </c>
      <c r="K39" s="200" t="s">
        <v>179</v>
      </c>
      <c r="L39" s="200" t="s">
        <v>182</v>
      </c>
      <c r="M39" s="200" t="s">
        <v>183</v>
      </c>
    </row>
    <row r="40" spans="1:16" x14ac:dyDescent="0.35">
      <c r="A40" s="3" t="str">
        <f>CONCATENATE($A$2," TOD")</f>
        <v>SC8 TOD</v>
      </c>
      <c r="B40" s="27">
        <f>E9</f>
        <v>26.05</v>
      </c>
      <c r="C40" s="27">
        <f>E7</f>
        <v>37.99</v>
      </c>
      <c r="E40" s="35">
        <f>C40-B40</f>
        <v>11.940000000000001</v>
      </c>
      <c r="F40" s="228"/>
      <c r="G40" s="202">
        <f>B40/C40</f>
        <v>0.68570676493814164</v>
      </c>
      <c r="I40" s="27">
        <f>E13</f>
        <v>20.95</v>
      </c>
      <c r="J40" s="270">
        <f>E11</f>
        <v>29.36</v>
      </c>
      <c r="K40" s="35">
        <f>J40-I40</f>
        <v>8.41</v>
      </c>
      <c r="L40" s="202">
        <f>ROUND(I40/J40,2)</f>
        <v>0.71</v>
      </c>
      <c r="M40" s="201">
        <f>L40-G40</f>
        <v>2.429323506185832E-2</v>
      </c>
    </row>
    <row r="42" spans="1:16" x14ac:dyDescent="0.35">
      <c r="A42" s="199"/>
    </row>
    <row r="43" spans="1:16" x14ac:dyDescent="0.35">
      <c r="A43" s="70" t="s">
        <v>184</v>
      </c>
      <c r="H43" s="33" t="s">
        <v>520</v>
      </c>
      <c r="I43" s="40">
        <f>'9C.)HL_RedgnRate_SC5_I'!$K$46</f>
        <v>3</v>
      </c>
      <c r="J43" s="136" t="s">
        <v>165</v>
      </c>
      <c r="P43" s="284"/>
    </row>
    <row r="44" spans="1:16" ht="15" thickBot="1" x14ac:dyDescent="0.4">
      <c r="G44" s="30"/>
      <c r="H44" s="33" t="s">
        <v>294</v>
      </c>
      <c r="I44" s="40">
        <f>'9C.)HL_RedgnRate_SC5_I'!$K$47</f>
        <v>3</v>
      </c>
      <c r="J44" s="136" t="s">
        <v>166</v>
      </c>
      <c r="P44" s="284"/>
    </row>
    <row r="45" spans="1:16" ht="15" thickTop="1" x14ac:dyDescent="0.35">
      <c r="C45" s="1327" t="s">
        <v>293</v>
      </c>
      <c r="E45" s="266" t="s">
        <v>293</v>
      </c>
      <c r="G45" s="1327" t="s">
        <v>168</v>
      </c>
      <c r="I45" s="266" t="s">
        <v>190</v>
      </c>
    </row>
    <row r="46" spans="1:16" s="30" customFormat="1" ht="15" thickBot="1" x14ac:dyDescent="0.4">
      <c r="C46" s="1328"/>
      <c r="E46" s="267" t="s">
        <v>187</v>
      </c>
      <c r="F46" s="219"/>
      <c r="G46" s="1328"/>
      <c r="I46" s="267" t="s">
        <v>191</v>
      </c>
    </row>
    <row r="47" spans="1:16" s="30" customFormat="1" ht="15" thickTop="1" x14ac:dyDescent="0.35">
      <c r="B47" s="30" t="s">
        <v>25</v>
      </c>
      <c r="C47" s="30" t="s">
        <v>185</v>
      </c>
      <c r="E47" s="30" t="s">
        <v>186</v>
      </c>
      <c r="F47" s="219"/>
      <c r="G47" s="30" t="s">
        <v>189</v>
      </c>
      <c r="I47" s="199" t="s">
        <v>295</v>
      </c>
    </row>
    <row r="48" spans="1:16" s="30" customFormat="1" x14ac:dyDescent="0.35">
      <c r="E48" s="30" t="s">
        <v>188</v>
      </c>
      <c r="F48" s="219"/>
    </row>
    <row r="49" spans="1:13" s="30" customFormat="1" ht="15" thickBot="1" x14ac:dyDescent="0.4">
      <c r="C49" s="200" t="s">
        <v>1583</v>
      </c>
      <c r="E49" s="200" t="s">
        <v>1778</v>
      </c>
      <c r="F49" s="234"/>
      <c r="G49" s="200" t="s">
        <v>1173</v>
      </c>
      <c r="I49" s="200" t="s">
        <v>2106</v>
      </c>
      <c r="L49" s="216" t="s">
        <v>214</v>
      </c>
    </row>
    <row r="50" spans="1:13" x14ac:dyDescent="0.35">
      <c r="K50" s="3" t="s">
        <v>193</v>
      </c>
      <c r="L50" s="590">
        <f>1-L51</f>
        <v>0.31000000000000005</v>
      </c>
      <c r="M50" s="136" t="s">
        <v>2105</v>
      </c>
    </row>
    <row r="51" spans="1:13" ht="15" thickBot="1" x14ac:dyDescent="0.4">
      <c r="A51" s="3" t="str">
        <f>CONCATENATE($A$2," TOD")</f>
        <v>SC8 TOD</v>
      </c>
      <c r="C51" s="203">
        <f>L40</f>
        <v>0.71</v>
      </c>
      <c r="E51" s="35">
        <f>K40</f>
        <v>8.41</v>
      </c>
      <c r="F51" s="228"/>
      <c r="G51" s="203">
        <f>G40</f>
        <v>0.68570676493814164</v>
      </c>
      <c r="I51" s="589">
        <f>ROUND(C51-ROUND((C51-G51)*(I43/I44),4),2)</f>
        <v>0.69</v>
      </c>
      <c r="K51" s="3" t="s">
        <v>194</v>
      </c>
      <c r="L51" s="215">
        <f>I51</f>
        <v>0.69</v>
      </c>
      <c r="M51" s="136" t="s">
        <v>1111</v>
      </c>
    </row>
    <row r="52" spans="1:13" x14ac:dyDescent="0.35">
      <c r="I52" s="204"/>
    </row>
    <row r="54" spans="1:13" x14ac:dyDescent="0.35">
      <c r="A54" s="70" t="s">
        <v>192</v>
      </c>
    </row>
    <row r="55" spans="1:13" x14ac:dyDescent="0.35">
      <c r="A55" s="190" t="s">
        <v>210</v>
      </c>
    </row>
    <row r="56" spans="1:13" x14ac:dyDescent="0.35">
      <c r="A56" s="190"/>
    </row>
    <row r="57" spans="1:13" x14ac:dyDescent="0.35">
      <c r="A57" s="221" t="s">
        <v>221</v>
      </c>
    </row>
    <row r="58" spans="1:13" ht="15" thickBot="1" x14ac:dyDescent="0.4">
      <c r="G58" s="30" t="s">
        <v>207</v>
      </c>
    </row>
    <row r="59" spans="1:13" ht="15.5" thickTop="1" thickBot="1" x14ac:dyDescent="0.4">
      <c r="B59" s="1307" t="s">
        <v>203</v>
      </c>
      <c r="C59" s="1309"/>
      <c r="E59" s="30" t="s">
        <v>206</v>
      </c>
      <c r="F59" s="219"/>
      <c r="G59" s="30" t="s">
        <v>208</v>
      </c>
    </row>
    <row r="60" spans="1:13" ht="15" thickTop="1" x14ac:dyDescent="0.35">
      <c r="B60" s="30" t="s">
        <v>42</v>
      </c>
      <c r="C60" s="30" t="s">
        <v>40</v>
      </c>
      <c r="E60" s="30" t="s">
        <v>187</v>
      </c>
      <c r="F60" s="219"/>
      <c r="G60" s="30" t="s">
        <v>209</v>
      </c>
    </row>
    <row r="61" spans="1:13" x14ac:dyDescent="0.35">
      <c r="A61" s="3" t="s">
        <v>196</v>
      </c>
      <c r="B61" s="27">
        <f>$E$19</f>
        <v>9.06</v>
      </c>
      <c r="C61" s="27">
        <f>$E$16</f>
        <v>0</v>
      </c>
      <c r="D61" s="136" t="s">
        <v>165</v>
      </c>
      <c r="G61" s="208">
        <f>ROUND(B61*4/12,2)</f>
        <v>3.02</v>
      </c>
      <c r="H61" s="136" t="s">
        <v>2112</v>
      </c>
    </row>
    <row r="62" spans="1:13" ht="15" thickBot="1" x14ac:dyDescent="0.4">
      <c r="A62" s="3" t="s">
        <v>197</v>
      </c>
      <c r="B62" s="27">
        <f>$E$20</f>
        <v>21.84</v>
      </c>
      <c r="C62" s="27">
        <f>$E$17</f>
        <v>15.98</v>
      </c>
      <c r="D62" s="136" t="s">
        <v>2107</v>
      </c>
      <c r="E62" s="27">
        <f>ROUND(B62-C62,2)</f>
        <v>5.86</v>
      </c>
      <c r="F62" s="136" t="s">
        <v>2110</v>
      </c>
      <c r="G62" s="208">
        <f>ROUND((B62*4+C62*8)/12,2)</f>
        <v>17.93</v>
      </c>
      <c r="H62" s="136" t="s">
        <v>2113</v>
      </c>
      <c r="J62" s="216" t="s">
        <v>203</v>
      </c>
    </row>
    <row r="63" spans="1:13" x14ac:dyDescent="0.35">
      <c r="A63" s="3" t="s">
        <v>198</v>
      </c>
      <c r="B63" s="209">
        <f>$E$21</f>
        <v>17.740000000000002</v>
      </c>
      <c r="C63" s="209">
        <f>$E$18</f>
        <v>3.74</v>
      </c>
      <c r="D63" s="136" t="s">
        <v>2108</v>
      </c>
      <c r="E63" s="27">
        <f>ROUND(B63-C63,2)</f>
        <v>14</v>
      </c>
      <c r="F63" s="136" t="s">
        <v>2111</v>
      </c>
      <c r="G63" s="210">
        <f>ROUND((B63*4+C63*8)/12,2)</f>
        <v>8.41</v>
      </c>
      <c r="H63" s="136" t="s">
        <v>2114</v>
      </c>
      <c r="I63" s="33" t="s">
        <v>211</v>
      </c>
      <c r="J63" s="588">
        <f>ROUND(G63/G64,4)</f>
        <v>0.28639999999999999</v>
      </c>
      <c r="K63" s="136" t="s">
        <v>2117</v>
      </c>
    </row>
    <row r="64" spans="1:13" ht="15" thickBot="1" x14ac:dyDescent="0.4">
      <c r="A64" s="3" t="s">
        <v>205</v>
      </c>
      <c r="B64" s="27">
        <f>SUM(B61:B63)</f>
        <v>48.64</v>
      </c>
      <c r="C64" s="27">
        <f>SUM(C61:C63)</f>
        <v>19.72</v>
      </c>
      <c r="D64" s="136" t="s">
        <v>2109</v>
      </c>
      <c r="G64" s="27">
        <f>SUM(G61:G63)</f>
        <v>29.36</v>
      </c>
      <c r="H64" s="136" t="s">
        <v>2115</v>
      </c>
      <c r="I64" s="33" t="s">
        <v>212</v>
      </c>
      <c r="J64" s="213">
        <f>1-J63</f>
        <v>0.71360000000000001</v>
      </c>
      <c r="K64" s="136" t="s">
        <v>2118</v>
      </c>
    </row>
    <row r="65" spans="1:8" x14ac:dyDescent="0.35">
      <c r="H65" s="200"/>
    </row>
    <row r="68" spans="1:8" x14ac:dyDescent="0.35">
      <c r="A68" s="3" t="s">
        <v>200</v>
      </c>
      <c r="G68" s="245">
        <f>E27</f>
        <v>9337589</v>
      </c>
      <c r="H68" s="136" t="s">
        <v>109</v>
      </c>
    </row>
    <row r="69" spans="1:8" ht="15" thickBot="1" x14ac:dyDescent="0.4">
      <c r="A69" s="3" t="s">
        <v>201</v>
      </c>
      <c r="G69" s="245">
        <f>E28</f>
        <v>2859070</v>
      </c>
      <c r="H69" s="136" t="s">
        <v>108</v>
      </c>
    </row>
    <row r="70" spans="1:8" ht="15.5" thickTop="1" thickBot="1" x14ac:dyDescent="0.4">
      <c r="A70" s="3" t="s">
        <v>199</v>
      </c>
      <c r="G70" s="591">
        <f>G69/J63*L50</f>
        <v>3094663.7569832406</v>
      </c>
      <c r="H70" s="136" t="s">
        <v>2116</v>
      </c>
    </row>
    <row r="71" spans="1:8" ht="15" thickTop="1" x14ac:dyDescent="0.35"/>
    <row r="73" spans="1:8" x14ac:dyDescent="0.35">
      <c r="A73" s="2"/>
      <c r="B73" s="219" t="s">
        <v>42</v>
      </c>
      <c r="C73" s="219" t="s">
        <v>40</v>
      </c>
      <c r="D73" s="2"/>
      <c r="E73" s="2"/>
      <c r="G73" s="2"/>
    </row>
    <row r="74" spans="1:8" x14ac:dyDescent="0.35">
      <c r="A74" s="2" t="s">
        <v>196</v>
      </c>
      <c r="B74" s="72">
        <f>$M$17+$M$18</f>
        <v>118011.03</v>
      </c>
      <c r="C74" s="582">
        <f>$N$17+$N$18</f>
        <v>157122.96000000002</v>
      </c>
      <c r="D74" s="581"/>
      <c r="E74" s="2"/>
      <c r="G74" s="2"/>
    </row>
    <row r="75" spans="1:8" x14ac:dyDescent="0.35">
      <c r="A75" s="2" t="s">
        <v>197</v>
      </c>
      <c r="B75" s="72">
        <f>$M$19+$M$20</f>
        <v>125362.57999999999</v>
      </c>
      <c r="C75" s="72">
        <f>$N$19+$N$20</f>
        <v>167172.66999999995</v>
      </c>
      <c r="D75" s="581"/>
      <c r="E75" s="2"/>
      <c r="G75" s="2"/>
    </row>
    <row r="76" spans="1:8" x14ac:dyDescent="0.35">
      <c r="A76" s="2" t="s">
        <v>198</v>
      </c>
      <c r="B76" s="72">
        <f>$M$21</f>
        <v>125660.2</v>
      </c>
      <c r="C76" s="72">
        <f>$N$21</f>
        <v>168411.10000000003</v>
      </c>
      <c r="D76" s="2"/>
      <c r="E76" s="2"/>
      <c r="G76" s="2"/>
    </row>
    <row r="77" spans="1:8" x14ac:dyDescent="0.35">
      <c r="A77" s="2"/>
      <c r="B77" s="2"/>
      <c r="C77" s="2"/>
      <c r="D77" s="2"/>
      <c r="E77" s="2"/>
      <c r="G77" s="2"/>
    </row>
    <row r="78" spans="1:8" x14ac:dyDescent="0.35">
      <c r="A78" s="334" t="s">
        <v>1546</v>
      </c>
      <c r="B78" s="2"/>
      <c r="C78" s="2"/>
      <c r="D78" s="2"/>
      <c r="E78" s="2"/>
      <c r="G78" s="227">
        <f>E63</f>
        <v>14</v>
      </c>
      <c r="H78" s="136" t="s">
        <v>1556</v>
      </c>
    </row>
    <row r="79" spans="1:8" x14ac:dyDescent="0.35">
      <c r="A79" s="410"/>
      <c r="B79" s="2"/>
      <c r="C79" s="2"/>
      <c r="D79" s="2"/>
      <c r="E79" s="2"/>
      <c r="G79" s="2"/>
      <c r="H79" s="2"/>
    </row>
    <row r="80" spans="1:8" x14ac:dyDescent="0.35">
      <c r="A80" s="410"/>
      <c r="B80" s="2"/>
      <c r="C80" s="219" t="s">
        <v>25</v>
      </c>
      <c r="D80" s="219"/>
      <c r="E80" s="219"/>
      <c r="F80" s="219"/>
      <c r="G80" s="2"/>
      <c r="H80" s="2"/>
    </row>
    <row r="81" spans="1:8" x14ac:dyDescent="0.35">
      <c r="A81" s="410"/>
      <c r="B81" s="222" t="s">
        <v>215</v>
      </c>
      <c r="C81" s="224">
        <f>B76</f>
        <v>125660.2</v>
      </c>
      <c r="D81" s="2" t="s">
        <v>217</v>
      </c>
      <c r="E81" s="228">
        <f>G78</f>
        <v>14</v>
      </c>
      <c r="F81" s="228"/>
      <c r="G81" s="2"/>
      <c r="H81" s="136" t="s">
        <v>2119</v>
      </c>
    </row>
    <row r="82" spans="1:8" x14ac:dyDescent="0.35">
      <c r="A82" s="410"/>
      <c r="B82" s="222" t="s">
        <v>216</v>
      </c>
      <c r="C82" s="225">
        <f>C76</f>
        <v>168411.10000000003</v>
      </c>
      <c r="D82" s="2" t="s">
        <v>32</v>
      </c>
      <c r="E82" s="2"/>
      <c r="G82" s="2"/>
      <c r="H82" s="136" t="s">
        <v>2120</v>
      </c>
    </row>
    <row r="83" spans="1:8" x14ac:dyDescent="0.35">
      <c r="A83" s="410"/>
      <c r="C83" s="28">
        <f>C81+C82</f>
        <v>294071.30000000005</v>
      </c>
      <c r="D83" s="136" t="s">
        <v>1638</v>
      </c>
    </row>
    <row r="84" spans="1:8" x14ac:dyDescent="0.35">
      <c r="A84" s="410"/>
    </row>
    <row r="85" spans="1:8" x14ac:dyDescent="0.35">
      <c r="A85" s="410"/>
      <c r="B85" s="222" t="s">
        <v>218</v>
      </c>
      <c r="C85" s="34">
        <f>G70</f>
        <v>3094663.7569832406</v>
      </c>
      <c r="D85" s="226" t="s">
        <v>31</v>
      </c>
      <c r="E85" s="28">
        <f>C83</f>
        <v>294071.30000000005</v>
      </c>
      <c r="F85" s="2" t="s">
        <v>217</v>
      </c>
      <c r="G85" s="34">
        <f>ROUND(C81*E81,0)</f>
        <v>1759243</v>
      </c>
      <c r="H85" s="136" t="s">
        <v>2121</v>
      </c>
    </row>
    <row r="86" spans="1:8" x14ac:dyDescent="0.35">
      <c r="A86" s="410"/>
      <c r="C86" s="34">
        <f>C85-G85</f>
        <v>1335420.7569832406</v>
      </c>
      <c r="D86" s="226" t="s">
        <v>31</v>
      </c>
      <c r="E86" s="28">
        <f>E85</f>
        <v>294071.30000000005</v>
      </c>
      <c r="F86" s="2" t="s">
        <v>32</v>
      </c>
      <c r="H86" s="136" t="s">
        <v>2122</v>
      </c>
    </row>
    <row r="87" spans="1:8" x14ac:dyDescent="0.35">
      <c r="A87" s="410"/>
      <c r="B87" s="222" t="s">
        <v>219</v>
      </c>
      <c r="C87" s="222" t="s">
        <v>32</v>
      </c>
      <c r="D87" s="226" t="s">
        <v>31</v>
      </c>
      <c r="E87" s="229">
        <f>ROUND(C86/E86,2)</f>
        <v>4.54</v>
      </c>
      <c r="F87" s="228"/>
      <c r="H87" s="136" t="s">
        <v>2123</v>
      </c>
    </row>
    <row r="88" spans="1:8" x14ac:dyDescent="0.35">
      <c r="A88" s="410"/>
      <c r="B88" s="222" t="s">
        <v>220</v>
      </c>
      <c r="D88" s="226" t="s">
        <v>31</v>
      </c>
      <c r="E88" s="229">
        <f>E87+E81</f>
        <v>18.54</v>
      </c>
      <c r="F88" s="228"/>
      <c r="H88" s="136" t="s">
        <v>2124</v>
      </c>
    </row>
    <row r="89" spans="1:8" x14ac:dyDescent="0.35">
      <c r="A89" s="410"/>
    </row>
    <row r="90" spans="1:8" x14ac:dyDescent="0.35">
      <c r="A90" s="410"/>
    </row>
    <row r="91" spans="1:8" x14ac:dyDescent="0.35">
      <c r="A91" s="334" t="s">
        <v>1547</v>
      </c>
      <c r="G91" s="227">
        <f>B61</f>
        <v>9.06</v>
      </c>
      <c r="H91" s="136" t="s">
        <v>165</v>
      </c>
    </row>
    <row r="92" spans="1:8" x14ac:dyDescent="0.35">
      <c r="A92" s="410"/>
    </row>
    <row r="93" spans="1:8" x14ac:dyDescent="0.35">
      <c r="A93" s="410"/>
      <c r="B93" s="222" t="s">
        <v>224</v>
      </c>
      <c r="C93" s="28">
        <f>B74</f>
        <v>118011.03</v>
      </c>
      <c r="D93" s="3" t="s">
        <v>39</v>
      </c>
      <c r="E93" s="27">
        <f>G91</f>
        <v>9.06</v>
      </c>
      <c r="F93" s="226" t="s">
        <v>31</v>
      </c>
      <c r="G93" s="34">
        <f>ROUND(C93*E93,0)</f>
        <v>1069180</v>
      </c>
      <c r="H93" s="136" t="s">
        <v>2125</v>
      </c>
    </row>
    <row r="94" spans="1:8" x14ac:dyDescent="0.35">
      <c r="A94" s="410"/>
    </row>
    <row r="95" spans="1:8" x14ac:dyDescent="0.35">
      <c r="A95" s="410"/>
    </row>
    <row r="96" spans="1:8" x14ac:dyDescent="0.35">
      <c r="A96" s="334" t="s">
        <v>1548</v>
      </c>
      <c r="G96" s="227">
        <f>E62</f>
        <v>5.86</v>
      </c>
      <c r="H96" s="136" t="s">
        <v>1091</v>
      </c>
    </row>
    <row r="97" spans="1:8" x14ac:dyDescent="0.35">
      <c r="A97" s="410"/>
    </row>
    <row r="98" spans="1:8" x14ac:dyDescent="0.35">
      <c r="A98" s="410"/>
      <c r="B98" s="3" t="s">
        <v>225</v>
      </c>
      <c r="E98" s="26">
        <f>G68</f>
        <v>9337589</v>
      </c>
      <c r="F98" s="136" t="s">
        <v>109</v>
      </c>
    </row>
    <row r="99" spans="1:8" x14ac:dyDescent="0.35">
      <c r="A99" s="410"/>
      <c r="B99" s="3" t="s">
        <v>226</v>
      </c>
      <c r="E99" s="278">
        <f>G70</f>
        <v>3094663.7569832406</v>
      </c>
      <c r="F99" s="136" t="s">
        <v>1574</v>
      </c>
    </row>
    <row r="100" spans="1:8" x14ac:dyDescent="0.35">
      <c r="B100" s="3" t="s">
        <v>227</v>
      </c>
      <c r="E100" s="37">
        <f>G93</f>
        <v>1069180</v>
      </c>
      <c r="F100" s="136" t="s">
        <v>229</v>
      </c>
    </row>
    <row r="101" spans="1:8" x14ac:dyDescent="0.35">
      <c r="B101" s="3" t="s">
        <v>228</v>
      </c>
      <c r="E101" s="34">
        <f>E98-E99-E100</f>
        <v>5173745.2430167589</v>
      </c>
      <c r="F101" s="136" t="s">
        <v>2131</v>
      </c>
    </row>
    <row r="104" spans="1:8" x14ac:dyDescent="0.35">
      <c r="B104" s="222" t="s">
        <v>230</v>
      </c>
      <c r="C104" s="224">
        <f>B75</f>
        <v>125362.57999999999</v>
      </c>
      <c r="D104" s="2" t="s">
        <v>217</v>
      </c>
      <c r="E104" s="27">
        <f>G96</f>
        <v>5.86</v>
      </c>
      <c r="H104" s="136" t="s">
        <v>2126</v>
      </c>
    </row>
    <row r="105" spans="1:8" x14ac:dyDescent="0.35">
      <c r="B105" s="222" t="s">
        <v>231</v>
      </c>
      <c r="C105" s="225">
        <f>C75</f>
        <v>167172.66999999995</v>
      </c>
      <c r="D105" s="2" t="s">
        <v>32</v>
      </c>
      <c r="H105" s="136" t="s">
        <v>2120</v>
      </c>
    </row>
    <row r="106" spans="1:8" x14ac:dyDescent="0.35">
      <c r="C106" s="28">
        <f>C104+C105</f>
        <v>292535.24999999994</v>
      </c>
      <c r="D106" s="136" t="s">
        <v>1604</v>
      </c>
    </row>
    <row r="108" spans="1:8" x14ac:dyDescent="0.35">
      <c r="B108" s="222" t="s">
        <v>218</v>
      </c>
      <c r="C108" s="277">
        <f>E101</f>
        <v>5173745.2430167589</v>
      </c>
      <c r="D108" s="226" t="s">
        <v>31</v>
      </c>
      <c r="E108" s="28">
        <f>C106</f>
        <v>292535.24999999994</v>
      </c>
      <c r="F108" s="2" t="s">
        <v>217</v>
      </c>
      <c r="G108" s="34">
        <f>ROUND(C104*E104,0)</f>
        <v>734625</v>
      </c>
      <c r="H108" s="136" t="s">
        <v>2127</v>
      </c>
    </row>
    <row r="109" spans="1:8" x14ac:dyDescent="0.35">
      <c r="C109" s="34">
        <f>C108-G108</f>
        <v>4439120.2430167589</v>
      </c>
      <c r="D109" s="226" t="s">
        <v>31</v>
      </c>
      <c r="E109" s="28">
        <f>E108</f>
        <v>292535.24999999994</v>
      </c>
      <c r="F109" s="2" t="s">
        <v>32</v>
      </c>
      <c r="H109" s="136" t="s">
        <v>2128</v>
      </c>
    </row>
    <row r="110" spans="1:8" x14ac:dyDescent="0.35">
      <c r="B110" s="222" t="s">
        <v>232</v>
      </c>
      <c r="C110" s="222" t="s">
        <v>32</v>
      </c>
      <c r="D110" s="226" t="s">
        <v>31</v>
      </c>
      <c r="E110" s="229">
        <f>ROUND(C109/E109,2)</f>
        <v>15.17</v>
      </c>
      <c r="H110" s="136" t="s">
        <v>2129</v>
      </c>
    </row>
    <row r="111" spans="1:8" x14ac:dyDescent="0.35">
      <c r="B111" s="222" t="s">
        <v>233</v>
      </c>
      <c r="D111" s="226" t="s">
        <v>31</v>
      </c>
      <c r="E111" s="229">
        <f>E110+E104</f>
        <v>21.03</v>
      </c>
      <c r="H111" s="136" t="s">
        <v>2130</v>
      </c>
    </row>
    <row r="113" spans="1:16" ht="15" thickBot="1" x14ac:dyDescent="0.4">
      <c r="F113" s="3"/>
    </row>
    <row r="114" spans="1:16" ht="15" thickBot="1" x14ac:dyDescent="0.4">
      <c r="A114" s="60"/>
      <c r="B114" s="59"/>
      <c r="C114" s="59"/>
      <c r="D114" s="98"/>
      <c r="F114" s="3"/>
    </row>
    <row r="115" spans="1:16" ht="15.5" thickTop="1" thickBot="1" x14ac:dyDescent="0.4">
      <c r="A115" s="235" t="str">
        <f>$A$2</f>
        <v>SC8</v>
      </c>
      <c r="B115" s="1307" t="s">
        <v>235</v>
      </c>
      <c r="C115" s="1309"/>
      <c r="D115" s="94"/>
      <c r="F115" s="3"/>
    </row>
    <row r="116" spans="1:16" ht="15" thickTop="1" x14ac:dyDescent="0.35">
      <c r="A116" s="235" t="str">
        <f>$A$3</f>
        <v>Rate II</v>
      </c>
      <c r="B116" s="236" t="s">
        <v>42</v>
      </c>
      <c r="C116" s="236" t="s">
        <v>40</v>
      </c>
      <c r="D116" s="94"/>
      <c r="F116" s="3"/>
    </row>
    <row r="117" spans="1:16" x14ac:dyDescent="0.35">
      <c r="A117" s="96" t="s">
        <v>196</v>
      </c>
      <c r="B117" s="237">
        <f>B61</f>
        <v>9.06</v>
      </c>
      <c r="C117" s="237">
        <f>E72</f>
        <v>0</v>
      </c>
      <c r="D117" s="94"/>
      <c r="E117" s="136" t="s">
        <v>165</v>
      </c>
      <c r="F117" s="3"/>
    </row>
    <row r="118" spans="1:16" x14ac:dyDescent="0.35">
      <c r="A118" s="96" t="s">
        <v>197</v>
      </c>
      <c r="B118" s="237">
        <f>E111</f>
        <v>21.03</v>
      </c>
      <c r="C118" s="237">
        <f>E110</f>
        <v>15.17</v>
      </c>
      <c r="D118" s="94"/>
      <c r="E118" s="136" t="s">
        <v>1734</v>
      </c>
      <c r="F118" s="136" t="s">
        <v>1733</v>
      </c>
    </row>
    <row r="119" spans="1:16" x14ac:dyDescent="0.35">
      <c r="A119" s="96" t="s">
        <v>198</v>
      </c>
      <c r="B119" s="209">
        <f>E88</f>
        <v>18.54</v>
      </c>
      <c r="C119" s="209">
        <f>E87</f>
        <v>4.54</v>
      </c>
      <c r="D119" s="94"/>
      <c r="E119" s="136" t="s">
        <v>1640</v>
      </c>
      <c r="F119" s="136" t="s">
        <v>1639</v>
      </c>
    </row>
    <row r="120" spans="1:16" x14ac:dyDescent="0.35">
      <c r="A120" s="96" t="s">
        <v>205</v>
      </c>
      <c r="B120" s="237">
        <f>SUM(B117:B119)</f>
        <v>48.63</v>
      </c>
      <c r="C120" s="237">
        <f>SUM(C117:C119)</f>
        <v>19.71</v>
      </c>
      <c r="D120" s="94"/>
      <c r="E120" s="136" t="s">
        <v>2132</v>
      </c>
      <c r="F120" s="136" t="s">
        <v>2133</v>
      </c>
    </row>
    <row r="121" spans="1:16" ht="15" thickBot="1" x14ac:dyDescent="0.4">
      <c r="A121" s="93"/>
      <c r="B121" s="46"/>
      <c r="C121" s="46"/>
      <c r="D121" s="91"/>
      <c r="F121" s="3"/>
    </row>
    <row r="124" spans="1:16" s="88" customFormat="1" x14ac:dyDescent="0.35"/>
    <row r="125" spans="1:16" ht="18.5" x14ac:dyDescent="0.35">
      <c r="A125" s="238" t="s">
        <v>241</v>
      </c>
      <c r="F125" s="3"/>
    </row>
    <row r="126" spans="1:16" x14ac:dyDescent="0.35">
      <c r="F126" s="3"/>
    </row>
    <row r="127" spans="1:16" x14ac:dyDescent="0.35">
      <c r="F127" s="3"/>
    </row>
    <row r="128" spans="1:16" ht="15" thickBot="1" x14ac:dyDescent="0.4">
      <c r="G128" s="30" t="s">
        <v>207</v>
      </c>
      <c r="O128" s="2"/>
      <c r="P128" s="30" t="s">
        <v>207</v>
      </c>
    </row>
    <row r="129" spans="1:17" ht="15.5" thickTop="1" thickBot="1" x14ac:dyDescent="0.4">
      <c r="A129" s="239" t="str">
        <f>$A$2</f>
        <v>SC8</v>
      </c>
      <c r="B129" s="1307" t="s">
        <v>203</v>
      </c>
      <c r="C129" s="1309"/>
      <c r="E129" s="30" t="s">
        <v>206</v>
      </c>
      <c r="F129" s="219"/>
      <c r="G129" s="30" t="s">
        <v>208</v>
      </c>
      <c r="J129" s="239" t="str">
        <f>$A$2</f>
        <v>SC8</v>
      </c>
      <c r="K129" s="1307" t="s">
        <v>235</v>
      </c>
      <c r="L129" s="1309"/>
      <c r="N129" s="30" t="s">
        <v>206</v>
      </c>
      <c r="O129" s="219"/>
      <c r="P129" s="30" t="s">
        <v>208</v>
      </c>
    </row>
    <row r="130" spans="1:17" ht="15" thickTop="1" x14ac:dyDescent="0.35">
      <c r="A130" s="239" t="str">
        <f>$A$3</f>
        <v>Rate II</v>
      </c>
      <c r="B130" s="30" t="s">
        <v>42</v>
      </c>
      <c r="C130" s="30" t="s">
        <v>40</v>
      </c>
      <c r="E130" s="30" t="s">
        <v>187</v>
      </c>
      <c r="F130" s="219"/>
      <c r="G130" s="30" t="s">
        <v>209</v>
      </c>
      <c r="J130" s="239" t="str">
        <f>$A$3</f>
        <v>Rate II</v>
      </c>
      <c r="K130" s="30" t="s">
        <v>42</v>
      </c>
      <c r="L130" s="30" t="s">
        <v>40</v>
      </c>
      <c r="N130" s="30" t="s">
        <v>187</v>
      </c>
      <c r="O130" s="219"/>
      <c r="P130" s="30" t="s">
        <v>209</v>
      </c>
    </row>
    <row r="131" spans="1:17" x14ac:dyDescent="0.35">
      <c r="A131" s="3" t="s">
        <v>196</v>
      </c>
      <c r="B131" s="27">
        <f>B61</f>
        <v>9.06</v>
      </c>
      <c r="C131" s="27">
        <f t="shared" ref="C131:C133" si="2">C61</f>
        <v>0</v>
      </c>
      <c r="G131" s="208">
        <f>ROUND(B131*4/12,2)</f>
        <v>3.02</v>
      </c>
      <c r="J131" s="3" t="s">
        <v>196</v>
      </c>
      <c r="K131" s="27">
        <f>B117</f>
        <v>9.06</v>
      </c>
      <c r="L131" s="27">
        <f>C117</f>
        <v>0</v>
      </c>
      <c r="O131" s="2"/>
      <c r="P131" s="208">
        <f>ROUND(K131*4/12,2)</f>
        <v>3.02</v>
      </c>
    </row>
    <row r="132" spans="1:17" x14ac:dyDescent="0.35">
      <c r="A132" s="3" t="s">
        <v>197</v>
      </c>
      <c r="B132" s="27">
        <f t="shared" ref="B132" si="3">B62</f>
        <v>21.84</v>
      </c>
      <c r="C132" s="27">
        <f t="shared" si="2"/>
        <v>15.98</v>
      </c>
      <c r="E132" s="27">
        <f>ROUND(B132-C132,2)</f>
        <v>5.86</v>
      </c>
      <c r="F132" s="223"/>
      <c r="G132" s="208">
        <f>ROUND((B132*4+C132*8)/12,2)</f>
        <v>17.93</v>
      </c>
      <c r="J132" s="3" t="s">
        <v>197</v>
      </c>
      <c r="K132" s="27">
        <f t="shared" ref="K132:L133" si="4">B118</f>
        <v>21.03</v>
      </c>
      <c r="L132" s="27">
        <f t="shared" si="4"/>
        <v>15.17</v>
      </c>
      <c r="N132" s="27">
        <f>ROUND(K132-L132,2)</f>
        <v>5.86</v>
      </c>
      <c r="O132" s="223"/>
      <c r="P132" s="208">
        <f>ROUND((K132*4+L132*8)/12,2)</f>
        <v>17.12</v>
      </c>
    </row>
    <row r="133" spans="1:17" x14ac:dyDescent="0.35">
      <c r="A133" s="3" t="s">
        <v>198</v>
      </c>
      <c r="B133" s="27">
        <f t="shared" ref="B133" si="5">B63</f>
        <v>17.740000000000002</v>
      </c>
      <c r="C133" s="27">
        <f t="shared" si="2"/>
        <v>3.74</v>
      </c>
      <c r="E133" s="27">
        <f>ROUND(B133-C133,2)</f>
        <v>14</v>
      </c>
      <c r="F133" s="223"/>
      <c r="G133" s="210">
        <f>ROUND((B133*4+C133*8)/12,2)</f>
        <v>8.41</v>
      </c>
      <c r="J133" s="3" t="s">
        <v>198</v>
      </c>
      <c r="K133" s="27">
        <f t="shared" si="4"/>
        <v>18.54</v>
      </c>
      <c r="L133" s="27">
        <f t="shared" si="4"/>
        <v>4.54</v>
      </c>
      <c r="N133" s="27">
        <f>ROUND(K133-L133,2)</f>
        <v>14</v>
      </c>
      <c r="O133" s="223"/>
      <c r="P133" s="210">
        <f>ROUND((K133*4+L133*8)/12,2)</f>
        <v>9.2100000000000009</v>
      </c>
    </row>
    <row r="134" spans="1:17" x14ac:dyDescent="0.35">
      <c r="A134" s="3" t="s">
        <v>205</v>
      </c>
      <c r="B134" s="27">
        <f>SUM(B131:B133)</f>
        <v>48.64</v>
      </c>
      <c r="C134" s="27">
        <f>SUM(C131:C133)</f>
        <v>19.72</v>
      </c>
      <c r="G134" s="27">
        <f>SUM(G131:G133)</f>
        <v>29.36</v>
      </c>
      <c r="J134" s="3" t="s">
        <v>205</v>
      </c>
      <c r="K134" s="27">
        <f>SUM(K131:K133)</f>
        <v>48.63</v>
      </c>
      <c r="L134" s="27">
        <f>SUM(L131:L133)</f>
        <v>19.71</v>
      </c>
      <c r="O134" s="2"/>
      <c r="P134" s="27">
        <f>SUM(P131:P133)</f>
        <v>29.35</v>
      </c>
    </row>
    <row r="135" spans="1:17" x14ac:dyDescent="0.35">
      <c r="O135" s="2"/>
    </row>
    <row r="136" spans="1:17" x14ac:dyDescent="0.35">
      <c r="F136" s="33" t="s">
        <v>193</v>
      </c>
      <c r="G136" s="27">
        <f>G133</f>
        <v>8.41</v>
      </c>
      <c r="H136" s="240">
        <f>ROUND(G136/G137,4)</f>
        <v>0.28639999999999999</v>
      </c>
      <c r="O136" s="33" t="s">
        <v>193</v>
      </c>
      <c r="P136" s="27">
        <f>P133</f>
        <v>9.2100000000000009</v>
      </c>
      <c r="Q136" s="240">
        <f>ROUND(P136/P137,4)</f>
        <v>0.31380000000000002</v>
      </c>
    </row>
    <row r="137" spans="1:17" x14ac:dyDescent="0.35">
      <c r="F137" s="33" t="s">
        <v>194</v>
      </c>
      <c r="G137" s="27">
        <f>G134</f>
        <v>29.36</v>
      </c>
      <c r="H137" s="241">
        <f>1-H136</f>
        <v>0.71360000000000001</v>
      </c>
      <c r="O137" s="33" t="s">
        <v>194</v>
      </c>
      <c r="P137" s="27">
        <f>P134</f>
        <v>29.35</v>
      </c>
      <c r="Q137" s="241">
        <f>1-Q136</f>
        <v>0.68619999999999992</v>
      </c>
    </row>
    <row r="138" spans="1:17" ht="15" thickBot="1" x14ac:dyDescent="0.4">
      <c r="O138" s="2"/>
    </row>
    <row r="139" spans="1:17" ht="15.5" thickTop="1" thickBot="1" x14ac:dyDescent="0.4">
      <c r="B139" s="1307" t="s">
        <v>236</v>
      </c>
      <c r="C139" s="1309"/>
      <c r="K139" s="1307" t="s">
        <v>236</v>
      </c>
      <c r="L139" s="1309"/>
      <c r="O139" s="2"/>
    </row>
    <row r="140" spans="1:17" ht="15" thickTop="1" x14ac:dyDescent="0.35">
      <c r="A140" s="3" t="s">
        <v>196</v>
      </c>
      <c r="B140" s="35">
        <f>B131-$C$132</f>
        <v>-6.92</v>
      </c>
      <c r="J140" s="3" t="s">
        <v>196</v>
      </c>
      <c r="K140" s="35">
        <f>K131-$C$132</f>
        <v>-6.92</v>
      </c>
      <c r="O140" s="2"/>
    </row>
    <row r="141" spans="1:17" x14ac:dyDescent="0.35">
      <c r="A141" s="3" t="s">
        <v>197</v>
      </c>
      <c r="B141" s="35">
        <f>B132-$C$132</f>
        <v>5.8599999999999994</v>
      </c>
      <c r="C141" s="35">
        <f t="shared" ref="C141:C142" si="6">C132-$C$132</f>
        <v>0</v>
      </c>
      <c r="J141" s="3" t="s">
        <v>197</v>
      </c>
      <c r="K141" s="35">
        <f>K132-$C$132</f>
        <v>5.0500000000000007</v>
      </c>
      <c r="L141" s="35">
        <f t="shared" ref="L141:L142" si="7">L132-$C$132</f>
        <v>-0.8100000000000005</v>
      </c>
      <c r="O141" s="2"/>
    </row>
    <row r="142" spans="1:17" x14ac:dyDescent="0.35">
      <c r="A142" s="3" t="s">
        <v>198</v>
      </c>
      <c r="B142" s="35">
        <f>B133-$C$132</f>
        <v>1.7600000000000016</v>
      </c>
      <c r="C142" s="35">
        <f t="shared" si="6"/>
        <v>-12.24</v>
      </c>
      <c r="J142" s="3" t="s">
        <v>198</v>
      </c>
      <c r="K142" s="35">
        <f>K133-$C$132</f>
        <v>2.5599999999999987</v>
      </c>
      <c r="L142" s="35">
        <f t="shared" si="7"/>
        <v>-11.440000000000001</v>
      </c>
      <c r="O142" s="2"/>
    </row>
    <row r="143" spans="1:17" x14ac:dyDescent="0.35">
      <c r="O143" s="2"/>
    </row>
    <row r="144" spans="1:17" ht="15" thickBot="1" x14ac:dyDescent="0.4">
      <c r="F144" s="3"/>
    </row>
    <row r="145" spans="1:14" ht="15.5" thickTop="1" thickBot="1" x14ac:dyDescent="0.4">
      <c r="B145" s="1307" t="s">
        <v>25</v>
      </c>
      <c r="C145" s="1309"/>
      <c r="F145" s="3"/>
      <c r="K145" s="1307" t="s">
        <v>25</v>
      </c>
      <c r="L145" s="1309"/>
    </row>
    <row r="146" spans="1:14" ht="15" thickTop="1" x14ac:dyDescent="0.35">
      <c r="B146" s="30" t="s">
        <v>42</v>
      </c>
      <c r="C146" s="30" t="s">
        <v>40</v>
      </c>
      <c r="F146" s="3"/>
      <c r="K146" s="30" t="s">
        <v>42</v>
      </c>
      <c r="L146" s="30" t="s">
        <v>40</v>
      </c>
    </row>
    <row r="147" spans="1:14" x14ac:dyDescent="0.35">
      <c r="A147" s="3" t="s">
        <v>196</v>
      </c>
      <c r="B147" s="242">
        <f>B74</f>
        <v>118011.03</v>
      </c>
      <c r="C147" s="242">
        <f>C74</f>
        <v>157122.96000000002</v>
      </c>
      <c r="F147" s="3"/>
      <c r="J147" s="3" t="s">
        <v>196</v>
      </c>
      <c r="K147" s="242">
        <f>B147</f>
        <v>118011.03</v>
      </c>
      <c r="L147" s="242">
        <f t="shared" ref="L147:L149" si="8">C147</f>
        <v>157122.96000000002</v>
      </c>
    </row>
    <row r="148" spans="1:14" x14ac:dyDescent="0.35">
      <c r="A148" s="3" t="s">
        <v>197</v>
      </c>
      <c r="B148" s="242">
        <f t="shared" ref="B148:C149" si="9">B75</f>
        <v>125362.57999999999</v>
      </c>
      <c r="C148" s="242">
        <f t="shared" si="9"/>
        <v>167172.66999999995</v>
      </c>
      <c r="F148" s="3"/>
      <c r="J148" s="3" t="s">
        <v>197</v>
      </c>
      <c r="K148" s="242">
        <f t="shared" ref="K148:K149" si="10">B148</f>
        <v>125362.57999999999</v>
      </c>
      <c r="L148" s="242">
        <f t="shared" si="8"/>
        <v>167172.66999999995</v>
      </c>
    </row>
    <row r="149" spans="1:14" x14ac:dyDescent="0.35">
      <c r="A149" s="3" t="s">
        <v>198</v>
      </c>
      <c r="B149" s="242">
        <f t="shared" si="9"/>
        <v>125660.2</v>
      </c>
      <c r="C149" s="242">
        <f t="shared" si="9"/>
        <v>168411.10000000003</v>
      </c>
      <c r="F149" s="3"/>
      <c r="J149" s="3" t="s">
        <v>198</v>
      </c>
      <c r="K149" s="242">
        <f t="shared" si="10"/>
        <v>125660.2</v>
      </c>
      <c r="L149" s="242">
        <f t="shared" si="8"/>
        <v>168411.10000000003</v>
      </c>
    </row>
    <row r="150" spans="1:14" x14ac:dyDescent="0.35">
      <c r="B150" s="242"/>
      <c r="C150" s="242"/>
      <c r="F150" s="3"/>
      <c r="K150" s="242"/>
      <c r="L150" s="242"/>
    </row>
    <row r="151" spans="1:14" ht="15" thickBot="1" x14ac:dyDescent="0.4">
      <c r="F151" s="3"/>
    </row>
    <row r="152" spans="1:14" ht="15.5" thickTop="1" thickBot="1" x14ac:dyDescent="0.4">
      <c r="B152" s="1307" t="s">
        <v>239</v>
      </c>
      <c r="C152" s="1308"/>
      <c r="D152" s="1308"/>
      <c r="E152" s="1309"/>
      <c r="F152" s="3"/>
      <c r="K152" s="1307" t="s">
        <v>239</v>
      </c>
      <c r="L152" s="1308"/>
      <c r="M152" s="1308"/>
      <c r="N152" s="1309"/>
    </row>
    <row r="153" spans="1:14" ht="15" thickTop="1" x14ac:dyDescent="0.35">
      <c r="B153" s="30" t="s">
        <v>42</v>
      </c>
      <c r="C153" s="30" t="s">
        <v>40</v>
      </c>
      <c r="E153" s="30" t="s">
        <v>237</v>
      </c>
      <c r="F153" s="3"/>
      <c r="K153" s="30" t="s">
        <v>42</v>
      </c>
      <c r="L153" s="30" t="s">
        <v>40</v>
      </c>
      <c r="N153" s="30" t="s">
        <v>237</v>
      </c>
    </row>
    <row r="154" spans="1:14" x14ac:dyDescent="0.35">
      <c r="A154" s="3" t="s">
        <v>196</v>
      </c>
      <c r="B154" s="103">
        <f t="shared" ref="B154:C156" si="11">ROUND(B131*B147,0)</f>
        <v>1069180</v>
      </c>
      <c r="C154" s="103">
        <f t="shared" si="11"/>
        <v>0</v>
      </c>
      <c r="E154" s="34">
        <f>B154+C154</f>
        <v>1069180</v>
      </c>
      <c r="F154" s="3"/>
      <c r="J154" s="3" t="s">
        <v>196</v>
      </c>
      <c r="K154" s="103">
        <f t="shared" ref="K154:L156" si="12">ROUND(K131*K147,0)</f>
        <v>1069180</v>
      </c>
      <c r="L154" s="103">
        <f t="shared" si="12"/>
        <v>0</v>
      </c>
      <c r="N154" s="34">
        <f>K154+L154</f>
        <v>1069180</v>
      </c>
    </row>
    <row r="155" spans="1:14" x14ac:dyDescent="0.35">
      <c r="A155" s="3" t="s">
        <v>197</v>
      </c>
      <c r="B155" s="103">
        <f t="shared" si="11"/>
        <v>2737919</v>
      </c>
      <c r="C155" s="103">
        <f t="shared" si="11"/>
        <v>2671419</v>
      </c>
      <c r="E155" s="34">
        <f t="shared" ref="E155:E156" si="13">B155+C155</f>
        <v>5409338</v>
      </c>
      <c r="F155" s="3"/>
      <c r="J155" s="3" t="s">
        <v>197</v>
      </c>
      <c r="K155" s="103">
        <f t="shared" si="12"/>
        <v>2636375</v>
      </c>
      <c r="L155" s="103">
        <f t="shared" si="12"/>
        <v>2536009</v>
      </c>
      <c r="N155" s="34">
        <f t="shared" ref="N155:N156" si="14">K155+L155</f>
        <v>5172384</v>
      </c>
    </row>
    <row r="156" spans="1:14" ht="15" thickBot="1" x14ac:dyDescent="0.4">
      <c r="A156" s="3" t="s">
        <v>198</v>
      </c>
      <c r="B156" s="103">
        <f t="shared" si="11"/>
        <v>2229212</v>
      </c>
      <c r="C156" s="103">
        <f t="shared" si="11"/>
        <v>629858</v>
      </c>
      <c r="E156" s="34">
        <f t="shared" si="13"/>
        <v>2859070</v>
      </c>
      <c r="F156" s="3"/>
      <c r="J156" s="3" t="s">
        <v>198</v>
      </c>
      <c r="K156" s="103">
        <f t="shared" si="12"/>
        <v>2329740</v>
      </c>
      <c r="L156" s="103">
        <f t="shared" si="12"/>
        <v>764586</v>
      </c>
      <c r="N156" s="34">
        <f t="shared" si="14"/>
        <v>3094326</v>
      </c>
    </row>
    <row r="157" spans="1:14" ht="15.5" thickTop="1" thickBot="1" x14ac:dyDescent="0.4">
      <c r="A157" s="3" t="s">
        <v>205</v>
      </c>
      <c r="B157" s="243">
        <f>SUM(B154:B156)</f>
        <v>6036311</v>
      </c>
      <c r="C157" s="243">
        <f>SUM(C154:C156)</f>
        <v>3301277</v>
      </c>
      <c r="E157" s="243">
        <f>SUM(E154:E156)</f>
        <v>9337588</v>
      </c>
      <c r="F157" s="3"/>
      <c r="J157" s="3" t="s">
        <v>205</v>
      </c>
      <c r="K157" s="243">
        <f>SUM(K154:K156)</f>
        <v>6035295</v>
      </c>
      <c r="L157" s="243">
        <f>SUM(L154:L156)</f>
        <v>3300595</v>
      </c>
      <c r="N157" s="243">
        <f>SUM(N154:N156)</f>
        <v>9335890</v>
      </c>
    </row>
    <row r="158" spans="1:14" ht="15" thickTop="1" x14ac:dyDescent="0.35">
      <c r="F158" s="3"/>
    </row>
    <row r="159" spans="1:14" x14ac:dyDescent="0.35">
      <c r="A159" s="3" t="s">
        <v>238</v>
      </c>
      <c r="B159" s="3">
        <f>E24</f>
        <v>1.0119199999999999</v>
      </c>
      <c r="C159" s="3">
        <f>E25</f>
        <v>1.01067</v>
      </c>
      <c r="F159" s="3"/>
      <c r="J159" s="3" t="s">
        <v>238</v>
      </c>
      <c r="K159" s="3">
        <f>B159</f>
        <v>1.0119199999999999</v>
      </c>
      <c r="L159" s="3">
        <f>C159</f>
        <v>1.01067</v>
      </c>
    </row>
    <row r="160" spans="1:14" ht="15" thickBot="1" x14ac:dyDescent="0.4">
      <c r="F160" s="3"/>
    </row>
    <row r="161" spans="1:15" ht="15.5" thickTop="1" thickBot="1" x14ac:dyDescent="0.4">
      <c r="B161" s="1307" t="s">
        <v>240</v>
      </c>
      <c r="C161" s="1308"/>
      <c r="D161" s="1308"/>
      <c r="E161" s="1309"/>
      <c r="F161" s="3"/>
      <c r="K161" s="1307" t="s">
        <v>240</v>
      </c>
      <c r="L161" s="1308"/>
      <c r="M161" s="1308"/>
      <c r="N161" s="1309"/>
    </row>
    <row r="162" spans="1:15" ht="15" thickTop="1" x14ac:dyDescent="0.35">
      <c r="B162" s="30" t="s">
        <v>42</v>
      </c>
      <c r="C162" s="30" t="s">
        <v>40</v>
      </c>
      <c r="E162" s="30" t="s">
        <v>237</v>
      </c>
      <c r="F162" s="3"/>
      <c r="K162" s="30" t="s">
        <v>42</v>
      </c>
      <c r="L162" s="30" t="s">
        <v>40</v>
      </c>
      <c r="N162" s="30" t="s">
        <v>237</v>
      </c>
    </row>
    <row r="163" spans="1:15" x14ac:dyDescent="0.35">
      <c r="A163" s="3" t="s">
        <v>196</v>
      </c>
      <c r="B163" s="103">
        <f>ROUND(B154*$B$159,0)</f>
        <v>1081925</v>
      </c>
      <c r="C163" s="103">
        <f>ROUND(C154*$C$159,0)</f>
        <v>0</v>
      </c>
      <c r="E163" s="34">
        <f>B163+C163</f>
        <v>1081925</v>
      </c>
      <c r="F163" s="3"/>
      <c r="J163" s="3" t="s">
        <v>196</v>
      </c>
      <c r="K163" s="103">
        <f>ROUND(K154*$B$159,0)</f>
        <v>1081925</v>
      </c>
      <c r="L163" s="103">
        <f>ROUND(L154*$C$159,0)</f>
        <v>0</v>
      </c>
      <c r="N163" s="34">
        <f>K163+L163</f>
        <v>1081925</v>
      </c>
    </row>
    <row r="164" spans="1:15" x14ac:dyDescent="0.35">
      <c r="A164" s="3" t="s">
        <v>197</v>
      </c>
      <c r="B164" s="103">
        <f>ROUND(B155*$B$159,0)</f>
        <v>2770555</v>
      </c>
      <c r="C164" s="103">
        <f>ROUND(C155*$C$159,0)</f>
        <v>2699923</v>
      </c>
      <c r="E164" s="34">
        <f t="shared" ref="E164:E165" si="15">B164+C164</f>
        <v>5470478</v>
      </c>
      <c r="F164" s="3"/>
      <c r="J164" s="3" t="s">
        <v>197</v>
      </c>
      <c r="K164" s="103">
        <f>ROUND(K155*$B$159,0)</f>
        <v>2667801</v>
      </c>
      <c r="L164" s="103">
        <f>ROUND(L155*$C$159,0)</f>
        <v>2563068</v>
      </c>
      <c r="N164" s="34">
        <f t="shared" ref="N164:N165" si="16">K164+L164</f>
        <v>5230869</v>
      </c>
      <c r="O164" s="288"/>
    </row>
    <row r="165" spans="1:15" ht="15" thickBot="1" x14ac:dyDescent="0.4">
      <c r="A165" s="3" t="s">
        <v>198</v>
      </c>
      <c r="B165" s="103">
        <f>ROUND(B156*$B$159,0)</f>
        <v>2255784</v>
      </c>
      <c r="C165" s="103">
        <f>ROUND(C156*$C$159,0)</f>
        <v>636579</v>
      </c>
      <c r="E165" s="34">
        <f t="shared" si="15"/>
        <v>2892363</v>
      </c>
      <c r="F165" s="3"/>
      <c r="J165" s="3" t="s">
        <v>198</v>
      </c>
      <c r="K165" s="103">
        <f>ROUND(K156*$B$159,0)</f>
        <v>2357511</v>
      </c>
      <c r="L165" s="103">
        <f>ROUND(L156*$C$159,0)</f>
        <v>772744</v>
      </c>
      <c r="N165" s="34">
        <f t="shared" si="16"/>
        <v>3130255</v>
      </c>
      <c r="O165" s="288"/>
    </row>
    <row r="166" spans="1:15" ht="15.5" thickTop="1" thickBot="1" x14ac:dyDescent="0.4">
      <c r="A166" s="3" t="s">
        <v>205</v>
      </c>
      <c r="B166" s="243">
        <f>SUM(B163:B165)</f>
        <v>6108264</v>
      </c>
      <c r="C166" s="243">
        <f>SUM(C163:C165)</f>
        <v>3336502</v>
      </c>
      <c r="E166" s="243">
        <f>SUM(E163:E165)</f>
        <v>9444766</v>
      </c>
      <c r="F166" s="3"/>
      <c r="J166" s="3" t="s">
        <v>205</v>
      </c>
      <c r="K166" s="243">
        <f>SUM(K163:K165)</f>
        <v>6107237</v>
      </c>
      <c r="L166" s="243">
        <f>SUM(L163:L165)</f>
        <v>3335812</v>
      </c>
      <c r="N166" s="243">
        <f>SUM(N163:N165)</f>
        <v>9443049</v>
      </c>
      <c r="O166" s="288"/>
    </row>
    <row r="167" spans="1:15" ht="15.5" thickTop="1" thickBot="1" x14ac:dyDescent="0.4">
      <c r="F167" s="3"/>
      <c r="O167" s="288"/>
    </row>
    <row r="168" spans="1:15" ht="15.5" thickTop="1" thickBot="1" x14ac:dyDescent="0.4">
      <c r="A168" s="3" t="s">
        <v>244</v>
      </c>
      <c r="E168" s="247">
        <f>E29</f>
        <v>9444767</v>
      </c>
      <c r="J168" s="3" t="s">
        <v>244</v>
      </c>
      <c r="N168" s="243">
        <f>E168</f>
        <v>9444767</v>
      </c>
      <c r="O168" s="288"/>
    </row>
    <row r="169" spans="1:15" ht="15" thickTop="1" x14ac:dyDescent="0.35">
      <c r="A169" s="3" t="s">
        <v>243</v>
      </c>
      <c r="E169" s="34">
        <f>E166-E168</f>
        <v>-1</v>
      </c>
      <c r="J169" s="3" t="s">
        <v>243</v>
      </c>
      <c r="N169" s="34">
        <f>N166-N168</f>
        <v>-1718</v>
      </c>
      <c r="O169" s="288"/>
    </row>
    <row r="170" spans="1:15" x14ac:dyDescent="0.35">
      <c r="A170" s="3" t="s">
        <v>245</v>
      </c>
      <c r="E170" s="244">
        <f>E166/E168-1</f>
        <v>-1.0587873688905347E-7</v>
      </c>
      <c r="J170" s="3" t="s">
        <v>245</v>
      </c>
      <c r="N170" s="244">
        <f>N166/N168-1</f>
        <v>-1.818996699441966E-4</v>
      </c>
      <c r="O170" s="288"/>
    </row>
    <row r="171" spans="1:15" x14ac:dyDescent="0.35">
      <c r="O171" s="288"/>
    </row>
    <row r="172" spans="1:15" x14ac:dyDescent="0.35">
      <c r="O172" s="288"/>
    </row>
  </sheetData>
  <mergeCells count="19">
    <mergeCell ref="I37:J37"/>
    <mergeCell ref="C45:C46"/>
    <mergeCell ref="G45:G46"/>
    <mergeCell ref="B59:C59"/>
    <mergeCell ref="M15:N15"/>
    <mergeCell ref="B36:G36"/>
    <mergeCell ref="B37:C37"/>
    <mergeCell ref="I36:L36"/>
    <mergeCell ref="B161:E161"/>
    <mergeCell ref="K129:L129"/>
    <mergeCell ref="K139:L139"/>
    <mergeCell ref="K145:L145"/>
    <mergeCell ref="K152:N152"/>
    <mergeCell ref="K161:N161"/>
    <mergeCell ref="B115:C115"/>
    <mergeCell ref="B129:C129"/>
    <mergeCell ref="B139:C139"/>
    <mergeCell ref="B145:C145"/>
    <mergeCell ref="B152:E152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7" max="16383" man="1"/>
    <brk id="124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53">
    <tabColor rgb="FFFFC000"/>
  </sheetPr>
  <dimension ref="A1:Q170"/>
  <sheetViews>
    <sheetView workbookViewId="0">
      <selection activeCell="E33" sqref="E33"/>
    </sheetView>
  </sheetViews>
  <sheetFormatPr defaultColWidth="8.81640625" defaultRowHeight="14.5" x14ac:dyDescent="0.35"/>
  <cols>
    <col min="1" max="1" width="15.7265625" style="3" customWidth="1"/>
    <col min="2" max="3" width="17.54296875" style="3" customWidth="1"/>
    <col min="4" max="4" width="9.26953125" style="3" customWidth="1"/>
    <col min="5" max="5" width="16.7265625" style="3" customWidth="1"/>
    <col min="6" max="6" width="11.1796875" style="2" customWidth="1"/>
    <col min="7" max="7" width="16.81640625" style="3" customWidth="1"/>
    <col min="8" max="8" width="19.7265625" style="3" customWidth="1"/>
    <col min="9" max="9" width="25.7265625" style="3" customWidth="1"/>
    <col min="10" max="10" width="27.26953125" style="3" customWidth="1"/>
    <col min="11" max="14" width="16.81640625" style="3" customWidth="1"/>
    <col min="15" max="15" width="12.81640625" style="3" customWidth="1"/>
    <col min="16" max="17" width="14.7265625" style="3" customWidth="1"/>
    <col min="18" max="16384" width="8.81640625" style="3"/>
  </cols>
  <sheetData>
    <row r="1" spans="1:14" ht="18.5" x14ac:dyDescent="0.35">
      <c r="A1" s="238" t="s">
        <v>2301</v>
      </c>
    </row>
    <row r="2" spans="1:14" x14ac:dyDescent="0.35">
      <c r="A2" s="182" t="s">
        <v>1081</v>
      </c>
      <c r="B2" s="180"/>
    </row>
    <row r="3" spans="1:14" x14ac:dyDescent="0.35">
      <c r="A3" s="182" t="s">
        <v>204</v>
      </c>
      <c r="B3" s="180"/>
      <c r="D3" s="33" t="s">
        <v>1428</v>
      </c>
      <c r="E3" s="1251">
        <f>'[1]A1.)RatesInput'!$G$3</f>
        <v>2017</v>
      </c>
    </row>
    <row r="4" spans="1:14" x14ac:dyDescent="0.35">
      <c r="A4" s="182" t="s">
        <v>195</v>
      </c>
      <c r="B4" s="180"/>
      <c r="C4" s="180"/>
      <c r="D4" s="33" t="s">
        <v>1075</v>
      </c>
      <c r="E4" s="231" t="str">
        <f>'9A.)HL_RedesignRateSummary'!D9</f>
        <v>Current</v>
      </c>
      <c r="F4" s="231"/>
      <c r="H4" s="180"/>
      <c r="I4" s="180"/>
      <c r="J4" s="197" t="str">
        <f>$A$2</f>
        <v>SC9</v>
      </c>
      <c r="K4" s="30"/>
      <c r="L4" s="30"/>
      <c r="M4" s="30"/>
      <c r="N4" s="30"/>
    </row>
    <row r="5" spans="1:14" x14ac:dyDescent="0.35">
      <c r="D5" s="33" t="s">
        <v>1076</v>
      </c>
      <c r="E5" s="231" t="s">
        <v>1074</v>
      </c>
      <c r="F5" s="232"/>
      <c r="J5" s="197" t="str">
        <f>A4</f>
        <v>TODL</v>
      </c>
      <c r="K5" s="30" t="s">
        <v>42</v>
      </c>
      <c r="L5" s="30" t="s">
        <v>40</v>
      </c>
      <c r="M5" s="30"/>
      <c r="N5" s="30"/>
    </row>
    <row r="6" spans="1:14" x14ac:dyDescent="0.35">
      <c r="E6" s="194"/>
      <c r="F6" s="230"/>
      <c r="I6" s="190" t="s">
        <v>196</v>
      </c>
      <c r="J6" s="3" t="str">
        <f>CONCATENATE($A$2,"(FS)kW pd 1 LT")</f>
        <v>SC9(FS)kW pd 1 LT</v>
      </c>
      <c r="K6" s="205">
        <f>IF(ISNUMBER(VLOOKUP($J6,'[1]D2.)BillingDeterminants(TOD)'!$A$5:$K$171,4,0)),VLOOKUP($J6,'[1]D2.)BillingDeterminants(TOD)'!$A$5:$K$171,4,0),0)</f>
        <v>284530.23</v>
      </c>
      <c r="L6" s="205">
        <f>IF(ISNUMBER(VLOOKUP($J6,'[1]D2.)BillingDeterminants(TOD)'!$A$5:$K$171,5,0)),VLOOKUP($J6,'[1]D2.)BillingDeterminants(TOD)'!$A$5:$K$171,5,0),0)</f>
        <v>485148.52</v>
      </c>
    </row>
    <row r="7" spans="1:14" x14ac:dyDescent="0.35">
      <c r="A7" s="3" t="str">
        <f>CONCATENATE($A$2," TOD (LT)")</f>
        <v>SC9 TOD (LT)</v>
      </c>
      <c r="B7" s="3" t="s">
        <v>168</v>
      </c>
      <c r="E7" s="195">
        <f>IF(ISNUMBER(VLOOKUP($A7,'[1]A1.)RatesInput'!$B$287:$J$309,HLOOKUP(E$4,'[1]A1.)RatesInput'!$B$287:$J$309,2,0),0)),VLOOKUP($A7,'[1]A1.)RatesInput'!$B$287:$J$309,HLOOKUP(E$4,'[1]A1.)RatesInput'!$B$287:$J$309,2,0),0),0)</f>
        <v>31.32</v>
      </c>
      <c r="F7" s="230"/>
      <c r="I7" s="190"/>
      <c r="J7" s="3" t="str">
        <f>CONCATENATE($A$2,"(FS)kW pd 1 HT")</f>
        <v>SC9(FS)kW pd 1 HT</v>
      </c>
      <c r="K7" s="206">
        <f>IF(ISNUMBER(VLOOKUP($J7,'[1]D2.)BillingDeterminants(TOD)'!$A$5:$K$171,4,0)),VLOOKUP($J7,'[1]D2.)BillingDeterminants(TOD)'!$A$5:$K$171,4,0),0)</f>
        <v>114098.54000000001</v>
      </c>
      <c r="L7" s="206">
        <f>IF(ISNUMBER(VLOOKUP($J7,'[1]D2.)BillingDeterminants(TOD)'!$A$5:$K$171,5,0)),VLOOKUP($J7,'[1]D2.)BillingDeterminants(TOD)'!$A$5:$K$171,5,0),0)</f>
        <v>177926.40999999995</v>
      </c>
    </row>
    <row r="8" spans="1:14" x14ac:dyDescent="0.35">
      <c r="E8" s="195"/>
      <c r="F8" s="230"/>
      <c r="I8" s="190" t="s">
        <v>197</v>
      </c>
      <c r="J8" s="3" t="str">
        <f>CONCATENATE($A$2,"(FS)kW pd 2 LT")</f>
        <v>SC9(FS)kW pd 2 LT</v>
      </c>
      <c r="K8" s="206">
        <f>IF(ISNUMBER(VLOOKUP($J8,'[1]D2.)BillingDeterminants(TOD)'!$A$5:$K$171,4,0)),VLOOKUP($J8,'[1]D2.)BillingDeterminants(TOD)'!$A$5:$K$171,4,0),0)</f>
        <v>284905.11000000004</v>
      </c>
      <c r="L8" s="206">
        <f>IF(ISNUMBER(VLOOKUP($J8,'[1]D2.)BillingDeterminants(TOD)'!$A$5:$K$171,5,0)),VLOOKUP($J8,'[1]D2.)BillingDeterminants(TOD)'!$A$5:$K$171,5,0),0)</f>
        <v>486558.12000000017</v>
      </c>
    </row>
    <row r="9" spans="1:14" x14ac:dyDescent="0.35">
      <c r="A9" s="3" t="str">
        <f>CONCATENATE($A$2," TOD (HT)")</f>
        <v>SC9 TOD (HT)</v>
      </c>
      <c r="B9" s="3" t="s">
        <v>168</v>
      </c>
      <c r="E9" s="195">
        <f>IF(ISNUMBER(VLOOKUP($A9,'[1]A1.)RatesInput'!$B$287:$J$309,HLOOKUP(E$4,'[1]A1.)RatesInput'!$B$287:$J$309,2,0),0)),VLOOKUP($A9,'[1]A1.)RatesInput'!$B$287:$J$309,HLOOKUP(E$4,'[1]A1.)RatesInput'!$B$287:$J$309,2,0),0),0)</f>
        <v>21.57</v>
      </c>
      <c r="F9" s="230"/>
      <c r="I9" s="190"/>
      <c r="J9" s="3" t="str">
        <f>CONCATENATE($A$2,"(FS)kW pd 2 HT")</f>
        <v>SC9(FS)kW pd 2 HT</v>
      </c>
      <c r="K9" s="206">
        <f>IF(ISNUMBER(VLOOKUP($J9,'[1]D2.)BillingDeterminants(TOD)'!$A$5:$K$171,4,0)),VLOOKUP($J9,'[1]D2.)BillingDeterminants(TOD)'!$A$5:$K$171,4,0),0)</f>
        <v>114403.82</v>
      </c>
      <c r="L9" s="206">
        <f>IF(ISNUMBER(VLOOKUP($J9,'[1]D2.)BillingDeterminants(TOD)'!$A$5:$K$171,5,0)),VLOOKUP($J9,'[1]D2.)BillingDeterminants(TOD)'!$A$5:$K$171,5,0),0)</f>
        <v>179107.21000000002</v>
      </c>
    </row>
    <row r="10" spans="1:14" x14ac:dyDescent="0.35">
      <c r="E10" s="195"/>
      <c r="F10" s="230"/>
      <c r="I10" s="190" t="s">
        <v>198</v>
      </c>
      <c r="J10" s="3" t="str">
        <f>CONCATENATE($A$2,"(FS)kW Secondary")</f>
        <v>SC9(FS)kW Secondary</v>
      </c>
      <c r="K10" s="206">
        <f>IF(ISNUMBER(VLOOKUP($J10,'[1]D2.)BillingDeterminants(TOD)'!$A$5:$K$171,4,0)),VLOOKUP($J10,'[1]D2.)BillingDeterminants(TOD)'!$A$5:$K$171,4,0),0)</f>
        <v>285974.80000000005</v>
      </c>
      <c r="L10" s="206">
        <f>IF(ISNUMBER(VLOOKUP($J10,'[1]D2.)BillingDeterminants(TOD)'!$A$5:$K$171,5,0)),VLOOKUP($J10,'[1]D2.)BillingDeterminants(TOD)'!$A$5:$K$171,5,0),0)</f>
        <v>489052.69999999995</v>
      </c>
    </row>
    <row r="11" spans="1:14" x14ac:dyDescent="0.35">
      <c r="A11" s="3" t="str">
        <f>CONCATENATE($A$2," TOD (LT)")</f>
        <v>SC9 TOD (LT)</v>
      </c>
      <c r="B11" s="3" t="s">
        <v>169</v>
      </c>
      <c r="E11" s="195">
        <f>IF(ISNUMBER(VLOOKUP($A11,'[1]A1.)RatesInput'!$B$315:$J$340,HLOOKUP(E$5,'[1]A1.)RatesInput'!$B$315:$J$340,3,0),0)),VLOOKUP($A11,'[1]A1.)RatesInput'!$B$315:$J$340,HLOOKUP(E$5,'[1]A1.)RatesInput'!$B$315:$J$340,3,0),0),0)</f>
        <v>24.76</v>
      </c>
      <c r="F11" s="230"/>
      <c r="J11" s="3" t="str">
        <f>CONCATENATE($A$2,"(FS)kWh LT")</f>
        <v>SC9(FS)kWh LT</v>
      </c>
      <c r="K11" s="206">
        <f>IF(ISNUMBER(VLOOKUP($J11,'[1]D2.)BillingDeterminants(TOD)'!$A$5:$K$171,4,0)),VLOOKUP($J11,'[1]D2.)BillingDeterminants(TOD)'!$A$5:$K$171,4,0),0)</f>
        <v>122157418</v>
      </c>
      <c r="L11" s="206">
        <f>IF(ISNUMBER(VLOOKUP($J11,'[1]D2.)BillingDeterminants(TOD)'!$A$5:$K$171,5,0)),VLOOKUP($J11,'[1]D2.)BillingDeterminants(TOD)'!$A$5:$K$171,5,0),0)</f>
        <v>217617869</v>
      </c>
    </row>
    <row r="12" spans="1:14" x14ac:dyDescent="0.35">
      <c r="E12" s="195"/>
      <c r="F12" s="230"/>
      <c r="J12" s="3" t="str">
        <f>CONCATENATE($A$2,"(FS)kWh HT")</f>
        <v>SC9(FS)kWh HT</v>
      </c>
      <c r="K12" s="206">
        <f>IF(ISNUMBER(VLOOKUP($J12,'[1]D2.)BillingDeterminants(TOD)'!$A$5:$K$171,4,0)),VLOOKUP($J12,'[1]D2.)BillingDeterminants(TOD)'!$A$5:$K$171,4,0),0)</f>
        <v>39399153</v>
      </c>
      <c r="L12" s="206">
        <f>IF(ISNUMBER(VLOOKUP($J12,'[1]D2.)BillingDeterminants(TOD)'!$A$5:$K$171,5,0)),VLOOKUP($J12,'[1]D2.)BillingDeterminants(TOD)'!$A$5:$K$171,5,0),0)</f>
        <v>71502373</v>
      </c>
    </row>
    <row r="13" spans="1:14" x14ac:dyDescent="0.35">
      <c r="A13" s="3" t="str">
        <f>CONCATENATE($A$2," TOD (HT)")</f>
        <v>SC9 TOD (HT)</v>
      </c>
      <c r="B13" s="3" t="s">
        <v>169</v>
      </c>
      <c r="E13" s="196">
        <f>IF(ISNUMBER(VLOOKUP($A13,'[1]A1.)RatesInput'!$B$315:$J$340,HLOOKUP(E$5,'[1]A1.)RatesInput'!$B$315:$J$340,3,0),0)),VLOOKUP($A13,'[1]A1.)RatesInput'!$B$315:$J$340,HLOOKUP(E$5,'[1]A1.)RatesInput'!$B$315:$J$340,3,0),0),0)</f>
        <v>15.62</v>
      </c>
      <c r="F13" s="230"/>
      <c r="G13" s="230"/>
      <c r="J13" s="3" t="str">
        <f>CONCATENATE($A$2,"(FS)kWh OnPk LT")</f>
        <v>SC9(FS)kWh OnPk LT</v>
      </c>
      <c r="K13" s="206">
        <f>IF(ISNUMBER(VLOOKUP($J13,'[1]D2.)BillingDeterminants(TOD)'!$A$5:$K$171,4,0)),VLOOKUP($J13,'[1]D2.)BillingDeterminants(TOD)'!$A$5:$K$171,4,0),0)</f>
        <v>62067469.599999994</v>
      </c>
      <c r="L13" s="206">
        <f>IF(ISNUMBER(VLOOKUP($J13,'[1]D2.)BillingDeterminants(TOD)'!$A$5:$K$171,5,0)),VLOOKUP($J13,'[1]D2.)BillingDeterminants(TOD)'!$A$5:$K$171,5,0),0)</f>
        <v>107193288.69999999</v>
      </c>
    </row>
    <row r="14" spans="1:14" ht="15" thickBot="1" x14ac:dyDescent="0.4">
      <c r="J14" s="3" t="str">
        <f>CONCATENATE($A$2,"(FS)kWh OnPk HT")</f>
        <v>SC9(FS)kWh OnPk HT</v>
      </c>
      <c r="K14" s="206">
        <f>IF(ISNUMBER(VLOOKUP($J14,'[1]D2.)BillingDeterminants(TOD)'!$A$5:$K$171,4,0)),VLOOKUP($J14,'[1]D2.)BillingDeterminants(TOD)'!$A$5:$K$171,4,0),0)</f>
        <v>19131854.299999997</v>
      </c>
      <c r="L14" s="206">
        <f>IF(ISNUMBER(VLOOKUP($J14,'[1]D2.)BillingDeterminants(TOD)'!$A$5:$K$171,5,0)),VLOOKUP($J14,'[1]D2.)BillingDeterminants(TOD)'!$A$5:$K$171,5,0),0)</f>
        <v>34573377.699999996</v>
      </c>
    </row>
    <row r="15" spans="1:14" ht="15.5" thickTop="1" thickBot="1" x14ac:dyDescent="0.4">
      <c r="E15" s="527" t="str">
        <f>'9A.)HL_RedesignRateSummary'!D10</f>
        <v>ED shifting</v>
      </c>
      <c r="G15" s="423" t="s">
        <v>142</v>
      </c>
      <c r="J15" s="3" t="str">
        <f>CONCATENATE($A$2,"(FS)kWh OffPk LT")</f>
        <v>SC9(FS)kWh OffPk LT</v>
      </c>
      <c r="K15" s="206">
        <f>IF(ISNUMBER(VLOOKUP($J15,'[1]D2.)BillingDeterminants(TOD)'!$A$5:$K$171,4,0)),VLOOKUP($J15,'[1]D2.)BillingDeterminants(TOD)'!$A$5:$K$171,4,0),0)</f>
        <v>60089948.400000006</v>
      </c>
      <c r="L15" s="206">
        <f>IF(ISNUMBER(VLOOKUP($J15,'[1]D2.)BillingDeterminants(TOD)'!$A$5:$K$171,5,0)),VLOOKUP($J15,'[1]D2.)BillingDeterminants(TOD)'!$A$5:$K$171,5,0),0)</f>
        <v>109626179.30000001</v>
      </c>
      <c r="M15" s="1307" t="s">
        <v>246</v>
      </c>
      <c r="N15" s="1309"/>
    </row>
    <row r="16" spans="1:14" ht="15" thickTop="1" x14ac:dyDescent="0.35">
      <c r="A16" s="3" t="s">
        <v>932</v>
      </c>
      <c r="E16" s="434">
        <f>'9A.)HL_RedesignRateSummary'!D148</f>
        <v>0</v>
      </c>
      <c r="F16" s="233">
        <f>(E16*8+E19*4)/12</f>
        <v>2.7766666666666668</v>
      </c>
      <c r="G16" s="341">
        <f>L131</f>
        <v>0</v>
      </c>
      <c r="H16" s="233">
        <f>(G16*8+G19*4)/12</f>
        <v>2.7766666666666668</v>
      </c>
      <c r="J16" s="3" t="str">
        <f>CONCATENATE($A$2,"(FS)kWh OffPk HT")</f>
        <v>SC9(FS)kWh OffPk HT</v>
      </c>
      <c r="K16" s="207">
        <f>IF(ISNUMBER(VLOOKUP($J16,'[1]D2.)BillingDeterminants(TOD)'!$A$5:$K$171,4,0)),VLOOKUP($J16,'[1]D2.)BillingDeterminants(TOD)'!$A$5:$K$171,4,0),0)</f>
        <v>20248098.700000003</v>
      </c>
      <c r="L16" s="207">
        <f>IF(ISNUMBER(VLOOKUP($J16,'[1]D2.)BillingDeterminants(TOD)'!$A$5:$K$171,5,0)),VLOOKUP($J16,'[1]D2.)BillingDeterminants(TOD)'!$A$5:$K$171,5,0),0)</f>
        <v>36928995.300000004</v>
      </c>
      <c r="M16" s="30" t="s">
        <v>42</v>
      </c>
      <c r="N16" s="30" t="s">
        <v>40</v>
      </c>
    </row>
    <row r="17" spans="1:14" x14ac:dyDescent="0.35">
      <c r="A17" s="3" t="s">
        <v>933</v>
      </c>
      <c r="E17" s="432">
        <f>'9A.)HL_RedesignRateSummary'!D149</f>
        <v>11.48</v>
      </c>
      <c r="F17" s="233">
        <f>(E17*8+E20*4)/12</f>
        <v>12.840000000000002</v>
      </c>
      <c r="G17" s="342">
        <f>L132</f>
        <v>12.71</v>
      </c>
      <c r="H17" s="233">
        <f>(G17*8+G20*4)/12</f>
        <v>14.07</v>
      </c>
      <c r="I17" s="190" t="s">
        <v>196</v>
      </c>
      <c r="J17" s="3" t="str">
        <f>CONCATENATE($A$2,"(RA)kW pd 1 LT")</f>
        <v>SC9(RA)kW pd 1 LT</v>
      </c>
      <c r="K17" s="205">
        <f>IF(ISNUMBER(VLOOKUP($J17,'[1]D2.)BillingDeterminants(TOD)'!$A$5:$K$171,4,0)),VLOOKUP($J17,'[1]D2.)BillingDeterminants(TOD)'!$A$5:$K$171,4,0),0)</f>
        <v>5517869.9100000001</v>
      </c>
      <c r="L17" s="205">
        <f>IF(ISNUMBER(VLOOKUP($J17,'[1]D2.)BillingDeterminants(TOD)'!$A$5:$K$171,5,0)),VLOOKUP($J17,'[1]D2.)BillingDeterminants(TOD)'!$A$5:$K$171,5,0),0)</f>
        <v>9383666.1899999958</v>
      </c>
      <c r="M17" s="205">
        <f>K6+K17</f>
        <v>5802400.1400000006</v>
      </c>
      <c r="N17" s="205">
        <f t="shared" ref="N17:N27" si="0">L6+L17</f>
        <v>9868814.7099999953</v>
      </c>
    </row>
    <row r="18" spans="1:14" x14ac:dyDescent="0.35">
      <c r="A18" s="3" t="s">
        <v>934</v>
      </c>
      <c r="E18" s="432">
        <f>'9A.)HL_RedesignRateSummary'!D150</f>
        <v>5.36</v>
      </c>
      <c r="F18" s="233">
        <f>(E18*8+E21*4)/12</f>
        <v>9.14</v>
      </c>
      <c r="G18" s="342">
        <f>L133</f>
        <v>3.83</v>
      </c>
      <c r="H18" s="233">
        <f>(G18*8+G21*4)/12</f>
        <v>7.6099999999999994</v>
      </c>
      <c r="I18" s="190"/>
      <c r="J18" s="3" t="str">
        <f>CONCATENATE($A$2,"(RA)kW pd 1 HT")</f>
        <v>SC9(RA)kW pd 1 HT</v>
      </c>
      <c r="K18" s="206">
        <f>IF(ISNUMBER(VLOOKUP($J18,'[1]D2.)BillingDeterminants(TOD)'!$A$5:$K$171,4,0)),VLOOKUP($J18,'[1]D2.)BillingDeterminants(TOD)'!$A$5:$K$171,4,0),0)</f>
        <v>1249311.7000000002</v>
      </c>
      <c r="L18" s="206">
        <f>IF(ISNUMBER(VLOOKUP($J18,'[1]D2.)BillingDeterminants(TOD)'!$A$5:$K$171,5,0)),VLOOKUP($J18,'[1]D2.)BillingDeterminants(TOD)'!$A$5:$K$171,5,0),0)</f>
        <v>2184081.9399999995</v>
      </c>
      <c r="M18" s="206">
        <f t="shared" ref="M18:M27" si="1">K7+K18</f>
        <v>1363410.2400000002</v>
      </c>
      <c r="N18" s="206">
        <f t="shared" si="0"/>
        <v>2362008.3499999996</v>
      </c>
    </row>
    <row r="19" spans="1:14" x14ac:dyDescent="0.35">
      <c r="A19" s="3" t="s">
        <v>935</v>
      </c>
      <c r="E19" s="432">
        <f>'9A.)HL_RedesignRateSummary'!D151</f>
        <v>8.33</v>
      </c>
      <c r="F19" s="233"/>
      <c r="G19" s="342">
        <f>K131</f>
        <v>8.33</v>
      </c>
      <c r="H19" s="233"/>
      <c r="I19" s="190" t="s">
        <v>197</v>
      </c>
      <c r="J19" s="3" t="str">
        <f>CONCATENATE($A$2,"(RA)kW pd 2 LT")</f>
        <v>SC9(RA)kW pd 2 LT</v>
      </c>
      <c r="K19" s="206">
        <f>IF(ISNUMBER(VLOOKUP($J19,'[1]D2.)BillingDeterminants(TOD)'!$A$5:$K$171,4,0)),VLOOKUP($J19,'[1]D2.)BillingDeterminants(TOD)'!$A$5:$K$171,4,0),0)</f>
        <v>5524356.5499999998</v>
      </c>
      <c r="L19" s="206">
        <f>IF(ISNUMBER(VLOOKUP($J19,'[1]D2.)BillingDeterminants(TOD)'!$A$5:$K$171,5,0)),VLOOKUP($J19,'[1]D2.)BillingDeterminants(TOD)'!$A$5:$K$171,5,0),0)</f>
        <v>9394962.9899999984</v>
      </c>
      <c r="M19" s="206">
        <f t="shared" si="1"/>
        <v>5809261.6600000001</v>
      </c>
      <c r="N19" s="206">
        <f t="shared" si="0"/>
        <v>9881521.1099999994</v>
      </c>
    </row>
    <row r="20" spans="1:14" x14ac:dyDescent="0.35">
      <c r="A20" s="3" t="s">
        <v>936</v>
      </c>
      <c r="E20" s="432">
        <f>'9A.)HL_RedesignRateSummary'!D152</f>
        <v>15.56</v>
      </c>
      <c r="F20" s="233"/>
      <c r="G20" s="342">
        <f>K132</f>
        <v>16.79</v>
      </c>
      <c r="H20" s="233"/>
      <c r="I20" s="190"/>
      <c r="J20" s="3" t="str">
        <f>CONCATENATE($A$2,"(RA)kW pd 2 HT")</f>
        <v>SC9(RA)kW pd 2 HT</v>
      </c>
      <c r="K20" s="206">
        <f>IF(ISNUMBER(VLOOKUP($J20,'[1]D2.)BillingDeterminants(TOD)'!$A$5:$K$171,4,0)),VLOOKUP($J20,'[1]D2.)BillingDeterminants(TOD)'!$A$5:$K$171,4,0),0)</f>
        <v>1260415.69</v>
      </c>
      <c r="L20" s="206">
        <f>IF(ISNUMBER(VLOOKUP($J20,'[1]D2.)BillingDeterminants(TOD)'!$A$5:$K$171,5,0)),VLOOKUP($J20,'[1]D2.)BillingDeterminants(TOD)'!$A$5:$K$171,5,0),0)</f>
        <v>2203872.7000000002</v>
      </c>
      <c r="M20" s="206">
        <f t="shared" si="1"/>
        <v>1374819.51</v>
      </c>
      <c r="N20" s="206">
        <f t="shared" si="0"/>
        <v>2382979.91</v>
      </c>
    </row>
    <row r="21" spans="1:14" x14ac:dyDescent="0.35">
      <c r="A21" s="3" t="s">
        <v>937</v>
      </c>
      <c r="E21" s="430">
        <f>'9A.)HL_RedesignRateSummary'!D153</f>
        <v>16.7</v>
      </c>
      <c r="F21" s="233"/>
      <c r="G21" s="343">
        <f>K133</f>
        <v>15.17</v>
      </c>
      <c r="H21" s="233"/>
      <c r="I21" s="190" t="s">
        <v>198</v>
      </c>
      <c r="J21" s="3" t="str">
        <f>CONCATENATE($A$2,"(RA)kW Secondary")</f>
        <v>SC9(RA)kW Secondary</v>
      </c>
      <c r="K21" s="206">
        <f>IF(ISNUMBER(VLOOKUP($J21,'[1]D2.)BillingDeterminants(TOD)'!$A$5:$K$171,4,0)),VLOOKUP($J21,'[1]D2.)BillingDeterminants(TOD)'!$A$5:$K$171,4,0),0)</f>
        <v>5491994.5600000005</v>
      </c>
      <c r="L21" s="206">
        <f>IF(ISNUMBER(VLOOKUP($J21,'[1]D2.)BillingDeterminants(TOD)'!$A$5:$K$171,5,0)),VLOOKUP($J21,'[1]D2.)BillingDeterminants(TOD)'!$A$5:$K$171,5,0),0)</f>
        <v>9333696.4299999978</v>
      </c>
      <c r="M21" s="206">
        <f t="shared" si="1"/>
        <v>5777969.3600000003</v>
      </c>
      <c r="N21" s="206">
        <f t="shared" si="0"/>
        <v>9822749.1299999971</v>
      </c>
    </row>
    <row r="22" spans="1:14" x14ac:dyDescent="0.35">
      <c r="F22" s="1070">
        <f>(F16+F17)/(F16+F17+F18)</f>
        <v>0.63080651676316146</v>
      </c>
      <c r="H22" s="1070">
        <f>(H16+H17)/(H16+H17+H18)</f>
        <v>0.68883739948207712</v>
      </c>
      <c r="J22" s="3" t="str">
        <f>CONCATENATE($A$2,"(RA)kWh LT")</f>
        <v>SC9(RA)kWh LT</v>
      </c>
      <c r="K22" s="206">
        <f>IF(ISNUMBER(VLOOKUP($J22,'[1]D2.)BillingDeterminants(TOD)'!$A$5:$K$171,4,0)),VLOOKUP($J22,'[1]D2.)BillingDeterminants(TOD)'!$A$5:$K$171,4,0),0)</f>
        <v>2416530851</v>
      </c>
      <c r="L22" s="206">
        <f>IF(ISNUMBER(VLOOKUP($J22,'[1]D2.)BillingDeterminants(TOD)'!$A$5:$K$171,5,0)),VLOOKUP($J22,'[1]D2.)BillingDeterminants(TOD)'!$A$5:$K$171,5,0),0)</f>
        <v>4276087636</v>
      </c>
      <c r="M22" s="206">
        <f t="shared" si="1"/>
        <v>2538688269</v>
      </c>
      <c r="N22" s="206">
        <f t="shared" si="0"/>
        <v>4493705505</v>
      </c>
    </row>
    <row r="23" spans="1:14" x14ac:dyDescent="0.35">
      <c r="A23" s="17" t="s">
        <v>139</v>
      </c>
      <c r="C23" s="17"/>
      <c r="E23" s="689">
        <f>HLOOKUP($E$3,'[1]A1.)RatesInput'!$D$63:$J$83,'[1]A1.)RatesInput'!$A$80,0)</f>
        <v>1.01108</v>
      </c>
      <c r="J23" s="3" t="str">
        <f>CONCATENATE($A$2,"(RA)kWh HT")</f>
        <v>SC9(RA)kWh HT</v>
      </c>
      <c r="K23" s="206">
        <f>IF(ISNUMBER(VLOOKUP($J23,'[1]D2.)BillingDeterminants(TOD)'!$A$5:$K$171,4,0)),VLOOKUP($J23,'[1]D2.)BillingDeterminants(TOD)'!$A$5:$K$171,4,0),0)</f>
        <v>628733427</v>
      </c>
      <c r="L23" s="206">
        <f>IF(ISNUMBER(VLOOKUP($J23,'[1]D2.)BillingDeterminants(TOD)'!$A$5:$K$171,5,0)),VLOOKUP($J23,'[1]D2.)BillingDeterminants(TOD)'!$A$5:$K$171,5,0),0)</f>
        <v>1125730134</v>
      </c>
      <c r="M23" s="206">
        <f t="shared" si="1"/>
        <v>668132580</v>
      </c>
      <c r="N23" s="206">
        <f t="shared" si="0"/>
        <v>1197232507</v>
      </c>
    </row>
    <row r="24" spans="1:14" x14ac:dyDescent="0.35">
      <c r="A24" s="17" t="s">
        <v>137</v>
      </c>
      <c r="C24" s="17"/>
      <c r="E24" s="689">
        <f>HLOOKUP($E$3,'[1]A1.)RatesInput'!$D$63:$J$83,'[1]A1.)RatesInput'!$A$81,0)</f>
        <v>1.0119199999999999</v>
      </c>
      <c r="J24" s="3" t="str">
        <f>CONCATENATE($A$2,"(RA)kWh OnPk LT")</f>
        <v>SC9(RA)kWh OnPk LT</v>
      </c>
      <c r="K24" s="206">
        <f>IF(ISNUMBER(VLOOKUP($J24,'[1]D2.)BillingDeterminants(TOD)'!$A$5:$K$171,4,0)),VLOOKUP($J24,'[1]D2.)BillingDeterminants(TOD)'!$A$5:$K$171,4,0),0)</f>
        <v>1237121489.4000001</v>
      </c>
      <c r="L24" s="206">
        <f>IF(ISNUMBER(VLOOKUP($J24,'[1]D2.)BillingDeterminants(TOD)'!$A$5:$K$171,5,0)),VLOOKUP($J24,'[1]D2.)BillingDeterminants(TOD)'!$A$5:$K$171,5,0),0)</f>
        <v>2151629274.25</v>
      </c>
      <c r="M24" s="206">
        <f t="shared" si="1"/>
        <v>1299188959</v>
      </c>
      <c r="N24" s="206">
        <f t="shared" si="0"/>
        <v>2258822562.9499998</v>
      </c>
    </row>
    <row r="25" spans="1:14" x14ac:dyDescent="0.35">
      <c r="A25" s="17" t="s">
        <v>136</v>
      </c>
      <c r="C25" s="17"/>
      <c r="E25" s="689">
        <f>HLOOKUP($E$3,'[1]A1.)RatesInput'!$D$63:$J$83,'[1]A1.)RatesInput'!$A$82,0)</f>
        <v>1.01067</v>
      </c>
      <c r="J25" s="3" t="str">
        <f>CONCATENATE($A$2,"(RA)kWh OnPk HT")</f>
        <v>SC9(RA)kWh OnPk HT</v>
      </c>
      <c r="K25" s="206">
        <f>IF(ISNUMBER(VLOOKUP($J25,'[1]D2.)BillingDeterminants(TOD)'!$A$5:$K$171,4,0)),VLOOKUP($J25,'[1]D2.)BillingDeterminants(TOD)'!$A$5:$K$171,4,0),0)</f>
        <v>284976998.90000004</v>
      </c>
      <c r="L25" s="206">
        <f>IF(ISNUMBER(VLOOKUP($J25,'[1]D2.)BillingDeterminants(TOD)'!$A$5:$K$171,5,0)),VLOOKUP($J25,'[1]D2.)BillingDeterminants(TOD)'!$A$5:$K$171,5,0),0)</f>
        <v>503294480.89999992</v>
      </c>
      <c r="M25" s="206">
        <f t="shared" si="1"/>
        <v>304108853.20000005</v>
      </c>
      <c r="N25" s="206">
        <f t="shared" si="0"/>
        <v>537867858.5999999</v>
      </c>
    </row>
    <row r="26" spans="1:14" x14ac:dyDescent="0.35">
      <c r="J26" s="3" t="str">
        <f>CONCATENATE($A$2,"(RA)kWh OffPk LT")</f>
        <v>SC9(RA)kWh OffPk LT</v>
      </c>
      <c r="K26" s="206">
        <f>IF(ISNUMBER(VLOOKUP($J26,'[1]D2.)BillingDeterminants(TOD)'!$A$5:$K$171,4,0)),VLOOKUP($J26,'[1]D2.)BillingDeterminants(TOD)'!$A$5:$K$171,4,0),0)</f>
        <v>1179831476.5999999</v>
      </c>
      <c r="L26" s="206">
        <f>IF(ISNUMBER(VLOOKUP($J26,'[1]D2.)BillingDeterminants(TOD)'!$A$5:$K$171,5,0)),VLOOKUP($J26,'[1]D2.)BillingDeterminants(TOD)'!$A$5:$K$171,5,0),0)</f>
        <v>2123270791.9499998</v>
      </c>
      <c r="M26" s="206">
        <f t="shared" si="1"/>
        <v>1239921425</v>
      </c>
      <c r="N26" s="206">
        <f t="shared" si="0"/>
        <v>2232896971.25</v>
      </c>
    </row>
    <row r="27" spans="1:14" x14ac:dyDescent="0.35">
      <c r="A27" s="3" t="s">
        <v>200</v>
      </c>
      <c r="E27" s="245">
        <f>'[2]4D-4.)HY_TODLRatePxOut(SC9)'!$W$22+'[2]4D-4.)HY_TODLRatePxOut(SC9)'!$W$42</f>
        <v>461413998</v>
      </c>
      <c r="F27" s="581"/>
      <c r="J27" s="3" t="str">
        <f>CONCATENATE($A$2,"(RA)kWh OffPk HT")</f>
        <v>SC9(RA)kWh OffPk HT</v>
      </c>
      <c r="K27" s="207">
        <f>IF(ISNUMBER(VLOOKUP($J27,'[1]D2.)BillingDeterminants(TOD)'!$A$5:$K$171,4,0)),VLOOKUP($J27,'[1]D2.)BillingDeterminants(TOD)'!$A$5:$K$171,4,0),0)</f>
        <v>336720546.79999995</v>
      </c>
      <c r="L27" s="207">
        <f>IF(ISNUMBER(VLOOKUP($J27,'[1]D2.)BillingDeterminants(TOD)'!$A$5:$K$171,5,0)),VLOOKUP($J27,'[1]D2.)BillingDeterminants(TOD)'!$A$5:$K$171,5,0),0)</f>
        <v>608193851.10000002</v>
      </c>
      <c r="M27" s="207">
        <f t="shared" si="1"/>
        <v>356968645.49999994</v>
      </c>
      <c r="N27" s="207">
        <f t="shared" si="0"/>
        <v>645122846.39999998</v>
      </c>
    </row>
    <row r="28" spans="1:14" x14ac:dyDescent="0.35">
      <c r="A28" s="3" t="s">
        <v>201</v>
      </c>
      <c r="E28" s="245">
        <f>'[2]4D-4.)HY_TODLRatePxOut(SC9)'!$W$21+'[2]4D-4.)HY_TODLRatePxOut(SC9)'!$W$41</f>
        <v>149142023</v>
      </c>
      <c r="F28" s="581"/>
      <c r="K28" s="218"/>
      <c r="L28" s="218"/>
    </row>
    <row r="29" spans="1:14" x14ac:dyDescent="0.35">
      <c r="A29" s="3" t="s">
        <v>247</v>
      </c>
      <c r="E29" s="245">
        <f>'[2]4D-4.)HY_TODLRatePxOut(SC9)'!$Y$44</f>
        <v>466672244</v>
      </c>
      <c r="K29" s="218"/>
      <c r="L29" s="218"/>
    </row>
    <row r="30" spans="1:14" x14ac:dyDescent="0.35">
      <c r="K30" s="218"/>
      <c r="L30" s="218"/>
    </row>
    <row r="31" spans="1:14" x14ac:dyDescent="0.35">
      <c r="K31" s="218"/>
      <c r="L31" s="218"/>
    </row>
    <row r="32" spans="1:14" s="88" customFormat="1" x14ac:dyDescent="0.35"/>
    <row r="33" spans="1:16" x14ac:dyDescent="0.35">
      <c r="A33" s="70" t="str">
        <f>'9F.)HL_RedgnRate_SC5_II'!$A$33</f>
        <v>Development of High Tension / Low Tension Differentials to be used in Revenue Neutral Rate Redesign - 3/3</v>
      </c>
      <c r="I33" s="100" t="s">
        <v>296</v>
      </c>
      <c r="J33" s="808">
        <f>'9A.)HL_RedesignRateSummary'!$F$4</f>
        <v>2019</v>
      </c>
    </row>
    <row r="34" spans="1:16" x14ac:dyDescent="0.35">
      <c r="A34" s="197" t="str">
        <f>$A$2</f>
        <v>SC9</v>
      </c>
      <c r="I34" s="100" t="s">
        <v>297</v>
      </c>
      <c r="J34" s="808">
        <f>'9A.)HL_RedesignRateSummary'!$F$5</f>
        <v>2017</v>
      </c>
    </row>
    <row r="35" spans="1:16" ht="15" thickBot="1" x14ac:dyDescent="0.4">
      <c r="A35" s="197" t="str">
        <f>$A$3</f>
        <v>Rate II</v>
      </c>
      <c r="B35" s="198"/>
      <c r="I35" s="100" t="s">
        <v>2150</v>
      </c>
      <c r="J35" s="808">
        <f>'9A.)HL_RedesignRateSummary'!$F$3</f>
        <v>2020</v>
      </c>
      <c r="K35" s="3" t="str">
        <f>'9A.)HL_RedesignRateSummary'!$G$3</f>
        <v>RY1</v>
      </c>
    </row>
    <row r="36" spans="1:16" ht="15.5" thickTop="1" thickBot="1" x14ac:dyDescent="0.4">
      <c r="A36" s="199">
        <f>$E$3</f>
        <v>2017</v>
      </c>
      <c r="B36" s="1316" t="s">
        <v>168</v>
      </c>
      <c r="C36" s="1317"/>
      <c r="D36" s="1317"/>
      <c r="E36" s="1317"/>
      <c r="F36" s="1317"/>
      <c r="G36" s="1318"/>
      <c r="I36" s="1316" t="s">
        <v>169</v>
      </c>
      <c r="J36" s="1317"/>
      <c r="K36" s="1317"/>
      <c r="L36" s="1318"/>
    </row>
    <row r="37" spans="1:16" ht="15" thickTop="1" x14ac:dyDescent="0.35">
      <c r="B37" s="1340" t="s">
        <v>171</v>
      </c>
      <c r="C37" s="1340"/>
      <c r="E37" s="30" t="s">
        <v>173</v>
      </c>
      <c r="F37" s="219"/>
      <c r="G37" s="30" t="s">
        <v>174</v>
      </c>
      <c r="I37" s="1340" t="s">
        <v>176</v>
      </c>
      <c r="J37" s="1340"/>
      <c r="K37" s="30" t="s">
        <v>173</v>
      </c>
      <c r="L37" s="30" t="s">
        <v>174</v>
      </c>
      <c r="M37" s="30" t="s">
        <v>1</v>
      </c>
    </row>
    <row r="38" spans="1:16" x14ac:dyDescent="0.35">
      <c r="B38" s="118" t="s">
        <v>8</v>
      </c>
      <c r="C38" s="118" t="s">
        <v>9</v>
      </c>
      <c r="E38" s="30" t="s">
        <v>172</v>
      </c>
      <c r="F38" s="219"/>
      <c r="G38" s="30" t="s">
        <v>175</v>
      </c>
      <c r="I38" s="118" t="s">
        <v>8</v>
      </c>
      <c r="J38" s="118" t="s">
        <v>9</v>
      </c>
      <c r="K38" s="30" t="s">
        <v>172</v>
      </c>
      <c r="L38" s="30" t="s">
        <v>175</v>
      </c>
    </row>
    <row r="39" spans="1:16" x14ac:dyDescent="0.35">
      <c r="B39" s="200" t="s">
        <v>79</v>
      </c>
      <c r="C39" s="200" t="s">
        <v>78</v>
      </c>
      <c r="E39" s="200" t="s">
        <v>181</v>
      </c>
      <c r="F39" s="234"/>
      <c r="G39" s="200" t="s">
        <v>180</v>
      </c>
      <c r="I39" s="200" t="s">
        <v>177</v>
      </c>
      <c r="J39" s="200" t="s">
        <v>178</v>
      </c>
      <c r="K39" s="200" t="s">
        <v>179</v>
      </c>
      <c r="L39" s="200" t="s">
        <v>182</v>
      </c>
      <c r="M39" s="200" t="s">
        <v>183</v>
      </c>
    </row>
    <row r="40" spans="1:16" x14ac:dyDescent="0.35">
      <c r="A40" s="3" t="str">
        <f>CONCATENATE($A$2," TOD")</f>
        <v>SC9 TOD</v>
      </c>
      <c r="B40" s="27">
        <f>E9</f>
        <v>21.57</v>
      </c>
      <c r="C40" s="27">
        <f>E7</f>
        <v>31.32</v>
      </c>
      <c r="E40" s="35">
        <f>C40-B40</f>
        <v>9.75</v>
      </c>
      <c r="F40" s="228"/>
      <c r="G40" s="202">
        <f>B40/C40</f>
        <v>0.68869731800766287</v>
      </c>
      <c r="I40" s="27">
        <f>E13</f>
        <v>15.62</v>
      </c>
      <c r="J40" s="270">
        <f>E11</f>
        <v>24.76</v>
      </c>
      <c r="K40" s="35">
        <f>J40-I40</f>
        <v>9.1400000000000023</v>
      </c>
      <c r="L40" s="202">
        <f>ROUND(I40/J40,2)</f>
        <v>0.63</v>
      </c>
      <c r="M40" s="201">
        <f>L40-G40</f>
        <v>-5.8697318007662869E-2</v>
      </c>
    </row>
    <row r="42" spans="1:16" x14ac:dyDescent="0.35">
      <c r="A42" s="199"/>
    </row>
    <row r="43" spans="1:16" x14ac:dyDescent="0.35">
      <c r="A43" s="70" t="s">
        <v>184</v>
      </c>
      <c r="H43" s="33" t="s">
        <v>520</v>
      </c>
      <c r="I43" s="40">
        <f>'9C.)HL_RedgnRate_SC5_I'!$K$46</f>
        <v>3</v>
      </c>
      <c r="J43" s="136" t="s">
        <v>165</v>
      </c>
      <c r="P43" s="284"/>
    </row>
    <row r="44" spans="1:16" ht="15" thickBot="1" x14ac:dyDescent="0.4">
      <c r="G44" s="30"/>
      <c r="H44" s="33" t="s">
        <v>294</v>
      </c>
      <c r="I44" s="40">
        <f>'9C.)HL_RedgnRate_SC5_I'!$K$47</f>
        <v>3</v>
      </c>
      <c r="J44" s="136" t="s">
        <v>166</v>
      </c>
      <c r="P44" s="284"/>
    </row>
    <row r="45" spans="1:16" ht="15" thickTop="1" x14ac:dyDescent="0.35">
      <c r="C45" s="1327" t="s">
        <v>293</v>
      </c>
      <c r="E45" s="584" t="s">
        <v>293</v>
      </c>
      <c r="G45" s="1327" t="s">
        <v>168</v>
      </c>
      <c r="I45" s="584" t="s">
        <v>190</v>
      </c>
    </row>
    <row r="46" spans="1:16" s="30" customFormat="1" ht="15" thickBot="1" x14ac:dyDescent="0.4">
      <c r="C46" s="1328"/>
      <c r="E46" s="585" t="s">
        <v>187</v>
      </c>
      <c r="F46" s="219"/>
      <c r="G46" s="1328"/>
      <c r="I46" s="585" t="s">
        <v>191</v>
      </c>
    </row>
    <row r="47" spans="1:16" s="30" customFormat="1" ht="15" thickTop="1" x14ac:dyDescent="0.35">
      <c r="B47" s="30" t="s">
        <v>25</v>
      </c>
      <c r="C47" s="30" t="s">
        <v>185</v>
      </c>
      <c r="E47" s="30" t="s">
        <v>186</v>
      </c>
      <c r="F47" s="219"/>
      <c r="G47" s="30" t="s">
        <v>189</v>
      </c>
      <c r="I47" s="199" t="s">
        <v>295</v>
      </c>
    </row>
    <row r="48" spans="1:16" s="30" customFormat="1" x14ac:dyDescent="0.35">
      <c r="E48" s="30" t="s">
        <v>188</v>
      </c>
      <c r="F48" s="219"/>
    </row>
    <row r="49" spans="1:13" s="30" customFormat="1" ht="15" thickBot="1" x14ac:dyDescent="0.4">
      <c r="C49" s="200" t="s">
        <v>1583</v>
      </c>
      <c r="E49" s="200" t="s">
        <v>1778</v>
      </c>
      <c r="F49" s="234"/>
      <c r="G49" s="200" t="s">
        <v>1173</v>
      </c>
      <c r="I49" s="200" t="s">
        <v>2106</v>
      </c>
      <c r="L49" s="216" t="s">
        <v>214</v>
      </c>
    </row>
    <row r="50" spans="1:13" x14ac:dyDescent="0.35">
      <c r="K50" s="3" t="s">
        <v>193</v>
      </c>
      <c r="L50" s="590">
        <f>1-L51</f>
        <v>0.31000000000000005</v>
      </c>
      <c r="M50" s="136" t="s">
        <v>2105</v>
      </c>
    </row>
    <row r="51" spans="1:13" ht="15" thickBot="1" x14ac:dyDescent="0.4">
      <c r="A51" s="3" t="str">
        <f>CONCATENATE($A$2," TOD")</f>
        <v>SC9 TOD</v>
      </c>
      <c r="C51" s="203">
        <f>L40</f>
        <v>0.63</v>
      </c>
      <c r="E51" s="35">
        <f>K40</f>
        <v>9.1400000000000023</v>
      </c>
      <c r="F51" s="228"/>
      <c r="G51" s="203">
        <f>G40</f>
        <v>0.68869731800766287</v>
      </c>
      <c r="I51" s="870">
        <f>ROUND(C51-ROUND((C51-G51)*(I43/I44),4),2)</f>
        <v>0.69</v>
      </c>
      <c r="K51" s="3" t="s">
        <v>194</v>
      </c>
      <c r="L51" s="215">
        <f>I51</f>
        <v>0.69</v>
      </c>
      <c r="M51" s="136" t="s">
        <v>1111</v>
      </c>
    </row>
    <row r="52" spans="1:13" x14ac:dyDescent="0.35">
      <c r="I52" s="204"/>
    </row>
    <row r="54" spans="1:13" x14ac:dyDescent="0.35">
      <c r="A54" s="70" t="s">
        <v>192</v>
      </c>
    </row>
    <row r="55" spans="1:13" x14ac:dyDescent="0.35">
      <c r="A55" s="190" t="s">
        <v>210</v>
      </c>
    </row>
    <row r="56" spans="1:13" x14ac:dyDescent="0.35">
      <c r="A56" s="190"/>
    </row>
    <row r="57" spans="1:13" x14ac:dyDescent="0.35">
      <c r="A57" s="334" t="s">
        <v>1549</v>
      </c>
    </row>
    <row r="58" spans="1:13" ht="15" thickBot="1" x14ac:dyDescent="0.4">
      <c r="A58" s="410"/>
      <c r="G58" s="30" t="s">
        <v>207</v>
      </c>
    </row>
    <row r="59" spans="1:13" ht="15.5" thickTop="1" thickBot="1" x14ac:dyDescent="0.4">
      <c r="A59" s="410"/>
      <c r="B59" s="1307" t="s">
        <v>203</v>
      </c>
      <c r="C59" s="1309"/>
      <c r="E59" s="30" t="s">
        <v>206</v>
      </c>
      <c r="F59" s="219"/>
      <c r="G59" s="30" t="s">
        <v>208</v>
      </c>
    </row>
    <row r="60" spans="1:13" ht="15" thickTop="1" x14ac:dyDescent="0.35">
      <c r="A60" s="410"/>
      <c r="B60" s="30" t="s">
        <v>42</v>
      </c>
      <c r="C60" s="30" t="s">
        <v>40</v>
      </c>
      <c r="E60" s="30" t="s">
        <v>187</v>
      </c>
      <c r="F60" s="219"/>
      <c r="G60" s="30" t="s">
        <v>209</v>
      </c>
    </row>
    <row r="61" spans="1:13" x14ac:dyDescent="0.35">
      <c r="A61" s="410" t="s">
        <v>196</v>
      </c>
      <c r="B61" s="27">
        <f>$E$19</f>
        <v>8.33</v>
      </c>
      <c r="C61" s="27">
        <f>$E$16</f>
        <v>0</v>
      </c>
      <c r="D61" s="136" t="s">
        <v>165</v>
      </c>
      <c r="G61" s="208">
        <f>ROUND(B61*4/12,2)</f>
        <v>2.78</v>
      </c>
      <c r="H61" s="136" t="s">
        <v>2112</v>
      </c>
    </row>
    <row r="62" spans="1:13" ht="15" thickBot="1" x14ac:dyDescent="0.4">
      <c r="A62" s="410" t="s">
        <v>197</v>
      </c>
      <c r="B62" s="27">
        <f>$E$20</f>
        <v>15.56</v>
      </c>
      <c r="C62" s="27">
        <f>$E$17</f>
        <v>11.48</v>
      </c>
      <c r="D62" s="136" t="s">
        <v>2107</v>
      </c>
      <c r="E62" s="27">
        <f>ROUND(B62-C62,2)</f>
        <v>4.08</v>
      </c>
      <c r="F62" s="136" t="s">
        <v>2110</v>
      </c>
      <c r="G62" s="208">
        <f>ROUND((B62*4+C62*8)/12,2)</f>
        <v>12.84</v>
      </c>
      <c r="H62" s="136" t="s">
        <v>2113</v>
      </c>
      <c r="J62" s="216" t="s">
        <v>203</v>
      </c>
    </row>
    <row r="63" spans="1:13" x14ac:dyDescent="0.35">
      <c r="A63" s="410" t="s">
        <v>198</v>
      </c>
      <c r="B63" s="209">
        <f>$E$21</f>
        <v>16.7</v>
      </c>
      <c r="C63" s="209">
        <f>$E$18</f>
        <v>5.36</v>
      </c>
      <c r="D63" s="136" t="s">
        <v>2108</v>
      </c>
      <c r="E63" s="27">
        <f>ROUND(B63-C63,2)</f>
        <v>11.34</v>
      </c>
      <c r="F63" s="136" t="s">
        <v>2111</v>
      </c>
      <c r="G63" s="210">
        <f>ROUND((B63*4+C63*8)/12,2)</f>
        <v>9.14</v>
      </c>
      <c r="H63" s="136" t="s">
        <v>2114</v>
      </c>
      <c r="I63" s="33" t="s">
        <v>211</v>
      </c>
      <c r="J63" s="588">
        <f>ROUND(G63/G64,4)</f>
        <v>0.36909999999999998</v>
      </c>
      <c r="K63" s="136" t="s">
        <v>2117</v>
      </c>
    </row>
    <row r="64" spans="1:13" ht="15" thickBot="1" x14ac:dyDescent="0.4">
      <c r="A64" s="410" t="s">
        <v>205</v>
      </c>
      <c r="B64" s="27">
        <f>SUM(B61:B63)</f>
        <v>40.590000000000003</v>
      </c>
      <c r="C64" s="27">
        <f>SUM(C61:C63)</f>
        <v>16.84</v>
      </c>
      <c r="D64" s="136" t="s">
        <v>2109</v>
      </c>
      <c r="G64" s="27">
        <f>SUM(G61:G63)</f>
        <v>24.759999999999998</v>
      </c>
      <c r="H64" s="136" t="s">
        <v>2115</v>
      </c>
      <c r="I64" s="33" t="s">
        <v>212</v>
      </c>
      <c r="J64" s="213">
        <f>1-J63</f>
        <v>0.63090000000000002</v>
      </c>
      <c r="K64" s="136" t="s">
        <v>2118</v>
      </c>
    </row>
    <row r="65" spans="1:8" x14ac:dyDescent="0.35">
      <c r="A65" s="410"/>
      <c r="H65" s="200"/>
    </row>
    <row r="66" spans="1:8" x14ac:dyDescent="0.35">
      <c r="A66" s="410"/>
    </row>
    <row r="67" spans="1:8" x14ac:dyDescent="0.35">
      <c r="A67" s="410"/>
    </row>
    <row r="68" spans="1:8" x14ac:dyDescent="0.35">
      <c r="A68" s="410" t="s">
        <v>200</v>
      </c>
      <c r="G68" s="245">
        <f>E27</f>
        <v>461413998</v>
      </c>
      <c r="H68" s="136" t="s">
        <v>109</v>
      </c>
    </row>
    <row r="69" spans="1:8" ht="15" thickBot="1" x14ac:dyDescent="0.4">
      <c r="A69" s="3" t="s">
        <v>201</v>
      </c>
      <c r="G69" s="245">
        <f>E28</f>
        <v>149142023</v>
      </c>
      <c r="H69" s="136" t="s">
        <v>108</v>
      </c>
    </row>
    <row r="70" spans="1:8" ht="15.5" thickTop="1" thickBot="1" x14ac:dyDescent="0.4">
      <c r="A70" s="3" t="s">
        <v>199</v>
      </c>
      <c r="G70" s="591">
        <f>G69/J63*L50</f>
        <v>125261520.26551074</v>
      </c>
      <c r="H70" s="136" t="s">
        <v>2116</v>
      </c>
    </row>
    <row r="71" spans="1:8" ht="15" thickTop="1" x14ac:dyDescent="0.35"/>
    <row r="73" spans="1:8" x14ac:dyDescent="0.35">
      <c r="A73" s="2"/>
      <c r="B73" s="219" t="s">
        <v>42</v>
      </c>
      <c r="C73" s="219" t="s">
        <v>40</v>
      </c>
      <c r="D73" s="2"/>
      <c r="E73" s="2"/>
      <c r="G73" s="2"/>
    </row>
    <row r="74" spans="1:8" x14ac:dyDescent="0.35">
      <c r="A74" s="2" t="s">
        <v>196</v>
      </c>
      <c r="B74" s="72">
        <f>$M$17+$M$18</f>
        <v>7165810.3800000008</v>
      </c>
      <c r="C74" s="582">
        <f>$N$17+$N$18</f>
        <v>12230823.059999995</v>
      </c>
      <c r="D74" s="581"/>
      <c r="E74" s="2"/>
      <c r="G74" s="2"/>
    </row>
    <row r="75" spans="1:8" x14ac:dyDescent="0.35">
      <c r="A75" s="2" t="s">
        <v>197</v>
      </c>
      <c r="B75" s="72">
        <f>$M$19+$M$20</f>
        <v>7184081.1699999999</v>
      </c>
      <c r="C75" s="72">
        <f>$N$19+$N$20</f>
        <v>12264501.02</v>
      </c>
      <c r="D75" s="581"/>
      <c r="E75" s="2"/>
      <c r="G75" s="2"/>
    </row>
    <row r="76" spans="1:8" x14ac:dyDescent="0.35">
      <c r="A76" s="2" t="s">
        <v>198</v>
      </c>
      <c r="B76" s="72">
        <f>$M$21</f>
        <v>5777969.3600000003</v>
      </c>
      <c r="C76" s="72">
        <f>$N$21</f>
        <v>9822749.1299999971</v>
      </c>
      <c r="D76" s="2"/>
      <c r="E76" s="2"/>
      <c r="G76" s="2"/>
    </row>
    <row r="77" spans="1:8" x14ac:dyDescent="0.35">
      <c r="A77" s="2"/>
      <c r="B77" s="2"/>
      <c r="C77" s="2"/>
      <c r="D77" s="2"/>
      <c r="E77" s="2"/>
      <c r="G77" s="2"/>
    </row>
    <row r="78" spans="1:8" x14ac:dyDescent="0.35">
      <c r="A78" s="221" t="s">
        <v>222</v>
      </c>
      <c r="B78" s="2"/>
      <c r="C78" s="2"/>
      <c r="D78" s="2"/>
      <c r="E78" s="2"/>
      <c r="G78" s="227">
        <f>E63</f>
        <v>11.34</v>
      </c>
      <c r="H78" s="136" t="s">
        <v>1556</v>
      </c>
    </row>
    <row r="79" spans="1:8" x14ac:dyDescent="0.35">
      <c r="B79" s="2"/>
      <c r="C79" s="2"/>
      <c r="D79" s="2"/>
      <c r="E79" s="2"/>
      <c r="G79" s="2"/>
      <c r="H79" s="2"/>
    </row>
    <row r="80" spans="1:8" x14ac:dyDescent="0.35">
      <c r="B80" s="2"/>
      <c r="C80" s="219" t="s">
        <v>25</v>
      </c>
      <c r="D80" s="219"/>
      <c r="E80" s="219"/>
      <c r="F80" s="219"/>
      <c r="G80" s="2"/>
      <c r="H80" s="2"/>
    </row>
    <row r="81" spans="1:8" x14ac:dyDescent="0.35">
      <c r="B81" s="222" t="s">
        <v>215</v>
      </c>
      <c r="C81" s="224">
        <f>B76</f>
        <v>5777969.3600000003</v>
      </c>
      <c r="D81" s="2" t="s">
        <v>217</v>
      </c>
      <c r="E81" s="228">
        <f>G78</f>
        <v>11.34</v>
      </c>
      <c r="F81" s="228"/>
      <c r="G81" s="2"/>
      <c r="H81" s="136" t="s">
        <v>2119</v>
      </c>
    </row>
    <row r="82" spans="1:8" x14ac:dyDescent="0.35">
      <c r="B82" s="222" t="s">
        <v>216</v>
      </c>
      <c r="C82" s="225">
        <f>C76</f>
        <v>9822749.1299999971</v>
      </c>
      <c r="D82" s="2" t="s">
        <v>32</v>
      </c>
      <c r="E82" s="2"/>
      <c r="G82" s="2"/>
      <c r="H82" s="136" t="s">
        <v>2120</v>
      </c>
    </row>
    <row r="83" spans="1:8" x14ac:dyDescent="0.35">
      <c r="C83" s="28">
        <f>C81+C82</f>
        <v>15600718.489999998</v>
      </c>
      <c r="D83" s="136" t="s">
        <v>1638</v>
      </c>
    </row>
    <row r="84" spans="1:8" x14ac:dyDescent="0.35">
      <c r="A84" s="410"/>
    </row>
    <row r="85" spans="1:8" x14ac:dyDescent="0.35">
      <c r="A85" s="410"/>
      <c r="B85" s="222" t="s">
        <v>218</v>
      </c>
      <c r="C85" s="34">
        <f>G70</f>
        <v>125261520.26551074</v>
      </c>
      <c r="D85" s="226" t="s">
        <v>31</v>
      </c>
      <c r="E85" s="28">
        <f>C83</f>
        <v>15600718.489999998</v>
      </c>
      <c r="F85" s="2" t="s">
        <v>217</v>
      </c>
      <c r="G85" s="34">
        <f>ROUND(C81*E81,0)</f>
        <v>65522173</v>
      </c>
      <c r="H85" s="136" t="s">
        <v>2121</v>
      </c>
    </row>
    <row r="86" spans="1:8" x14ac:dyDescent="0.35">
      <c r="A86" s="410"/>
      <c r="C86" s="34">
        <f>C85-G85</f>
        <v>59739347.265510738</v>
      </c>
      <c r="D86" s="226" t="s">
        <v>31</v>
      </c>
      <c r="E86" s="28">
        <f>E85</f>
        <v>15600718.489999998</v>
      </c>
      <c r="F86" s="2" t="s">
        <v>32</v>
      </c>
      <c r="H86" s="136" t="s">
        <v>2122</v>
      </c>
    </row>
    <row r="87" spans="1:8" x14ac:dyDescent="0.35">
      <c r="A87" s="410"/>
      <c r="B87" s="222" t="s">
        <v>219</v>
      </c>
      <c r="C87" s="222" t="s">
        <v>32</v>
      </c>
      <c r="D87" s="226" t="s">
        <v>31</v>
      </c>
      <c r="E87" s="229">
        <f>ROUND(C86/E86,2)</f>
        <v>3.83</v>
      </c>
      <c r="F87" s="228"/>
      <c r="H87" s="136" t="s">
        <v>2123</v>
      </c>
    </row>
    <row r="88" spans="1:8" x14ac:dyDescent="0.35">
      <c r="A88" s="410"/>
      <c r="B88" s="222" t="s">
        <v>220</v>
      </c>
      <c r="D88" s="226" t="s">
        <v>31</v>
      </c>
      <c r="E88" s="229">
        <f>E87+E81</f>
        <v>15.17</v>
      </c>
      <c r="F88" s="228"/>
      <c r="H88" s="136" t="s">
        <v>2124</v>
      </c>
    </row>
    <row r="89" spans="1:8" x14ac:dyDescent="0.35">
      <c r="A89" s="410"/>
    </row>
    <row r="90" spans="1:8" x14ac:dyDescent="0.35">
      <c r="A90" s="410"/>
    </row>
    <row r="91" spans="1:8" x14ac:dyDescent="0.35">
      <c r="A91" s="334" t="s">
        <v>1547</v>
      </c>
      <c r="G91" s="227">
        <f>B61</f>
        <v>8.33</v>
      </c>
      <c r="H91" s="136" t="s">
        <v>165</v>
      </c>
    </row>
    <row r="92" spans="1:8" x14ac:dyDescent="0.35">
      <c r="A92" s="410"/>
    </row>
    <row r="93" spans="1:8" x14ac:dyDescent="0.35">
      <c r="A93" s="410"/>
      <c r="B93" s="222" t="s">
        <v>224</v>
      </c>
      <c r="C93" s="28">
        <f>B74</f>
        <v>7165810.3800000008</v>
      </c>
      <c r="D93" s="3" t="s">
        <v>39</v>
      </c>
      <c r="E93" s="27">
        <f>G91</f>
        <v>8.33</v>
      </c>
      <c r="F93" s="226" t="s">
        <v>31</v>
      </c>
      <c r="G93" s="34">
        <f>ROUND(C93*E93,0)</f>
        <v>59691200</v>
      </c>
      <c r="H93" s="136" t="s">
        <v>2125</v>
      </c>
    </row>
    <row r="94" spans="1:8" x14ac:dyDescent="0.35">
      <c r="A94" s="410"/>
    </row>
    <row r="95" spans="1:8" x14ac:dyDescent="0.35">
      <c r="A95" s="410"/>
    </row>
    <row r="96" spans="1:8" x14ac:dyDescent="0.35">
      <c r="A96" s="334" t="s">
        <v>1548</v>
      </c>
      <c r="G96" s="227">
        <f>E62</f>
        <v>4.08</v>
      </c>
      <c r="H96" s="136" t="s">
        <v>1091</v>
      </c>
    </row>
    <row r="97" spans="1:8" x14ac:dyDescent="0.35">
      <c r="A97" s="410"/>
    </row>
    <row r="98" spans="1:8" x14ac:dyDescent="0.35">
      <c r="A98" s="410"/>
      <c r="B98" s="3" t="s">
        <v>225</v>
      </c>
      <c r="E98" s="26">
        <f>G68</f>
        <v>461413998</v>
      </c>
      <c r="F98" s="136" t="s">
        <v>109</v>
      </c>
    </row>
    <row r="99" spans="1:8" x14ac:dyDescent="0.35">
      <c r="A99" s="410"/>
      <c r="B99" s="3" t="s">
        <v>226</v>
      </c>
      <c r="E99" s="278">
        <f>G70</f>
        <v>125261520.26551074</v>
      </c>
      <c r="F99" s="136" t="s">
        <v>1574</v>
      </c>
    </row>
    <row r="100" spans="1:8" x14ac:dyDescent="0.35">
      <c r="A100" s="410"/>
      <c r="B100" s="3" t="s">
        <v>227</v>
      </c>
      <c r="E100" s="37">
        <f>G93</f>
        <v>59691200</v>
      </c>
      <c r="F100" s="136" t="s">
        <v>229</v>
      </c>
    </row>
    <row r="101" spans="1:8" x14ac:dyDescent="0.35">
      <c r="A101" s="410"/>
      <c r="B101" s="3" t="s">
        <v>228</v>
      </c>
      <c r="E101" s="34">
        <f>E98-E99-E100</f>
        <v>276461277.73448926</v>
      </c>
      <c r="F101" s="136" t="s">
        <v>2131</v>
      </c>
    </row>
    <row r="102" spans="1:8" x14ac:dyDescent="0.35">
      <c r="A102" s="410"/>
    </row>
    <row r="104" spans="1:8" x14ac:dyDescent="0.35">
      <c r="B104" s="222" t="s">
        <v>230</v>
      </c>
      <c r="C104" s="224">
        <f>B75</f>
        <v>7184081.1699999999</v>
      </c>
      <c r="D104" s="2" t="s">
        <v>217</v>
      </c>
      <c r="E104" s="27">
        <f>G96</f>
        <v>4.08</v>
      </c>
      <c r="H104" s="136" t="s">
        <v>2126</v>
      </c>
    </row>
    <row r="105" spans="1:8" x14ac:dyDescent="0.35">
      <c r="B105" s="222" t="s">
        <v>231</v>
      </c>
      <c r="C105" s="225">
        <f>C75</f>
        <v>12264501.02</v>
      </c>
      <c r="D105" s="2" t="s">
        <v>32</v>
      </c>
      <c r="H105" s="136" t="s">
        <v>2120</v>
      </c>
    </row>
    <row r="106" spans="1:8" x14ac:dyDescent="0.35">
      <c r="C106" s="28">
        <f>C104+C105</f>
        <v>19448582.189999998</v>
      </c>
      <c r="D106" s="136" t="s">
        <v>1604</v>
      </c>
    </row>
    <row r="108" spans="1:8" x14ac:dyDescent="0.35">
      <c r="B108" s="222" t="s">
        <v>218</v>
      </c>
      <c r="C108" s="277">
        <f>E101</f>
        <v>276461277.73448926</v>
      </c>
      <c r="D108" s="226" t="s">
        <v>31</v>
      </c>
      <c r="E108" s="28">
        <f>C106</f>
        <v>19448582.189999998</v>
      </c>
      <c r="F108" s="2" t="s">
        <v>217</v>
      </c>
      <c r="G108" s="34">
        <f>ROUND(C104*E104,0)</f>
        <v>29311051</v>
      </c>
      <c r="H108" s="136" t="s">
        <v>2127</v>
      </c>
    </row>
    <row r="109" spans="1:8" x14ac:dyDescent="0.35">
      <c r="C109" s="34">
        <f>C108-G108</f>
        <v>247150226.73448926</v>
      </c>
      <c r="D109" s="226" t="s">
        <v>31</v>
      </c>
      <c r="E109" s="28">
        <f>E108</f>
        <v>19448582.189999998</v>
      </c>
      <c r="F109" s="2" t="s">
        <v>32</v>
      </c>
      <c r="H109" s="136" t="s">
        <v>2128</v>
      </c>
    </row>
    <row r="110" spans="1:8" x14ac:dyDescent="0.35">
      <c r="B110" s="222" t="s">
        <v>232</v>
      </c>
      <c r="C110" s="222" t="s">
        <v>32</v>
      </c>
      <c r="D110" s="226" t="s">
        <v>31</v>
      </c>
      <c r="E110" s="229">
        <f>ROUND(C109/E109,2)</f>
        <v>12.71</v>
      </c>
      <c r="H110" s="136" t="s">
        <v>2129</v>
      </c>
    </row>
    <row r="111" spans="1:8" x14ac:dyDescent="0.35">
      <c r="B111" s="222" t="s">
        <v>233</v>
      </c>
      <c r="D111" s="226" t="s">
        <v>31</v>
      </c>
      <c r="E111" s="229">
        <f>E110+E104</f>
        <v>16.79</v>
      </c>
      <c r="H111" s="136" t="s">
        <v>2130</v>
      </c>
    </row>
    <row r="113" spans="1:16" ht="15" thickBot="1" x14ac:dyDescent="0.4">
      <c r="F113" s="3"/>
    </row>
    <row r="114" spans="1:16" ht="15" thickBot="1" x14ac:dyDescent="0.4">
      <c r="A114" s="60"/>
      <c r="B114" s="59"/>
      <c r="C114" s="59"/>
      <c r="D114" s="98"/>
      <c r="F114" s="3"/>
    </row>
    <row r="115" spans="1:16" ht="15.5" thickTop="1" thickBot="1" x14ac:dyDescent="0.4">
      <c r="A115" s="235" t="str">
        <f>$A$2</f>
        <v>SC9</v>
      </c>
      <c r="B115" s="1307" t="s">
        <v>235</v>
      </c>
      <c r="C115" s="1309"/>
      <c r="D115" s="94"/>
      <c r="F115" s="3"/>
    </row>
    <row r="116" spans="1:16" ht="15" thickTop="1" x14ac:dyDescent="0.35">
      <c r="A116" s="235" t="str">
        <f>$A$3</f>
        <v>Rate II</v>
      </c>
      <c r="B116" s="236" t="s">
        <v>42</v>
      </c>
      <c r="C116" s="236" t="s">
        <v>40</v>
      </c>
      <c r="D116" s="94"/>
      <c r="F116" s="3"/>
    </row>
    <row r="117" spans="1:16" x14ac:dyDescent="0.35">
      <c r="A117" s="96" t="s">
        <v>196</v>
      </c>
      <c r="B117" s="237">
        <f>B61</f>
        <v>8.33</v>
      </c>
      <c r="C117" s="237">
        <f>E72</f>
        <v>0</v>
      </c>
      <c r="D117" s="94"/>
      <c r="E117" s="136" t="s">
        <v>165</v>
      </c>
      <c r="F117" s="3"/>
    </row>
    <row r="118" spans="1:16" x14ac:dyDescent="0.35">
      <c r="A118" s="96" t="s">
        <v>197</v>
      </c>
      <c r="B118" s="237">
        <f>E111</f>
        <v>16.79</v>
      </c>
      <c r="C118" s="237">
        <f>E110</f>
        <v>12.71</v>
      </c>
      <c r="D118" s="94"/>
      <c r="E118" s="136" t="s">
        <v>1734</v>
      </c>
      <c r="F118" s="136" t="s">
        <v>1733</v>
      </c>
    </row>
    <row r="119" spans="1:16" x14ac:dyDescent="0.35">
      <c r="A119" s="96" t="s">
        <v>198</v>
      </c>
      <c r="B119" s="209">
        <f>E88</f>
        <v>15.17</v>
      </c>
      <c r="C119" s="209">
        <f>E87</f>
        <v>3.83</v>
      </c>
      <c r="D119" s="94"/>
      <c r="E119" s="136" t="s">
        <v>1640</v>
      </c>
      <c r="F119" s="136" t="s">
        <v>1639</v>
      </c>
    </row>
    <row r="120" spans="1:16" x14ac:dyDescent="0.35">
      <c r="A120" s="96" t="s">
        <v>205</v>
      </c>
      <c r="B120" s="237">
        <f>SUM(B117:B119)</f>
        <v>40.29</v>
      </c>
      <c r="C120" s="237">
        <f>SUM(C117:C119)</f>
        <v>16.54</v>
      </c>
      <c r="D120" s="94"/>
      <c r="E120" s="136" t="s">
        <v>2132</v>
      </c>
      <c r="F120" s="136" t="s">
        <v>2133</v>
      </c>
    </row>
    <row r="121" spans="1:16" ht="15" thickBot="1" x14ac:dyDescent="0.4">
      <c r="A121" s="93"/>
      <c r="B121" s="46"/>
      <c r="C121" s="46"/>
      <c r="D121" s="91"/>
      <c r="F121" s="3"/>
    </row>
    <row r="124" spans="1:16" s="88" customFormat="1" x14ac:dyDescent="0.35"/>
    <row r="125" spans="1:16" ht="18.5" x14ac:dyDescent="0.35">
      <c r="A125" s="238" t="s">
        <v>241</v>
      </c>
      <c r="F125" s="3"/>
    </row>
    <row r="126" spans="1:16" x14ac:dyDescent="0.35">
      <c r="F126" s="3"/>
    </row>
    <row r="127" spans="1:16" x14ac:dyDescent="0.35">
      <c r="F127" s="3"/>
    </row>
    <row r="128" spans="1:16" ht="15" thickBot="1" x14ac:dyDescent="0.4">
      <c r="G128" s="30" t="s">
        <v>207</v>
      </c>
      <c r="O128" s="2"/>
      <c r="P128" s="30" t="s">
        <v>207</v>
      </c>
    </row>
    <row r="129" spans="1:17" ht="15.5" thickTop="1" thickBot="1" x14ac:dyDescent="0.4">
      <c r="A129" s="239" t="str">
        <f>$A$2</f>
        <v>SC9</v>
      </c>
      <c r="B129" s="1307" t="s">
        <v>203</v>
      </c>
      <c r="C129" s="1309"/>
      <c r="E129" s="30" t="s">
        <v>206</v>
      </c>
      <c r="F129" s="219"/>
      <c r="G129" s="30" t="s">
        <v>208</v>
      </c>
      <c r="J129" s="239" t="str">
        <f>$A$2</f>
        <v>SC9</v>
      </c>
      <c r="K129" s="1307" t="s">
        <v>235</v>
      </c>
      <c r="L129" s="1309"/>
      <c r="N129" s="30" t="s">
        <v>206</v>
      </c>
      <c r="O129" s="219"/>
      <c r="P129" s="30" t="s">
        <v>208</v>
      </c>
    </row>
    <row r="130" spans="1:17" ht="15" thickTop="1" x14ac:dyDescent="0.35">
      <c r="A130" s="239" t="str">
        <f>$A$3</f>
        <v>Rate II</v>
      </c>
      <c r="B130" s="30" t="s">
        <v>42</v>
      </c>
      <c r="C130" s="30" t="s">
        <v>40</v>
      </c>
      <c r="E130" s="30" t="s">
        <v>187</v>
      </c>
      <c r="F130" s="219"/>
      <c r="G130" s="30" t="s">
        <v>209</v>
      </c>
      <c r="J130" s="239" t="str">
        <f>$A$3</f>
        <v>Rate II</v>
      </c>
      <c r="K130" s="30" t="s">
        <v>42</v>
      </c>
      <c r="L130" s="30" t="s">
        <v>40</v>
      </c>
      <c r="N130" s="30" t="s">
        <v>187</v>
      </c>
      <c r="O130" s="219"/>
      <c r="P130" s="30" t="s">
        <v>209</v>
      </c>
    </row>
    <row r="131" spans="1:17" x14ac:dyDescent="0.35">
      <c r="A131" s="3" t="s">
        <v>196</v>
      </c>
      <c r="B131" s="27">
        <f>B61</f>
        <v>8.33</v>
      </c>
      <c r="C131" s="27">
        <f t="shared" ref="C131:C133" si="2">C61</f>
        <v>0</v>
      </c>
      <c r="G131" s="208">
        <f>ROUND(B131*4/12,2)</f>
        <v>2.78</v>
      </c>
      <c r="J131" s="3" t="s">
        <v>196</v>
      </c>
      <c r="K131" s="27">
        <f>B117</f>
        <v>8.33</v>
      </c>
      <c r="L131" s="27">
        <f>C117</f>
        <v>0</v>
      </c>
      <c r="O131" s="2"/>
      <c r="P131" s="208">
        <f>ROUND(K131*4/12,2)</f>
        <v>2.78</v>
      </c>
    </row>
    <row r="132" spans="1:17" x14ac:dyDescent="0.35">
      <c r="A132" s="3" t="s">
        <v>197</v>
      </c>
      <c r="B132" s="27">
        <f t="shared" ref="B132:B133" si="3">B62</f>
        <v>15.56</v>
      </c>
      <c r="C132" s="27">
        <f t="shared" si="2"/>
        <v>11.48</v>
      </c>
      <c r="E132" s="27">
        <f>ROUND(B132-C132,2)</f>
        <v>4.08</v>
      </c>
      <c r="F132" s="223"/>
      <c r="G132" s="208">
        <f>ROUND((B132*4+C132*8)/12,2)</f>
        <v>12.84</v>
      </c>
      <c r="J132" s="3" t="s">
        <v>197</v>
      </c>
      <c r="K132" s="27">
        <f t="shared" ref="K132:L133" si="4">B118</f>
        <v>16.79</v>
      </c>
      <c r="L132" s="27">
        <f t="shared" si="4"/>
        <v>12.71</v>
      </c>
      <c r="N132" s="27">
        <f>ROUND(K132-L132,2)</f>
        <v>4.08</v>
      </c>
      <c r="O132" s="223"/>
      <c r="P132" s="208">
        <f>ROUND((K132*4+L132*8)/12,2)</f>
        <v>14.07</v>
      </c>
    </row>
    <row r="133" spans="1:17" x14ac:dyDescent="0.35">
      <c r="A133" s="3" t="s">
        <v>198</v>
      </c>
      <c r="B133" s="27">
        <f t="shared" si="3"/>
        <v>16.7</v>
      </c>
      <c r="C133" s="27">
        <f t="shared" si="2"/>
        <v>5.36</v>
      </c>
      <c r="E133" s="27">
        <f>ROUND(B133-C133,2)</f>
        <v>11.34</v>
      </c>
      <c r="F133" s="223"/>
      <c r="G133" s="210">
        <f>ROUND((B133*4+C133*8)/12,2)</f>
        <v>9.14</v>
      </c>
      <c r="J133" s="3" t="s">
        <v>198</v>
      </c>
      <c r="K133" s="27">
        <f t="shared" si="4"/>
        <v>15.17</v>
      </c>
      <c r="L133" s="27">
        <f t="shared" si="4"/>
        <v>3.83</v>
      </c>
      <c r="N133" s="27">
        <f>ROUND(K133-L133,2)</f>
        <v>11.34</v>
      </c>
      <c r="O133" s="223"/>
      <c r="P133" s="210">
        <f>ROUND((K133*4+L133*8)/12,2)</f>
        <v>7.61</v>
      </c>
    </row>
    <row r="134" spans="1:17" x14ac:dyDescent="0.35">
      <c r="A134" s="3" t="s">
        <v>205</v>
      </c>
      <c r="B134" s="27">
        <f>SUM(B131:B133)</f>
        <v>40.590000000000003</v>
      </c>
      <c r="C134" s="27">
        <f>SUM(C131:C133)</f>
        <v>16.84</v>
      </c>
      <c r="G134" s="27">
        <f>SUM(G131:G133)</f>
        <v>24.759999999999998</v>
      </c>
      <c r="J134" s="3" t="s">
        <v>205</v>
      </c>
      <c r="K134" s="27">
        <f>SUM(K131:K133)</f>
        <v>40.29</v>
      </c>
      <c r="L134" s="27">
        <f>SUM(L131:L133)</f>
        <v>16.54</v>
      </c>
      <c r="O134" s="2"/>
      <c r="P134" s="27">
        <f>SUM(P131:P133)</f>
        <v>24.46</v>
      </c>
    </row>
    <row r="135" spans="1:17" x14ac:dyDescent="0.35">
      <c r="O135" s="2"/>
    </row>
    <row r="136" spans="1:17" x14ac:dyDescent="0.35">
      <c r="F136" s="33" t="s">
        <v>193</v>
      </c>
      <c r="G136" s="27">
        <f>G133</f>
        <v>9.14</v>
      </c>
      <c r="H136" s="240">
        <f>ROUND(G136/G137,4)</f>
        <v>0.36909999999999998</v>
      </c>
      <c r="O136" s="33" t="s">
        <v>193</v>
      </c>
      <c r="P136" s="27">
        <f>P133</f>
        <v>7.61</v>
      </c>
      <c r="Q136" s="240">
        <f>ROUND(P136/P137,4)</f>
        <v>0.31109999999999999</v>
      </c>
    </row>
    <row r="137" spans="1:17" x14ac:dyDescent="0.35">
      <c r="F137" s="33" t="s">
        <v>194</v>
      </c>
      <c r="G137" s="27">
        <f>G134</f>
        <v>24.759999999999998</v>
      </c>
      <c r="H137" s="241">
        <f>1-H136</f>
        <v>0.63090000000000002</v>
      </c>
      <c r="O137" s="33" t="s">
        <v>194</v>
      </c>
      <c r="P137" s="27">
        <f>P134</f>
        <v>24.46</v>
      </c>
      <c r="Q137" s="241">
        <f>1-Q136</f>
        <v>0.68890000000000007</v>
      </c>
    </row>
    <row r="138" spans="1:17" ht="15" thickBot="1" x14ac:dyDescent="0.4">
      <c r="O138" s="2"/>
    </row>
    <row r="139" spans="1:17" ht="15.5" thickTop="1" thickBot="1" x14ac:dyDescent="0.4">
      <c r="B139" s="1307" t="s">
        <v>236</v>
      </c>
      <c r="C139" s="1309"/>
      <c r="K139" s="1307" t="s">
        <v>236</v>
      </c>
      <c r="L139" s="1309"/>
      <c r="O139" s="2"/>
    </row>
    <row r="140" spans="1:17" ht="15" thickTop="1" x14ac:dyDescent="0.35">
      <c r="A140" s="3" t="s">
        <v>196</v>
      </c>
      <c r="B140" s="35">
        <f>B131-$C$132</f>
        <v>-3.1500000000000004</v>
      </c>
      <c r="J140" s="3" t="s">
        <v>196</v>
      </c>
      <c r="K140" s="35">
        <f>K131-$C$132</f>
        <v>-3.1500000000000004</v>
      </c>
      <c r="O140" s="2"/>
    </row>
    <row r="141" spans="1:17" x14ac:dyDescent="0.35">
      <c r="A141" s="3" t="s">
        <v>197</v>
      </c>
      <c r="B141" s="35">
        <f>B132-$C$132</f>
        <v>4.08</v>
      </c>
      <c r="C141" s="35">
        <f t="shared" ref="C141:C142" si="5">C132-$C$132</f>
        <v>0</v>
      </c>
      <c r="J141" s="3" t="s">
        <v>197</v>
      </c>
      <c r="K141" s="35">
        <f>K132-$C$132</f>
        <v>5.3099999999999987</v>
      </c>
      <c r="L141" s="35">
        <f t="shared" ref="L141:L142" si="6">L132-$C$132</f>
        <v>1.2300000000000004</v>
      </c>
      <c r="O141" s="2"/>
    </row>
    <row r="142" spans="1:17" x14ac:dyDescent="0.35">
      <c r="A142" s="3" t="s">
        <v>198</v>
      </c>
      <c r="B142" s="35">
        <f>B133-$C$132</f>
        <v>5.2199999999999989</v>
      </c>
      <c r="C142" s="35">
        <f t="shared" si="5"/>
        <v>-6.12</v>
      </c>
      <c r="J142" s="3" t="s">
        <v>198</v>
      </c>
      <c r="K142" s="35">
        <f>K133-$C$132</f>
        <v>3.6899999999999995</v>
      </c>
      <c r="L142" s="35">
        <f t="shared" si="6"/>
        <v>-7.65</v>
      </c>
      <c r="O142" s="2"/>
    </row>
    <row r="143" spans="1:17" x14ac:dyDescent="0.35">
      <c r="O143" s="2"/>
    </row>
    <row r="144" spans="1:17" ht="15" thickBot="1" x14ac:dyDescent="0.4">
      <c r="F144" s="3"/>
    </row>
    <row r="145" spans="1:14" ht="15.5" thickTop="1" thickBot="1" x14ac:dyDescent="0.4">
      <c r="B145" s="1307" t="s">
        <v>25</v>
      </c>
      <c r="C145" s="1309"/>
      <c r="F145" s="3"/>
      <c r="K145" s="1307" t="s">
        <v>25</v>
      </c>
      <c r="L145" s="1309"/>
    </row>
    <row r="146" spans="1:14" ht="15" thickTop="1" x14ac:dyDescent="0.35">
      <c r="B146" s="30" t="s">
        <v>42</v>
      </c>
      <c r="C146" s="30" t="s">
        <v>40</v>
      </c>
      <c r="F146" s="3"/>
      <c r="K146" s="30" t="s">
        <v>42</v>
      </c>
      <c r="L146" s="30" t="s">
        <v>40</v>
      </c>
    </row>
    <row r="147" spans="1:14" x14ac:dyDescent="0.35">
      <c r="A147" s="3" t="s">
        <v>196</v>
      </c>
      <c r="B147" s="242">
        <f>B74</f>
        <v>7165810.3800000008</v>
      </c>
      <c r="C147" s="242">
        <f>C74</f>
        <v>12230823.059999995</v>
      </c>
      <c r="F147" s="3"/>
      <c r="J147" s="3" t="s">
        <v>196</v>
      </c>
      <c r="K147" s="242">
        <f>B147</f>
        <v>7165810.3800000008</v>
      </c>
      <c r="L147" s="242">
        <f t="shared" ref="L147:L149" si="7">C147</f>
        <v>12230823.059999995</v>
      </c>
    </row>
    <row r="148" spans="1:14" x14ac:dyDescent="0.35">
      <c r="A148" s="3" t="s">
        <v>197</v>
      </c>
      <c r="B148" s="242">
        <f t="shared" ref="B148:C149" si="8">B75</f>
        <v>7184081.1699999999</v>
      </c>
      <c r="C148" s="242">
        <f t="shared" si="8"/>
        <v>12264501.02</v>
      </c>
      <c r="F148" s="3"/>
      <c r="J148" s="3" t="s">
        <v>197</v>
      </c>
      <c r="K148" s="242">
        <f t="shared" ref="K148:K149" si="9">B148</f>
        <v>7184081.1699999999</v>
      </c>
      <c r="L148" s="242">
        <f t="shared" si="7"/>
        <v>12264501.02</v>
      </c>
    </row>
    <row r="149" spans="1:14" x14ac:dyDescent="0.35">
      <c r="A149" s="3" t="s">
        <v>198</v>
      </c>
      <c r="B149" s="242">
        <f t="shared" si="8"/>
        <v>5777969.3600000003</v>
      </c>
      <c r="C149" s="242">
        <f t="shared" si="8"/>
        <v>9822749.1299999971</v>
      </c>
      <c r="F149" s="3"/>
      <c r="J149" s="3" t="s">
        <v>198</v>
      </c>
      <c r="K149" s="242">
        <f t="shared" si="9"/>
        <v>5777969.3600000003</v>
      </c>
      <c r="L149" s="242">
        <f t="shared" si="7"/>
        <v>9822749.1299999971</v>
      </c>
    </row>
    <row r="150" spans="1:14" x14ac:dyDescent="0.35">
      <c r="B150" s="242"/>
      <c r="C150" s="242"/>
      <c r="F150" s="3"/>
      <c r="K150" s="242"/>
      <c r="L150" s="242"/>
    </row>
    <row r="151" spans="1:14" ht="15" thickBot="1" x14ac:dyDescent="0.4">
      <c r="F151" s="3"/>
    </row>
    <row r="152" spans="1:14" ht="15.5" thickTop="1" thickBot="1" x14ac:dyDescent="0.4">
      <c r="B152" s="1307" t="s">
        <v>239</v>
      </c>
      <c r="C152" s="1308"/>
      <c r="D152" s="1308"/>
      <c r="E152" s="1309"/>
      <c r="F152" s="3"/>
      <c r="K152" s="1307" t="s">
        <v>239</v>
      </c>
      <c r="L152" s="1308"/>
      <c r="M152" s="1308"/>
      <c r="N152" s="1309"/>
    </row>
    <row r="153" spans="1:14" ht="15" thickTop="1" x14ac:dyDescent="0.35">
      <c r="B153" s="30" t="s">
        <v>42</v>
      </c>
      <c r="C153" s="30" t="s">
        <v>40</v>
      </c>
      <c r="E153" s="30" t="s">
        <v>237</v>
      </c>
      <c r="F153" s="3"/>
      <c r="K153" s="30" t="s">
        <v>42</v>
      </c>
      <c r="L153" s="30" t="s">
        <v>40</v>
      </c>
      <c r="N153" s="30" t="s">
        <v>237</v>
      </c>
    </row>
    <row r="154" spans="1:14" x14ac:dyDescent="0.35">
      <c r="A154" s="3" t="s">
        <v>196</v>
      </c>
      <c r="B154" s="103">
        <f t="shared" ref="B154:C156" si="10">ROUND(B131*B147,0)</f>
        <v>59691200</v>
      </c>
      <c r="C154" s="103">
        <f t="shared" si="10"/>
        <v>0</v>
      </c>
      <c r="E154" s="34">
        <f>B154+C154</f>
        <v>59691200</v>
      </c>
      <c r="F154" s="3"/>
      <c r="J154" s="3" t="s">
        <v>196</v>
      </c>
      <c r="K154" s="103">
        <f t="shared" ref="K154:L156" si="11">ROUND(K131*K147,0)</f>
        <v>59691200</v>
      </c>
      <c r="L154" s="103">
        <f t="shared" si="11"/>
        <v>0</v>
      </c>
      <c r="N154" s="34">
        <f>K154+L154</f>
        <v>59691200</v>
      </c>
    </row>
    <row r="155" spans="1:14" x14ac:dyDescent="0.35">
      <c r="A155" s="3" t="s">
        <v>197</v>
      </c>
      <c r="B155" s="103">
        <f t="shared" si="10"/>
        <v>111784303</v>
      </c>
      <c r="C155" s="103">
        <f t="shared" si="10"/>
        <v>140796472</v>
      </c>
      <c r="E155" s="34">
        <f t="shared" ref="E155:E156" si="12">B155+C155</f>
        <v>252580775</v>
      </c>
      <c r="F155" s="3"/>
      <c r="J155" s="3" t="s">
        <v>197</v>
      </c>
      <c r="K155" s="103">
        <f t="shared" si="11"/>
        <v>120620723</v>
      </c>
      <c r="L155" s="103">
        <f t="shared" si="11"/>
        <v>155881808</v>
      </c>
      <c r="N155" s="34">
        <f t="shared" ref="N155:N156" si="13">K155+L155</f>
        <v>276502531</v>
      </c>
    </row>
    <row r="156" spans="1:14" ht="15" thickBot="1" x14ac:dyDescent="0.4">
      <c r="A156" s="3" t="s">
        <v>198</v>
      </c>
      <c r="B156" s="103">
        <f t="shared" si="10"/>
        <v>96492088</v>
      </c>
      <c r="C156" s="103">
        <f t="shared" si="10"/>
        <v>52649935</v>
      </c>
      <c r="E156" s="34">
        <f t="shared" si="12"/>
        <v>149142023</v>
      </c>
      <c r="F156" s="3"/>
      <c r="J156" s="3" t="s">
        <v>198</v>
      </c>
      <c r="K156" s="103">
        <f t="shared" si="11"/>
        <v>87651795</v>
      </c>
      <c r="L156" s="103">
        <f t="shared" si="11"/>
        <v>37621129</v>
      </c>
      <c r="N156" s="34">
        <f t="shared" si="13"/>
        <v>125272924</v>
      </c>
    </row>
    <row r="157" spans="1:14" ht="15.5" thickTop="1" thickBot="1" x14ac:dyDescent="0.4">
      <c r="A157" s="3" t="s">
        <v>205</v>
      </c>
      <c r="B157" s="243">
        <f>SUM(B154:B156)</f>
        <v>267967591</v>
      </c>
      <c r="C157" s="243">
        <f>SUM(C154:C156)</f>
        <v>193446407</v>
      </c>
      <c r="E157" s="243">
        <f>SUM(E154:E156)</f>
        <v>461413998</v>
      </c>
      <c r="F157" s="3"/>
      <c r="J157" s="3" t="s">
        <v>205</v>
      </c>
      <c r="K157" s="243">
        <f>SUM(K154:K156)</f>
        <v>267963718</v>
      </c>
      <c r="L157" s="243">
        <f>SUM(L154:L156)</f>
        <v>193502937</v>
      </c>
      <c r="N157" s="243">
        <f>SUM(N154:N156)</f>
        <v>461466655</v>
      </c>
    </row>
    <row r="158" spans="1:14" ht="15" thickTop="1" x14ac:dyDescent="0.35">
      <c r="F158" s="3"/>
    </row>
    <row r="159" spans="1:14" x14ac:dyDescent="0.35">
      <c r="A159" s="3" t="s">
        <v>238</v>
      </c>
      <c r="B159" s="3">
        <f>E24</f>
        <v>1.0119199999999999</v>
      </c>
      <c r="C159" s="3">
        <f>E25</f>
        <v>1.01067</v>
      </c>
      <c r="F159" s="3"/>
      <c r="J159" s="3" t="s">
        <v>238</v>
      </c>
      <c r="K159" s="3">
        <f>B159</f>
        <v>1.0119199999999999</v>
      </c>
      <c r="L159" s="3">
        <f>C159</f>
        <v>1.01067</v>
      </c>
    </row>
    <row r="160" spans="1:14" ht="15" thickBot="1" x14ac:dyDescent="0.4">
      <c r="F160" s="3"/>
    </row>
    <row r="161" spans="1:14" ht="15.5" thickTop="1" thickBot="1" x14ac:dyDescent="0.4">
      <c r="B161" s="1307" t="s">
        <v>240</v>
      </c>
      <c r="C161" s="1308"/>
      <c r="D161" s="1308"/>
      <c r="E161" s="1309"/>
      <c r="F161" s="3"/>
      <c r="K161" s="1307" t="s">
        <v>240</v>
      </c>
      <c r="L161" s="1308"/>
      <c r="M161" s="1308"/>
      <c r="N161" s="1309"/>
    </row>
    <row r="162" spans="1:14" ht="15" thickTop="1" x14ac:dyDescent="0.35">
      <c r="B162" s="30" t="s">
        <v>42</v>
      </c>
      <c r="C162" s="30" t="s">
        <v>40</v>
      </c>
      <c r="E162" s="30" t="s">
        <v>237</v>
      </c>
      <c r="F162" s="3"/>
      <c r="K162" s="30" t="s">
        <v>42</v>
      </c>
      <c r="L162" s="30" t="s">
        <v>40</v>
      </c>
      <c r="N162" s="30" t="s">
        <v>237</v>
      </c>
    </row>
    <row r="163" spans="1:14" x14ac:dyDescent="0.35">
      <c r="A163" s="3" t="s">
        <v>196</v>
      </c>
      <c r="B163" s="103">
        <f>ROUND(B154*$B$159,0)</f>
        <v>60402719</v>
      </c>
      <c r="C163" s="103">
        <f>ROUND(C154*$C$159,0)</f>
        <v>0</v>
      </c>
      <c r="E163" s="34">
        <f>B163+C163</f>
        <v>60402719</v>
      </c>
      <c r="F163" s="3"/>
      <c r="J163" s="3" t="s">
        <v>196</v>
      </c>
      <c r="K163" s="103">
        <f>ROUND(K154*$B$159,0)</f>
        <v>60402719</v>
      </c>
      <c r="L163" s="103">
        <f>ROUND(L154*$C$159,0)</f>
        <v>0</v>
      </c>
      <c r="N163" s="34">
        <f>K163+L163</f>
        <v>60402719</v>
      </c>
    </row>
    <row r="164" spans="1:14" x14ac:dyDescent="0.35">
      <c r="A164" s="3" t="s">
        <v>197</v>
      </c>
      <c r="B164" s="103">
        <f>ROUND(B155*$B$159,0)</f>
        <v>113116772</v>
      </c>
      <c r="C164" s="103">
        <f>ROUND(C155*$C$159,0)</f>
        <v>142298770</v>
      </c>
      <c r="E164" s="34">
        <f t="shared" ref="E164:E165" si="14">B164+C164</f>
        <v>255415542</v>
      </c>
      <c r="F164" s="3"/>
      <c r="J164" s="3" t="s">
        <v>197</v>
      </c>
      <c r="K164" s="103">
        <f>ROUND(K155*$B$159,0)</f>
        <v>122058522</v>
      </c>
      <c r="L164" s="103">
        <f>ROUND(L155*$C$159,0)</f>
        <v>157545067</v>
      </c>
      <c r="N164" s="34">
        <f t="shared" ref="N164:N165" si="15">K164+L164</f>
        <v>279603589</v>
      </c>
    </row>
    <row r="165" spans="1:14" ht="15" thickBot="1" x14ac:dyDescent="0.4">
      <c r="A165" s="3" t="s">
        <v>198</v>
      </c>
      <c r="B165" s="103">
        <f>ROUND(B156*$B$159,0)</f>
        <v>97642274</v>
      </c>
      <c r="C165" s="103">
        <f>ROUND(C156*$C$159,0)</f>
        <v>53211710</v>
      </c>
      <c r="E165" s="34">
        <f t="shared" si="14"/>
        <v>150853984</v>
      </c>
      <c r="F165" s="3"/>
      <c r="J165" s="3" t="s">
        <v>198</v>
      </c>
      <c r="K165" s="103">
        <f>ROUND(K156*$B$159,0)</f>
        <v>88696604</v>
      </c>
      <c r="L165" s="103">
        <f>ROUND(L156*$C$159,0)</f>
        <v>38022546</v>
      </c>
      <c r="N165" s="34">
        <f t="shared" si="15"/>
        <v>126719150</v>
      </c>
    </row>
    <row r="166" spans="1:14" ht="15.5" thickTop="1" thickBot="1" x14ac:dyDescent="0.4">
      <c r="A166" s="3" t="s">
        <v>205</v>
      </c>
      <c r="B166" s="243">
        <f>SUM(B163:B165)</f>
        <v>271161765</v>
      </c>
      <c r="C166" s="243">
        <f>SUM(C163:C165)</f>
        <v>195510480</v>
      </c>
      <c r="E166" s="243">
        <f>SUM(E163:E165)</f>
        <v>466672245</v>
      </c>
      <c r="F166" s="3"/>
      <c r="J166" s="3" t="s">
        <v>205</v>
      </c>
      <c r="K166" s="243">
        <f>SUM(K163:K165)</f>
        <v>271157845</v>
      </c>
      <c r="L166" s="243">
        <f>SUM(L163:L165)</f>
        <v>195567613</v>
      </c>
      <c r="N166" s="243">
        <f>SUM(N163:N165)</f>
        <v>466725458</v>
      </c>
    </row>
    <row r="167" spans="1:14" ht="15.5" thickTop="1" thickBot="1" x14ac:dyDescent="0.4">
      <c r="F167" s="3"/>
    </row>
    <row r="168" spans="1:14" ht="15.5" thickTop="1" thickBot="1" x14ac:dyDescent="0.4">
      <c r="A168" s="3" t="s">
        <v>244</v>
      </c>
      <c r="E168" s="247">
        <f>E29</f>
        <v>466672244</v>
      </c>
      <c r="J168" s="3" t="s">
        <v>244</v>
      </c>
      <c r="N168" s="243">
        <f>E168</f>
        <v>466672244</v>
      </c>
    </row>
    <row r="169" spans="1:14" ht="15" thickTop="1" x14ac:dyDescent="0.35">
      <c r="A169" s="3" t="s">
        <v>243</v>
      </c>
      <c r="E169" s="34">
        <f>E166-E168</f>
        <v>1</v>
      </c>
      <c r="J169" s="3" t="s">
        <v>243</v>
      </c>
      <c r="N169" s="34">
        <f>N166-N168</f>
        <v>53214</v>
      </c>
    </row>
    <row r="170" spans="1:14" x14ac:dyDescent="0.35">
      <c r="A170" s="3" t="s">
        <v>245</v>
      </c>
      <c r="E170" s="244">
        <f>E166/E168-1</f>
        <v>2.142831467821793E-9</v>
      </c>
      <c r="J170" s="3" t="s">
        <v>245</v>
      </c>
      <c r="N170" s="244">
        <f>N166/N168-1</f>
        <v>1.1402863719478518E-4</v>
      </c>
    </row>
  </sheetData>
  <mergeCells count="19">
    <mergeCell ref="B145:C145"/>
    <mergeCell ref="K145:L145"/>
    <mergeCell ref="B152:E152"/>
    <mergeCell ref="K152:N152"/>
    <mergeCell ref="B161:E161"/>
    <mergeCell ref="K161:N161"/>
    <mergeCell ref="B59:C59"/>
    <mergeCell ref="B115:C115"/>
    <mergeCell ref="B129:C129"/>
    <mergeCell ref="K129:L129"/>
    <mergeCell ref="B139:C139"/>
    <mergeCell ref="K139:L139"/>
    <mergeCell ref="C45:C46"/>
    <mergeCell ref="G45:G46"/>
    <mergeCell ref="M15:N15"/>
    <mergeCell ref="B36:G36"/>
    <mergeCell ref="I36:L36"/>
    <mergeCell ref="B37:C37"/>
    <mergeCell ref="I37:J37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7" max="16383" man="1"/>
    <brk id="1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2">
    <tabColor rgb="FF00B0F0"/>
  </sheetPr>
  <dimension ref="A1:Q171"/>
  <sheetViews>
    <sheetView workbookViewId="0">
      <selection activeCell="G221" sqref="G221"/>
    </sheetView>
  </sheetViews>
  <sheetFormatPr defaultColWidth="8.81640625" defaultRowHeight="14.5" x14ac:dyDescent="0.35"/>
  <cols>
    <col min="1" max="1" width="15.7265625" style="3" customWidth="1"/>
    <col min="2" max="3" width="13.81640625" style="3" customWidth="1"/>
    <col min="4" max="4" width="10.453125" style="3" customWidth="1"/>
    <col min="5" max="5" width="16.7265625" style="3" customWidth="1"/>
    <col min="6" max="6" width="12" style="2" customWidth="1"/>
    <col min="7" max="7" width="13.453125" style="3" customWidth="1"/>
    <col min="8" max="8" width="12.1796875" style="3" customWidth="1"/>
    <col min="9" max="9" width="25.7265625" style="3" customWidth="1"/>
    <col min="10" max="10" width="24.1796875" style="3" customWidth="1"/>
    <col min="11" max="11" width="16.1796875" style="3" customWidth="1"/>
    <col min="12" max="12" width="14.26953125" style="3" customWidth="1"/>
    <col min="13" max="13" width="13.81640625" style="3" customWidth="1"/>
    <col min="14" max="14" width="14.7265625" style="3" customWidth="1"/>
    <col min="15" max="15" width="13" style="3" customWidth="1"/>
    <col min="16" max="17" width="14.7265625" style="3" customWidth="1"/>
    <col min="18" max="16384" width="8.81640625" style="3"/>
  </cols>
  <sheetData>
    <row r="1" spans="1:14" ht="18.5" x14ac:dyDescent="0.35">
      <c r="A1" s="238" t="s">
        <v>2300</v>
      </c>
      <c r="G1" s="2"/>
    </row>
    <row r="2" spans="1:14" x14ac:dyDescent="0.35">
      <c r="A2" s="182" t="s">
        <v>242</v>
      </c>
      <c r="B2" s="180"/>
      <c r="G2" s="2"/>
    </row>
    <row r="3" spans="1:14" x14ac:dyDescent="0.35">
      <c r="A3" s="182" t="s">
        <v>204</v>
      </c>
      <c r="B3" s="180"/>
      <c r="D3" s="33" t="s">
        <v>1428</v>
      </c>
      <c r="E3" s="1251">
        <f>'[1]A1.)RatesInput'!$G$3</f>
        <v>2017</v>
      </c>
      <c r="G3" s="2"/>
    </row>
    <row r="4" spans="1:14" x14ac:dyDescent="0.35">
      <c r="A4" s="182" t="s">
        <v>195</v>
      </c>
      <c r="B4" s="180"/>
      <c r="C4" s="180"/>
      <c r="D4" s="33" t="s">
        <v>1075</v>
      </c>
      <c r="E4" s="231" t="str">
        <f>'9A.)HL_RedesignRateSummary'!D9</f>
        <v>Current</v>
      </c>
      <c r="F4" s="231"/>
      <c r="G4" s="231"/>
      <c r="H4" s="180"/>
      <c r="I4" s="180"/>
      <c r="J4" s="197" t="str">
        <f>$A$2</f>
        <v>SC12</v>
      </c>
      <c r="K4" s="30"/>
      <c r="L4" s="30"/>
      <c r="M4" s="30"/>
      <c r="N4" s="30"/>
    </row>
    <row r="5" spans="1:14" x14ac:dyDescent="0.35">
      <c r="D5" s="33" t="s">
        <v>1076</v>
      </c>
      <c r="E5" s="231" t="s">
        <v>1074</v>
      </c>
      <c r="F5" s="232"/>
      <c r="G5" s="232"/>
      <c r="J5" s="197" t="str">
        <f>A4</f>
        <v>TODL</v>
      </c>
      <c r="K5" s="30" t="s">
        <v>42</v>
      </c>
      <c r="L5" s="30" t="s">
        <v>40</v>
      </c>
      <c r="M5" s="30"/>
      <c r="N5" s="30"/>
    </row>
    <row r="6" spans="1:14" x14ac:dyDescent="0.35">
      <c r="E6" s="194"/>
      <c r="F6" s="230"/>
      <c r="G6" s="230"/>
      <c r="I6" s="190" t="s">
        <v>196</v>
      </c>
      <c r="J6" s="3" t="str">
        <f>CONCATENATE($A$2,"(FS)kW pd 1 LT")</f>
        <v>SC12(FS)kW pd 1 LT</v>
      </c>
      <c r="K6" s="205">
        <f>IF(ISNUMBER(VLOOKUP($J6,'[1]D2.)BillingDeterminants(TOD)'!$A$5:$K$171,4,0)),VLOOKUP($J6,'[1]D2.)BillingDeterminants(TOD)'!$A$5:$K$171,4,0),0)</f>
        <v>3427.2</v>
      </c>
      <c r="L6" s="205">
        <f>IF(ISNUMBER(VLOOKUP($J6,'[1]D2.)BillingDeterminants(TOD)'!$A$5:$K$171,5,0)),VLOOKUP($J6,'[1]D2.)BillingDeterminants(TOD)'!$A$5:$K$171,5,0),0)</f>
        <v>12271.2</v>
      </c>
    </row>
    <row r="7" spans="1:14" x14ac:dyDescent="0.35">
      <c r="A7" s="3" t="str">
        <f>CONCATENATE($A$2," TOD (LT)")</f>
        <v>SC12 TOD (LT)</v>
      </c>
      <c r="B7" s="3" t="s">
        <v>168</v>
      </c>
      <c r="E7" s="195">
        <f>IF(ISNUMBER(VLOOKUP($A7,'[1]A1.)RatesInput'!$B$287:$J$309,HLOOKUP(E$4,'[1]A1.)RatesInput'!$B$287:$J$309,2,0),0)),VLOOKUP($A7,'[1]A1.)RatesInput'!$B$287:$J$309,HLOOKUP(E$4,'[1]A1.)RatesInput'!$B$287:$J$309,2,0),0),0)</f>
        <v>31.43</v>
      </c>
      <c r="F7" s="230"/>
      <c r="G7" s="230"/>
      <c r="I7" s="190"/>
      <c r="J7" s="3" t="str">
        <f>CONCATENATE($A$2,"(FS)kW pd 1 HT")</f>
        <v>SC12(FS)kW pd 1 HT</v>
      </c>
      <c r="K7" s="206">
        <f>IF(ISNUMBER(VLOOKUP($J7,'[1]D2.)BillingDeterminants(TOD)'!$A$5:$K$171,4,0)),VLOOKUP($J7,'[1]D2.)BillingDeterminants(TOD)'!$A$5:$K$171,4,0),0)</f>
        <v>0</v>
      </c>
      <c r="L7" s="206">
        <f>IF(ISNUMBER(VLOOKUP($J7,'[1]D2.)BillingDeterminants(TOD)'!$A$5:$K$171,5,0)),VLOOKUP($J7,'[1]D2.)BillingDeterminants(TOD)'!$A$5:$K$171,5,0),0)</f>
        <v>0</v>
      </c>
    </row>
    <row r="8" spans="1:14" x14ac:dyDescent="0.35">
      <c r="E8" s="195"/>
      <c r="F8" s="230"/>
      <c r="G8" s="230"/>
      <c r="I8" s="190" t="s">
        <v>197</v>
      </c>
      <c r="J8" s="3" t="str">
        <f>CONCATENATE($A$2,"(FS)kW pd 2 LT")</f>
        <v>SC12(FS)kW pd 2 LT</v>
      </c>
      <c r="K8" s="206">
        <f>IF(ISNUMBER(VLOOKUP($J8,'[1]D2.)BillingDeterminants(TOD)'!$A$5:$K$171,4,0)),VLOOKUP($J8,'[1]D2.)BillingDeterminants(TOD)'!$A$5:$K$171,4,0),0)</f>
        <v>4068.0000000000005</v>
      </c>
      <c r="L8" s="206">
        <f>IF(ISNUMBER(VLOOKUP($J8,'[1]D2.)BillingDeterminants(TOD)'!$A$5:$K$171,5,0)),VLOOKUP($J8,'[1]D2.)BillingDeterminants(TOD)'!$A$5:$K$171,5,0),0)</f>
        <v>14696.16</v>
      </c>
    </row>
    <row r="9" spans="1:14" x14ac:dyDescent="0.35">
      <c r="A9" s="3" t="str">
        <f>CONCATENATE($A$2," TOD (HT)")</f>
        <v>SC12 TOD (HT)</v>
      </c>
      <c r="B9" s="3" t="s">
        <v>168</v>
      </c>
      <c r="E9" s="195">
        <f>IF(ISNUMBER(VLOOKUP($A9,'[1]A1.)RatesInput'!$B$287:$J$309,HLOOKUP(E$4,'[1]A1.)RatesInput'!$B$287:$J$309,2,0),0)),VLOOKUP($A9,'[1]A1.)RatesInput'!$B$287:$J$309,HLOOKUP(E$4,'[1]A1.)RatesInput'!$B$287:$J$309,2,0),0),0)</f>
        <v>20.22</v>
      </c>
      <c r="F9" s="230"/>
      <c r="G9" s="230"/>
      <c r="I9" s="190"/>
      <c r="J9" s="3" t="str">
        <f>CONCATENATE($A$2,"(FS)kW pd 2 HT")</f>
        <v>SC12(FS)kW pd 2 HT</v>
      </c>
      <c r="K9" s="206">
        <f>IF(ISNUMBER(VLOOKUP($J9,'[1]D2.)BillingDeterminants(TOD)'!$A$5:$K$171,4,0)),VLOOKUP($J9,'[1]D2.)BillingDeterminants(TOD)'!$A$5:$K$171,4,0),0)</f>
        <v>0</v>
      </c>
      <c r="L9" s="206">
        <f>IF(ISNUMBER(VLOOKUP($J9,'[1]D2.)BillingDeterminants(TOD)'!$A$5:$K$171,5,0)),VLOOKUP($J9,'[1]D2.)BillingDeterminants(TOD)'!$A$5:$K$171,5,0),0)</f>
        <v>0</v>
      </c>
    </row>
    <row r="10" spans="1:14" x14ac:dyDescent="0.35">
      <c r="E10" s="195"/>
      <c r="F10" s="230"/>
      <c r="G10" s="230"/>
      <c r="I10" s="190" t="s">
        <v>198</v>
      </c>
      <c r="J10" s="3" t="str">
        <f>CONCATENATE($A$2,"(FS)kW Secondary")</f>
        <v>SC12(FS)kW Secondary</v>
      </c>
      <c r="K10" s="206">
        <f>IF(ISNUMBER(VLOOKUP($J10,'[1]D2.)BillingDeterminants(TOD)'!$A$5:$K$171,4,0)),VLOOKUP($J10,'[1]D2.)BillingDeterminants(TOD)'!$A$5:$K$171,4,0),0)</f>
        <v>4079.4</v>
      </c>
      <c r="L10" s="206">
        <f>IF(ISNUMBER(VLOOKUP($J10,'[1]D2.)BillingDeterminants(TOD)'!$A$5:$K$171,5,0)),VLOOKUP($J10,'[1]D2.)BillingDeterminants(TOD)'!$A$5:$K$171,5,0),0)</f>
        <v>14807.499999999998</v>
      </c>
    </row>
    <row r="11" spans="1:14" x14ac:dyDescent="0.35">
      <c r="A11" s="3" t="str">
        <f>CONCATENATE($A$2," TOD (LT)")</f>
        <v>SC12 TOD (LT)</v>
      </c>
      <c r="B11" s="3" t="s">
        <v>169</v>
      </c>
      <c r="E11" s="195">
        <f>IF(ISNUMBER(VLOOKUP($A11,'[1]A1.)RatesInput'!$B$315:$J$340,HLOOKUP(E$5,'[1]A1.)RatesInput'!$B$315:$J$340,3,0),0)),VLOOKUP($A11,'[1]A1.)RatesInput'!$B$315:$J$340,HLOOKUP(E$5,'[1]A1.)RatesInput'!$B$315:$J$340,3,0),0),0)</f>
        <v>28.36</v>
      </c>
      <c r="F11" s="230"/>
      <c r="G11" s="230"/>
      <c r="J11" s="3" t="str">
        <f>CONCATENATE($A$2,"(FS)kWh LT")</f>
        <v>SC12(FS)kWh LT</v>
      </c>
      <c r="K11" s="206">
        <f>IF(ISNUMBER(VLOOKUP($J11,'[1]D2.)BillingDeterminants(TOD)'!$A$5:$K$171,4,0)),VLOOKUP($J11,'[1]D2.)BillingDeterminants(TOD)'!$A$5:$K$171,4,0),0)</f>
        <v>1652000</v>
      </c>
      <c r="L11" s="206">
        <f>IF(ISNUMBER(VLOOKUP($J11,'[1]D2.)BillingDeterminants(TOD)'!$A$5:$K$171,5,0)),VLOOKUP($J11,'[1]D2.)BillingDeterminants(TOD)'!$A$5:$K$171,5,0),0)</f>
        <v>5261600</v>
      </c>
    </row>
    <row r="12" spans="1:14" x14ac:dyDescent="0.35">
      <c r="E12" s="195"/>
      <c r="F12" s="230"/>
      <c r="J12" s="3" t="str">
        <f>CONCATENATE($A$2,"(FS)kWh HT")</f>
        <v>SC12(FS)kWh HT</v>
      </c>
      <c r="K12" s="206">
        <f>IF(ISNUMBER(VLOOKUP($J12,'[1]D2.)BillingDeterminants(TOD)'!$A$5:$K$171,4,0)),VLOOKUP($J12,'[1]D2.)BillingDeterminants(TOD)'!$A$5:$K$171,4,0),0)</f>
        <v>0</v>
      </c>
      <c r="L12" s="206">
        <f>IF(ISNUMBER(VLOOKUP($J12,'[1]D2.)BillingDeterminants(TOD)'!$A$5:$K$171,5,0)),VLOOKUP($J12,'[1]D2.)BillingDeterminants(TOD)'!$A$5:$K$171,5,0),0)</f>
        <v>0</v>
      </c>
    </row>
    <row r="13" spans="1:14" x14ac:dyDescent="0.35">
      <c r="A13" s="3" t="str">
        <f>CONCATENATE($A$2," TOD (HT)")</f>
        <v>SC12 TOD (HT)</v>
      </c>
      <c r="B13" s="3" t="s">
        <v>169</v>
      </c>
      <c r="E13" s="196">
        <f>IF(ISNUMBER(VLOOKUP($A13,'[1]A1.)RatesInput'!$B$315:$J$340,HLOOKUP(E$5,'[1]A1.)RatesInput'!$B$315:$J$340,3,0),0)),VLOOKUP($A13,'[1]A1.)RatesInput'!$B$315:$J$340,HLOOKUP(E$5,'[1]A1.)RatesInput'!$B$315:$J$340,3,0),0),0)</f>
        <v>18.600000000000001</v>
      </c>
      <c r="F13" s="230"/>
      <c r="G13" s="230"/>
      <c r="J13" s="3" t="str">
        <f>CONCATENATE($A$2,"(FS)kWh OnPk LT")</f>
        <v>SC12(FS)kWh OnPk LT</v>
      </c>
      <c r="K13" s="206">
        <f>IF(ISNUMBER(VLOOKUP($J13,'[1]D2.)BillingDeterminants(TOD)'!$A$5:$K$171,4,0)),VLOOKUP($J13,'[1]D2.)BillingDeterminants(TOD)'!$A$5:$K$171,4,0),0)</f>
        <v>705661</v>
      </c>
      <c r="L13" s="206">
        <f>IF(ISNUMBER(VLOOKUP($J13,'[1]D2.)BillingDeterminants(TOD)'!$A$5:$K$171,5,0)),VLOOKUP($J13,'[1]D2.)BillingDeterminants(TOD)'!$A$5:$K$171,5,0),0)</f>
        <v>2068445</v>
      </c>
    </row>
    <row r="14" spans="1:14" ht="15" thickBot="1" x14ac:dyDescent="0.4">
      <c r="J14" s="3" t="str">
        <f>CONCATENATE($A$2,"(FS)kWh OnPk HT")</f>
        <v>SC12(FS)kWh OnPk HT</v>
      </c>
      <c r="K14" s="206">
        <f>IF(ISNUMBER(VLOOKUP($J14,'[1]D2.)BillingDeterminants(TOD)'!$A$5:$K$171,4,0)),VLOOKUP($J14,'[1]D2.)BillingDeterminants(TOD)'!$A$5:$K$171,4,0),0)</f>
        <v>0</v>
      </c>
      <c r="L14" s="206">
        <f>IF(ISNUMBER(VLOOKUP($J14,'[1]D2.)BillingDeterminants(TOD)'!$A$5:$K$171,5,0)),VLOOKUP($J14,'[1]D2.)BillingDeterminants(TOD)'!$A$5:$K$171,5,0),0)</f>
        <v>0</v>
      </c>
    </row>
    <row r="15" spans="1:14" ht="15.5" thickTop="1" thickBot="1" x14ac:dyDescent="0.4">
      <c r="E15" s="527" t="str">
        <f>E$5</f>
        <v>ED Shifting</v>
      </c>
      <c r="G15" s="423" t="s">
        <v>142</v>
      </c>
      <c r="J15" s="3" t="str">
        <f>CONCATENATE($A$2,"(FS)kWh OffPk LT")</f>
        <v>SC12(FS)kWh OffPk LT</v>
      </c>
      <c r="K15" s="206">
        <f>IF(ISNUMBER(VLOOKUP($J15,'[1]D2.)BillingDeterminants(TOD)'!$A$5:$K$171,4,0)),VLOOKUP($J15,'[1]D2.)BillingDeterminants(TOD)'!$A$5:$K$171,4,0),0)</f>
        <v>946339</v>
      </c>
      <c r="L15" s="246">
        <f>IF(ISNUMBER(VLOOKUP($J15,'[1]D2.)BillingDeterminants(TOD)'!$A$5:$K$171,5,0)),VLOOKUP($J15,'[1]D2.)BillingDeterminants(TOD)'!$A$5:$K$171,5,0),0)</f>
        <v>3193155</v>
      </c>
      <c r="M15" s="1307" t="s">
        <v>246</v>
      </c>
      <c r="N15" s="1309"/>
    </row>
    <row r="16" spans="1:14" ht="15" thickTop="1" x14ac:dyDescent="0.35">
      <c r="A16" s="3" t="s">
        <v>882</v>
      </c>
      <c r="E16" s="434">
        <f>'9A.)HL_RedesignRateSummary'!D35</f>
        <v>0</v>
      </c>
      <c r="F16" s="233">
        <f>(E16*8+E19*4)/12</f>
        <v>2.7133333333333329</v>
      </c>
      <c r="G16" s="341">
        <f>L131</f>
        <v>0</v>
      </c>
      <c r="H16" s="233">
        <f>(G16*8+G19*4)/12</f>
        <v>2.7133333333333329</v>
      </c>
      <c r="J16" s="3" t="str">
        <f>CONCATENATE($A$2,"(FS)kWh OffPk HT")</f>
        <v>SC12(FS)kWh OffPk HT</v>
      </c>
      <c r="K16" s="207">
        <f>IF(ISNUMBER(VLOOKUP($J16,'[1]D2.)BillingDeterminants(TOD)'!$A$5:$K$171,4,0)),VLOOKUP($J16,'[1]D2.)BillingDeterminants(TOD)'!$A$5:$K$171,4,0),0)</f>
        <v>0</v>
      </c>
      <c r="L16" s="207">
        <f>IF(ISNUMBER(VLOOKUP($J16,'[1]D2.)BillingDeterminants(TOD)'!$A$5:$K$171,5,0)),VLOOKUP($J16,'[1]D2.)BillingDeterminants(TOD)'!$A$5:$K$171,5,0),0)</f>
        <v>0</v>
      </c>
      <c r="M16" s="30" t="s">
        <v>42</v>
      </c>
      <c r="N16" s="30" t="s">
        <v>40</v>
      </c>
    </row>
    <row r="17" spans="1:14" x14ac:dyDescent="0.35">
      <c r="A17" s="3" t="s">
        <v>883</v>
      </c>
      <c r="E17" s="432">
        <f>'9A.)HL_RedesignRateSummary'!D36</f>
        <v>13.37</v>
      </c>
      <c r="F17" s="233">
        <f>(E17*8+E20*4)/12</f>
        <v>15.89</v>
      </c>
      <c r="G17" s="342">
        <f>L132</f>
        <v>12.93</v>
      </c>
      <c r="H17" s="233">
        <f>(G17*8+G20*4)/12</f>
        <v>15.449999999999998</v>
      </c>
      <c r="I17" s="190" t="s">
        <v>196</v>
      </c>
      <c r="J17" s="3" t="str">
        <f>CONCATENATE($A$2,"(RA)kW pd 1 LT")</f>
        <v>SC12(RA)kW pd 1 LT</v>
      </c>
      <c r="K17" s="205">
        <f>IF(ISNUMBER(VLOOKUP($J17,'[1]D2.)BillingDeterminants(TOD)'!$A$5:$K$171,4,0)),VLOOKUP($J17,'[1]D2.)BillingDeterminants(TOD)'!$A$5:$K$171,4,0),0)</f>
        <v>88526.16</v>
      </c>
      <c r="L17" s="205">
        <f>IF(ISNUMBER(VLOOKUP($J17,'[1]D2.)BillingDeterminants(TOD)'!$A$5:$K$171,5,0)),VLOOKUP($J17,'[1]D2.)BillingDeterminants(TOD)'!$A$5:$K$171,5,0),0)</f>
        <v>291886.32000000007</v>
      </c>
      <c r="M17" s="205">
        <f>K6+K17</f>
        <v>91953.36</v>
      </c>
      <c r="N17" s="205">
        <f t="shared" ref="N17:N27" si="0">L6+L17</f>
        <v>304157.52000000008</v>
      </c>
    </row>
    <row r="18" spans="1:14" x14ac:dyDescent="0.35">
      <c r="A18" s="3" t="s">
        <v>884</v>
      </c>
      <c r="E18" s="432">
        <f>'9A.)HL_RedesignRateSummary'!D37</f>
        <v>8.43</v>
      </c>
      <c r="F18" s="233">
        <f>(E18*8+E21*4)/12</f>
        <v>9.7533333333333321</v>
      </c>
      <c r="G18" s="342">
        <f>L133</f>
        <v>8.8699999999999992</v>
      </c>
      <c r="H18" s="233">
        <f>(G18*8+G21*4)/12</f>
        <v>10.193333333333333</v>
      </c>
      <c r="I18" s="190"/>
      <c r="J18" s="3" t="str">
        <f>CONCATENATE($A$2,"(RA)kW pd 1 HT")</f>
        <v>SC12(RA)kW pd 1 HT</v>
      </c>
      <c r="K18" s="206">
        <f>IF(ISNUMBER(VLOOKUP($J18,'[1]D2.)BillingDeterminants(TOD)'!$A$5:$K$171,4,0)),VLOOKUP($J18,'[1]D2.)BillingDeterminants(TOD)'!$A$5:$K$171,4,0),0)</f>
        <v>0</v>
      </c>
      <c r="L18" s="206">
        <f>IF(ISNUMBER(VLOOKUP($J18,'[1]D2.)BillingDeterminants(TOD)'!$A$5:$K$171,5,0)),VLOOKUP($J18,'[1]D2.)BillingDeterminants(TOD)'!$A$5:$K$171,5,0),0)</f>
        <v>0</v>
      </c>
      <c r="M18" s="206">
        <f t="shared" ref="M18:M27" si="1">K7+K18</f>
        <v>0</v>
      </c>
      <c r="N18" s="206">
        <f t="shared" si="0"/>
        <v>0</v>
      </c>
    </row>
    <row r="19" spans="1:14" x14ac:dyDescent="0.35">
      <c r="A19" s="3" t="s">
        <v>885</v>
      </c>
      <c r="E19" s="432">
        <f>'9A.)HL_RedesignRateSummary'!D38</f>
        <v>8.1399999999999988</v>
      </c>
      <c r="F19" s="233"/>
      <c r="G19" s="342">
        <f>K131</f>
        <v>8.1399999999999988</v>
      </c>
      <c r="H19" s="233"/>
      <c r="I19" s="190" t="s">
        <v>197</v>
      </c>
      <c r="J19" s="3" t="str">
        <f>CONCATENATE($A$2,"(RA)kW pd 2 LT")</f>
        <v>SC12(RA)kW pd 2 LT</v>
      </c>
      <c r="K19" s="206">
        <f>IF(ISNUMBER(VLOOKUP($J19,'[1]D2.)BillingDeterminants(TOD)'!$A$5:$K$171,4,0)),VLOOKUP($J19,'[1]D2.)BillingDeterminants(TOD)'!$A$5:$K$171,4,0),0)</f>
        <v>97138.319999999992</v>
      </c>
      <c r="L19" s="206">
        <f>IF(ISNUMBER(VLOOKUP($J19,'[1]D2.)BillingDeterminants(TOD)'!$A$5:$K$171,5,0)),VLOOKUP($J19,'[1]D2.)BillingDeterminants(TOD)'!$A$5:$K$171,5,0),0)</f>
        <v>312492.48000000004</v>
      </c>
      <c r="M19" s="206">
        <f t="shared" si="1"/>
        <v>101206.31999999999</v>
      </c>
      <c r="N19" s="206">
        <f t="shared" si="0"/>
        <v>327188.64</v>
      </c>
    </row>
    <row r="20" spans="1:14" x14ac:dyDescent="0.35">
      <c r="A20" s="3" t="s">
        <v>886</v>
      </c>
      <c r="E20" s="432">
        <f>'9A.)HL_RedesignRateSummary'!D39</f>
        <v>20.93</v>
      </c>
      <c r="F20" s="233"/>
      <c r="G20" s="342">
        <f>K132</f>
        <v>20.49</v>
      </c>
      <c r="H20" s="233"/>
      <c r="I20" s="190"/>
      <c r="J20" s="3" t="str">
        <f>CONCATENATE($A$2,"(RA)kW pd 2 HT")</f>
        <v>SC12(RA)kW pd 2 HT</v>
      </c>
      <c r="K20" s="206">
        <f>IF(ISNUMBER(VLOOKUP($J20,'[1]D2.)BillingDeterminants(TOD)'!$A$5:$K$171,4,0)),VLOOKUP($J20,'[1]D2.)BillingDeterminants(TOD)'!$A$5:$K$171,4,0),0)</f>
        <v>0</v>
      </c>
      <c r="L20" s="206">
        <f>IF(ISNUMBER(VLOOKUP($J20,'[1]D2.)BillingDeterminants(TOD)'!$A$5:$K$171,5,0)),VLOOKUP($J20,'[1]D2.)BillingDeterminants(TOD)'!$A$5:$K$171,5,0),0)</f>
        <v>0</v>
      </c>
      <c r="M20" s="206">
        <f t="shared" si="1"/>
        <v>0</v>
      </c>
      <c r="N20" s="206">
        <f t="shared" si="0"/>
        <v>0</v>
      </c>
    </row>
    <row r="21" spans="1:14" x14ac:dyDescent="0.35">
      <c r="A21" s="3" t="s">
        <v>887</v>
      </c>
      <c r="E21" s="430">
        <f>'9A.)HL_RedesignRateSummary'!D40</f>
        <v>12.399999999999999</v>
      </c>
      <c r="F21" s="233"/>
      <c r="G21" s="343">
        <f>K133</f>
        <v>12.84</v>
      </c>
      <c r="H21" s="233"/>
      <c r="I21" s="190" t="s">
        <v>198</v>
      </c>
      <c r="J21" s="3" t="str">
        <f>CONCATENATE($A$2,"(RA)kW Secondary")</f>
        <v>SC12(RA)kW Secondary</v>
      </c>
      <c r="K21" s="206">
        <f>IF(ISNUMBER(VLOOKUP($J21,'[1]D2.)BillingDeterminants(TOD)'!$A$5:$K$171,4,0)),VLOOKUP($J21,'[1]D2.)BillingDeterminants(TOD)'!$A$5:$K$171,4,0),0)</f>
        <v>97391.5</v>
      </c>
      <c r="L21" s="206">
        <f>IF(ISNUMBER(VLOOKUP($J21,'[1]D2.)BillingDeterminants(TOD)'!$A$5:$K$171,5,0)),VLOOKUP($J21,'[1]D2.)BillingDeterminants(TOD)'!$A$5:$K$171,5,0),0)</f>
        <v>314644.3</v>
      </c>
      <c r="M21" s="206">
        <f t="shared" si="1"/>
        <v>101470.9</v>
      </c>
      <c r="N21" s="206">
        <f t="shared" si="0"/>
        <v>329451.8</v>
      </c>
    </row>
    <row r="22" spans="1:14" x14ac:dyDescent="0.35">
      <c r="F22" s="1070">
        <f>(F16+F17)/(F16+F17+F18)</f>
        <v>0.65604796050311509</v>
      </c>
      <c r="G22" s="2"/>
      <c r="H22" s="1070">
        <f>(H16+H17)/(H16+H17+H18)</f>
        <v>0.64053132714235339</v>
      </c>
      <c r="J22" s="3" t="str">
        <f>CONCATENATE($A$2,"(RA)kWh LT")</f>
        <v>SC12(RA)kWh LT</v>
      </c>
      <c r="K22" s="206">
        <f>IF(ISNUMBER(VLOOKUP($J22,'[1]D2.)BillingDeterminants(TOD)'!$A$5:$K$171,4,0)),VLOOKUP($J22,'[1]D2.)BillingDeterminants(TOD)'!$A$5:$K$171,4,0),0)</f>
        <v>41480000</v>
      </c>
      <c r="L22" s="206">
        <f>IF(ISNUMBER(VLOOKUP($J22,'[1]D2.)BillingDeterminants(TOD)'!$A$5:$K$171,5,0)),VLOOKUP($J22,'[1]D2.)BillingDeterminants(TOD)'!$A$5:$K$171,5,0),0)</f>
        <v>134480000</v>
      </c>
      <c r="M22" s="206">
        <f t="shared" si="1"/>
        <v>43132000</v>
      </c>
      <c r="N22" s="206">
        <f t="shared" si="0"/>
        <v>139741600</v>
      </c>
    </row>
    <row r="23" spans="1:14" x14ac:dyDescent="0.35">
      <c r="A23" s="17" t="s">
        <v>139</v>
      </c>
      <c r="C23" s="17"/>
      <c r="E23" s="689">
        <f>HLOOKUP($E$3,'[1]A1.)RatesInput'!$D$63:$J$83,'[1]A1.)RatesInput'!$A$80,0)</f>
        <v>1.01108</v>
      </c>
      <c r="G23" s="2"/>
      <c r="J23" s="3" t="str">
        <f>CONCATENATE($A$2,"(RA)kWh HT")</f>
        <v>SC12(RA)kWh HT</v>
      </c>
      <c r="K23" s="206">
        <f>IF(ISNUMBER(VLOOKUP($J23,'[1]D2.)BillingDeterminants(TOD)'!$A$5:$K$171,4,0)),VLOOKUP($J23,'[1]D2.)BillingDeterminants(TOD)'!$A$5:$K$171,4,0),0)</f>
        <v>0</v>
      </c>
      <c r="L23" s="206">
        <f>IF(ISNUMBER(VLOOKUP($J23,'[1]D2.)BillingDeterminants(TOD)'!$A$5:$K$171,5,0)),VLOOKUP($J23,'[1]D2.)BillingDeterminants(TOD)'!$A$5:$K$171,5,0),0)</f>
        <v>0</v>
      </c>
      <c r="M23" s="206">
        <f t="shared" si="1"/>
        <v>0</v>
      </c>
      <c r="N23" s="206">
        <f t="shared" si="0"/>
        <v>0</v>
      </c>
    </row>
    <row r="24" spans="1:14" x14ac:dyDescent="0.35">
      <c r="A24" s="17" t="s">
        <v>137</v>
      </c>
      <c r="C24" s="17"/>
      <c r="E24" s="689">
        <f>HLOOKUP($E$3,'[1]A1.)RatesInput'!$D$63:$J$83,'[1]A1.)RatesInput'!$A$81,0)</f>
        <v>1.0119199999999999</v>
      </c>
      <c r="G24" s="2"/>
      <c r="J24" s="3" t="str">
        <f>CONCATENATE($A$2,"(RA)kWh OnPk LT")</f>
        <v>SC12(RA)kWh OnPk LT</v>
      </c>
      <c r="K24" s="206">
        <f>IF(ISNUMBER(VLOOKUP($J24,'[1]D2.)BillingDeterminants(TOD)'!$A$5:$K$171,4,0)),VLOOKUP($J24,'[1]D2.)BillingDeterminants(TOD)'!$A$5:$K$171,4,0),0)</f>
        <v>18122850</v>
      </c>
      <c r="L24" s="206">
        <f>IF(ISNUMBER(VLOOKUP($J24,'[1]D2.)BillingDeterminants(TOD)'!$A$5:$K$171,5,0)),VLOOKUP($J24,'[1]D2.)BillingDeterminants(TOD)'!$A$5:$K$171,5,0),0)</f>
        <v>56384579</v>
      </c>
      <c r="M24" s="206">
        <f t="shared" si="1"/>
        <v>18828511</v>
      </c>
      <c r="N24" s="206">
        <f t="shared" si="0"/>
        <v>58453024</v>
      </c>
    </row>
    <row r="25" spans="1:14" x14ac:dyDescent="0.35">
      <c r="A25" s="17" t="s">
        <v>136</v>
      </c>
      <c r="C25" s="17"/>
      <c r="E25" s="689">
        <f>HLOOKUP($E$3,'[1]A1.)RatesInput'!$D$63:$J$83,'[1]A1.)RatesInput'!$A$82,0)</f>
        <v>1.01067</v>
      </c>
      <c r="G25" s="2"/>
      <c r="J25" s="3" t="str">
        <f>CONCATENATE($A$2,"(RA)kWh OnPk HT")</f>
        <v>SC12(RA)kWh OnPk HT</v>
      </c>
      <c r="K25" s="206">
        <f>IF(ISNUMBER(VLOOKUP($J25,'[1]D2.)BillingDeterminants(TOD)'!$A$5:$K$171,4,0)),VLOOKUP($J25,'[1]D2.)BillingDeterminants(TOD)'!$A$5:$K$171,4,0),0)</f>
        <v>0</v>
      </c>
      <c r="L25" s="206">
        <f>IF(ISNUMBER(VLOOKUP($J25,'[1]D2.)BillingDeterminants(TOD)'!$A$5:$K$171,5,0)),VLOOKUP($J25,'[1]D2.)BillingDeterminants(TOD)'!$A$5:$K$171,5,0),0)</f>
        <v>0</v>
      </c>
      <c r="M25" s="206">
        <f t="shared" si="1"/>
        <v>0</v>
      </c>
      <c r="N25" s="206">
        <f t="shared" si="0"/>
        <v>0</v>
      </c>
    </row>
    <row r="26" spans="1:14" x14ac:dyDescent="0.35">
      <c r="G26" s="2"/>
      <c r="J26" s="3" t="str">
        <f>CONCATENATE($A$2,"(RA)kWh OffPk LT")</f>
        <v>SC12(RA)kWh OffPk LT</v>
      </c>
      <c r="K26" s="206">
        <f>IF(ISNUMBER(VLOOKUP($J26,'[1]D2.)BillingDeterminants(TOD)'!$A$5:$K$171,4,0)),VLOOKUP($J26,'[1]D2.)BillingDeterminants(TOD)'!$A$5:$K$171,4,0),0)</f>
        <v>23357150</v>
      </c>
      <c r="L26" s="206">
        <f>IF(ISNUMBER(VLOOKUP($J26,'[1]D2.)BillingDeterminants(TOD)'!$A$5:$K$171,5,0)),VLOOKUP($J26,'[1]D2.)BillingDeterminants(TOD)'!$A$5:$K$171,5,0),0)</f>
        <v>78095421</v>
      </c>
      <c r="M26" s="206">
        <f t="shared" si="1"/>
        <v>24303489</v>
      </c>
      <c r="N26" s="206">
        <f t="shared" si="0"/>
        <v>81288576</v>
      </c>
    </row>
    <row r="27" spans="1:14" x14ac:dyDescent="0.35">
      <c r="A27" s="3" t="s">
        <v>200</v>
      </c>
      <c r="E27" s="245">
        <f>'[2]4D-5.)HY_TODLRatePxOut(SC12)'!$W$22+'[2]4D-5.)HY_TODLRatePxOut(SC12)'!$W$42</f>
        <v>11276778</v>
      </c>
      <c r="F27" s="581"/>
      <c r="G27" s="2"/>
      <c r="J27" s="3" t="str">
        <f>CONCATENATE($A$2,"(RA)kWh OffPk HT")</f>
        <v>SC12(RA)kWh OffPk HT</v>
      </c>
      <c r="K27" s="207">
        <f>IF(ISNUMBER(VLOOKUP($J27,'[1]D2.)BillingDeterminants(TOD)'!$A$5:$K$171,4,0)),VLOOKUP($J27,'[1]D2.)BillingDeterminants(TOD)'!$A$5:$K$171,4,0),0)</f>
        <v>0</v>
      </c>
      <c r="L27" s="207">
        <f>IF(ISNUMBER(VLOOKUP($J27,'[1]D2.)BillingDeterminants(TOD)'!$A$5:$K$171,5,0)),VLOOKUP($J27,'[1]D2.)BillingDeterminants(TOD)'!$A$5:$K$171,5,0),0)</f>
        <v>0</v>
      </c>
      <c r="M27" s="207">
        <f t="shared" si="1"/>
        <v>0</v>
      </c>
      <c r="N27" s="207">
        <f t="shared" si="0"/>
        <v>0</v>
      </c>
    </row>
    <row r="28" spans="1:14" x14ac:dyDescent="0.35">
      <c r="A28" s="3" t="s">
        <v>201</v>
      </c>
      <c r="E28" s="245">
        <f>'[2]4D-5.)HY_TODLRatePxOut(SC12)'!$W$21+'[2]4D-5.)HY_TODLRatePxOut(SC12)'!$W$41</f>
        <v>4035518</v>
      </c>
      <c r="F28" s="581"/>
      <c r="G28" s="2"/>
      <c r="K28" s="218"/>
      <c r="L28" s="218"/>
    </row>
    <row r="29" spans="1:14" x14ac:dyDescent="0.35">
      <c r="A29" s="3" t="s">
        <v>247</v>
      </c>
      <c r="E29" s="245">
        <f>'[2]4D-5.)HY_TODLRatePxOut(SC12)'!$Y$44</f>
        <v>11402260</v>
      </c>
      <c r="G29" s="2"/>
      <c r="K29" s="218"/>
      <c r="L29" s="218"/>
    </row>
    <row r="30" spans="1:14" x14ac:dyDescent="0.35">
      <c r="G30" s="2"/>
      <c r="K30" s="218"/>
      <c r="L30" s="218"/>
    </row>
    <row r="31" spans="1:14" x14ac:dyDescent="0.35">
      <c r="G31" s="2"/>
      <c r="K31" s="218"/>
      <c r="L31" s="218"/>
    </row>
    <row r="32" spans="1:14" s="88" customFormat="1" x14ac:dyDescent="0.35"/>
    <row r="33" spans="1:13" x14ac:dyDescent="0.35">
      <c r="A33" s="70" t="str">
        <f>'9F.)HL_RedgnRate_SC5_II'!$A$33</f>
        <v>Development of High Tension / Low Tension Differentials to be used in Revenue Neutral Rate Redesign - 3/3</v>
      </c>
      <c r="I33" s="100" t="s">
        <v>296</v>
      </c>
      <c r="J33" s="808">
        <f>'9A.)HL_RedesignRateSummary'!$F$4</f>
        <v>2019</v>
      </c>
    </row>
    <row r="34" spans="1:13" x14ac:dyDescent="0.35">
      <c r="A34" s="197" t="str">
        <f>$A$2</f>
        <v>SC12</v>
      </c>
      <c r="I34" s="100" t="s">
        <v>297</v>
      </c>
      <c r="J34" s="808">
        <f>'9A.)HL_RedesignRateSummary'!$F$5</f>
        <v>2017</v>
      </c>
    </row>
    <row r="35" spans="1:13" ht="15" thickBot="1" x14ac:dyDescent="0.4">
      <c r="A35" s="197" t="str">
        <f>$A$3</f>
        <v>Rate II</v>
      </c>
      <c r="B35" s="198"/>
      <c r="I35" s="100" t="s">
        <v>2150</v>
      </c>
      <c r="J35" s="808">
        <f>'9A.)HL_RedesignRateSummary'!$F$3</f>
        <v>2020</v>
      </c>
      <c r="K35" s="3" t="str">
        <f>'9A.)HL_RedesignRateSummary'!$G$3</f>
        <v>RY1</v>
      </c>
    </row>
    <row r="36" spans="1:13" ht="15.5" thickTop="1" thickBot="1" x14ac:dyDescent="0.4">
      <c r="A36" s="199">
        <f>$E$3</f>
        <v>2017</v>
      </c>
      <c r="B36" s="1316" t="s">
        <v>168</v>
      </c>
      <c r="C36" s="1317"/>
      <c r="D36" s="1317"/>
      <c r="E36" s="1317"/>
      <c r="F36" s="1317"/>
      <c r="G36" s="1318"/>
      <c r="I36" s="1316" t="s">
        <v>169</v>
      </c>
      <c r="J36" s="1317"/>
      <c r="K36" s="1317"/>
      <c r="L36" s="1318"/>
    </row>
    <row r="37" spans="1:13" ht="15" thickTop="1" x14ac:dyDescent="0.35">
      <c r="B37" s="1340" t="s">
        <v>171</v>
      </c>
      <c r="C37" s="1340"/>
      <c r="E37" s="30" t="s">
        <v>173</v>
      </c>
      <c r="F37" s="219"/>
      <c r="G37" s="30" t="s">
        <v>174</v>
      </c>
      <c r="I37" s="1340" t="s">
        <v>176</v>
      </c>
      <c r="J37" s="1340"/>
      <c r="K37" s="30" t="s">
        <v>173</v>
      </c>
      <c r="L37" s="30" t="s">
        <v>174</v>
      </c>
      <c r="M37" s="30" t="s">
        <v>1</v>
      </c>
    </row>
    <row r="38" spans="1:13" x14ac:dyDescent="0.35">
      <c r="B38" s="118" t="s">
        <v>8</v>
      </c>
      <c r="C38" s="118" t="s">
        <v>9</v>
      </c>
      <c r="E38" s="30" t="s">
        <v>172</v>
      </c>
      <c r="F38" s="219"/>
      <c r="G38" s="30" t="s">
        <v>175</v>
      </c>
      <c r="I38" s="118" t="s">
        <v>8</v>
      </c>
      <c r="J38" s="118" t="s">
        <v>9</v>
      </c>
      <c r="K38" s="30" t="s">
        <v>172</v>
      </c>
      <c r="L38" s="30" t="s">
        <v>175</v>
      </c>
    </row>
    <row r="39" spans="1:13" x14ac:dyDescent="0.35">
      <c r="B39" s="200" t="s">
        <v>79</v>
      </c>
      <c r="C39" s="200" t="s">
        <v>78</v>
      </c>
      <c r="E39" s="200" t="s">
        <v>181</v>
      </c>
      <c r="F39" s="234"/>
      <c r="G39" s="200" t="s">
        <v>180</v>
      </c>
      <c r="I39" s="200" t="s">
        <v>177</v>
      </c>
      <c r="J39" s="200" t="s">
        <v>178</v>
      </c>
      <c r="K39" s="200" t="s">
        <v>179</v>
      </c>
      <c r="L39" s="200" t="s">
        <v>182</v>
      </c>
      <c r="M39" s="200" t="s">
        <v>183</v>
      </c>
    </row>
    <row r="40" spans="1:13" x14ac:dyDescent="0.35">
      <c r="A40" s="3" t="str">
        <f>CONCATENATE($A$2," TOD")</f>
        <v>SC12 TOD</v>
      </c>
      <c r="B40" s="27">
        <f>E9</f>
        <v>20.22</v>
      </c>
      <c r="C40" s="27">
        <f>E7</f>
        <v>31.43</v>
      </c>
      <c r="E40" s="35">
        <f>C40-B40</f>
        <v>11.21</v>
      </c>
      <c r="F40" s="228"/>
      <c r="G40" s="202">
        <f>B40/C40</f>
        <v>0.64333439389118674</v>
      </c>
      <c r="I40" s="27">
        <f>E13</f>
        <v>18.600000000000001</v>
      </c>
      <c r="J40" s="270">
        <f>E11</f>
        <v>28.36</v>
      </c>
      <c r="K40" s="35">
        <f>J40-I40</f>
        <v>9.759999999999998</v>
      </c>
      <c r="L40" s="202">
        <f>ROUND(I40/J40,2)</f>
        <v>0.66</v>
      </c>
      <c r="M40" s="201">
        <f>L40-G40</f>
        <v>1.6665606108813291E-2</v>
      </c>
    </row>
    <row r="42" spans="1:13" x14ac:dyDescent="0.35">
      <c r="A42" s="199"/>
    </row>
    <row r="43" spans="1:13" x14ac:dyDescent="0.35">
      <c r="A43" s="70" t="s">
        <v>184</v>
      </c>
      <c r="H43" s="33" t="s">
        <v>520</v>
      </c>
      <c r="I43" s="40">
        <f>'9C.)HL_RedgnRate_SC5_I'!$K$46</f>
        <v>3</v>
      </c>
      <c r="J43" s="136" t="s">
        <v>165</v>
      </c>
    </row>
    <row r="44" spans="1:13" ht="15" thickBot="1" x14ac:dyDescent="0.4">
      <c r="G44" s="30"/>
      <c r="H44" s="33" t="s">
        <v>294</v>
      </c>
      <c r="I44" s="40">
        <f>'9C.)HL_RedgnRate_SC5_I'!$K$47</f>
        <v>3</v>
      </c>
      <c r="J44" s="136" t="s">
        <v>166</v>
      </c>
    </row>
    <row r="45" spans="1:13" ht="15" thickTop="1" x14ac:dyDescent="0.35">
      <c r="C45" s="1327" t="s">
        <v>293</v>
      </c>
      <c r="E45" s="266" t="s">
        <v>293</v>
      </c>
      <c r="G45" s="1327" t="s">
        <v>168</v>
      </c>
      <c r="I45" s="266" t="s">
        <v>190</v>
      </c>
    </row>
    <row r="46" spans="1:13" s="30" customFormat="1" ht="15" thickBot="1" x14ac:dyDescent="0.4">
      <c r="C46" s="1328"/>
      <c r="E46" s="267" t="s">
        <v>187</v>
      </c>
      <c r="F46" s="219"/>
      <c r="G46" s="1328"/>
      <c r="I46" s="267" t="s">
        <v>191</v>
      </c>
    </row>
    <row r="47" spans="1:13" s="30" customFormat="1" ht="15" thickTop="1" x14ac:dyDescent="0.35">
      <c r="B47" s="30" t="s">
        <v>25</v>
      </c>
      <c r="C47" s="30" t="s">
        <v>185</v>
      </c>
      <c r="E47" s="30" t="s">
        <v>186</v>
      </c>
      <c r="F47" s="219"/>
      <c r="G47" s="30" t="s">
        <v>189</v>
      </c>
      <c r="I47" s="199" t="s">
        <v>295</v>
      </c>
    </row>
    <row r="48" spans="1:13" s="30" customFormat="1" x14ac:dyDescent="0.35">
      <c r="E48" s="30" t="s">
        <v>188</v>
      </c>
      <c r="F48" s="219"/>
    </row>
    <row r="49" spans="1:13" s="30" customFormat="1" ht="15" thickBot="1" x14ac:dyDescent="0.4">
      <c r="C49" s="200" t="s">
        <v>1583</v>
      </c>
      <c r="E49" s="200" t="s">
        <v>1778</v>
      </c>
      <c r="F49" s="234"/>
      <c r="G49" s="200" t="s">
        <v>1173</v>
      </c>
      <c r="I49" s="200" t="s">
        <v>2106</v>
      </c>
      <c r="L49" s="216" t="s">
        <v>214</v>
      </c>
    </row>
    <row r="50" spans="1:13" x14ac:dyDescent="0.35">
      <c r="K50" s="3" t="s">
        <v>193</v>
      </c>
      <c r="L50" s="214">
        <f>1-L51</f>
        <v>0.36</v>
      </c>
      <c r="M50" s="136" t="s">
        <v>2105</v>
      </c>
    </row>
    <row r="51" spans="1:13" ht="15" thickBot="1" x14ac:dyDescent="0.4">
      <c r="A51" s="3" t="str">
        <f>CONCATENATE($A$2," TOD")</f>
        <v>SC12 TOD</v>
      </c>
      <c r="C51" s="203">
        <f>L40</f>
        <v>0.66</v>
      </c>
      <c r="E51" s="35">
        <f>K40</f>
        <v>9.759999999999998</v>
      </c>
      <c r="F51" s="228"/>
      <c r="G51" s="203">
        <f>G40</f>
        <v>0.64333439389118674</v>
      </c>
      <c r="I51" s="870">
        <f>ROUND(C51-ROUND((C51-G51)*(I43/I44),4),2)</f>
        <v>0.64</v>
      </c>
      <c r="K51" s="3" t="s">
        <v>194</v>
      </c>
      <c r="L51" s="215">
        <f>I51</f>
        <v>0.64</v>
      </c>
      <c r="M51" s="136" t="s">
        <v>1111</v>
      </c>
    </row>
    <row r="52" spans="1:13" x14ac:dyDescent="0.35">
      <c r="I52" s="248"/>
    </row>
    <row r="54" spans="1:13" x14ac:dyDescent="0.35">
      <c r="A54" s="70" t="s">
        <v>192</v>
      </c>
    </row>
    <row r="55" spans="1:13" x14ac:dyDescent="0.35">
      <c r="A55" s="190" t="s">
        <v>210</v>
      </c>
    </row>
    <row r="56" spans="1:13" x14ac:dyDescent="0.35">
      <c r="A56" s="190"/>
    </row>
    <row r="57" spans="1:13" x14ac:dyDescent="0.35">
      <c r="A57" s="334" t="s">
        <v>1549</v>
      </c>
    </row>
    <row r="58" spans="1:13" ht="15" thickBot="1" x14ac:dyDescent="0.4">
      <c r="G58" s="30" t="s">
        <v>207</v>
      </c>
    </row>
    <row r="59" spans="1:13" ht="15.5" thickTop="1" thickBot="1" x14ac:dyDescent="0.4">
      <c r="B59" s="1307" t="s">
        <v>203</v>
      </c>
      <c r="C59" s="1309"/>
      <c r="E59" s="30" t="s">
        <v>206</v>
      </c>
      <c r="F59" s="219"/>
      <c r="G59" s="30" t="s">
        <v>208</v>
      </c>
    </row>
    <row r="60" spans="1:13" ht="15" thickTop="1" x14ac:dyDescent="0.35">
      <c r="B60" s="30" t="s">
        <v>42</v>
      </c>
      <c r="C60" s="30" t="s">
        <v>40</v>
      </c>
      <c r="E60" s="30" t="s">
        <v>187</v>
      </c>
      <c r="F60" s="219"/>
      <c r="G60" s="30" t="s">
        <v>209</v>
      </c>
    </row>
    <row r="61" spans="1:13" x14ac:dyDescent="0.35">
      <c r="A61" s="3" t="s">
        <v>196</v>
      </c>
      <c r="B61" s="27">
        <f>E19</f>
        <v>8.1399999999999988</v>
      </c>
      <c r="C61" s="27">
        <f>E16</f>
        <v>0</v>
      </c>
      <c r="D61" s="136" t="s">
        <v>165</v>
      </c>
      <c r="G61" s="208">
        <f>ROUND(B61*4/12,2)</f>
        <v>2.71</v>
      </c>
      <c r="H61" s="136" t="s">
        <v>2112</v>
      </c>
    </row>
    <row r="62" spans="1:13" ht="15" thickBot="1" x14ac:dyDescent="0.4">
      <c r="A62" s="3" t="s">
        <v>197</v>
      </c>
      <c r="B62" s="27">
        <f>E20</f>
        <v>20.93</v>
      </c>
      <c r="C62" s="27">
        <f>E17</f>
        <v>13.37</v>
      </c>
      <c r="D62" s="136" t="s">
        <v>2107</v>
      </c>
      <c r="E62" s="27">
        <f>ROUND(B62-C62,2)</f>
        <v>7.56</v>
      </c>
      <c r="F62" s="136" t="s">
        <v>2110</v>
      </c>
      <c r="G62" s="208">
        <f>ROUND((B62*4+C62*8)/12,2)</f>
        <v>15.89</v>
      </c>
      <c r="H62" s="136" t="s">
        <v>2113</v>
      </c>
      <c r="J62" s="216" t="s">
        <v>203</v>
      </c>
    </row>
    <row r="63" spans="1:13" x14ac:dyDescent="0.35">
      <c r="A63" s="3" t="s">
        <v>198</v>
      </c>
      <c r="B63" s="209">
        <f>E21</f>
        <v>12.399999999999999</v>
      </c>
      <c r="C63" s="209">
        <f>E18</f>
        <v>8.43</v>
      </c>
      <c r="D63" s="136" t="s">
        <v>2108</v>
      </c>
      <c r="E63" s="27">
        <f>ROUND(B63-C63,2)</f>
        <v>3.97</v>
      </c>
      <c r="F63" s="136" t="s">
        <v>2111</v>
      </c>
      <c r="G63" s="210">
        <f>ROUND((B63*4+C63*8)/12,2)</f>
        <v>9.75</v>
      </c>
      <c r="H63" s="136" t="s">
        <v>2114</v>
      </c>
      <c r="I63" s="33" t="s">
        <v>211</v>
      </c>
      <c r="J63" s="212">
        <f>ROUND(G63/G64,4)</f>
        <v>0.34389999999999998</v>
      </c>
      <c r="K63" s="136" t="s">
        <v>2117</v>
      </c>
    </row>
    <row r="64" spans="1:13" ht="15" thickBot="1" x14ac:dyDescent="0.4">
      <c r="A64" s="3" t="s">
        <v>205</v>
      </c>
      <c r="B64" s="27">
        <f>SUM(B61:B63)</f>
        <v>41.47</v>
      </c>
      <c r="C64" s="27">
        <f>SUM(C61:C63)</f>
        <v>21.799999999999997</v>
      </c>
      <c r="D64" s="136" t="s">
        <v>2109</v>
      </c>
      <c r="G64" s="27">
        <f>SUM(G61:G63)</f>
        <v>28.35</v>
      </c>
      <c r="H64" s="136" t="s">
        <v>2115</v>
      </c>
      <c r="I64" s="33" t="s">
        <v>212</v>
      </c>
      <c r="J64" s="213">
        <f>1-J63</f>
        <v>0.65610000000000002</v>
      </c>
      <c r="K64" s="136" t="s">
        <v>2118</v>
      </c>
    </row>
    <row r="65" spans="1:8" x14ac:dyDescent="0.35">
      <c r="H65" s="200"/>
    </row>
    <row r="68" spans="1:8" x14ac:dyDescent="0.35">
      <c r="A68" s="3" t="s">
        <v>200</v>
      </c>
      <c r="G68" s="245">
        <f>E27</f>
        <v>11276778</v>
      </c>
      <c r="H68" s="136" t="s">
        <v>109</v>
      </c>
    </row>
    <row r="69" spans="1:8" ht="15" thickBot="1" x14ac:dyDescent="0.4">
      <c r="A69" s="3" t="s">
        <v>201</v>
      </c>
      <c r="G69" s="245">
        <f>E28</f>
        <v>4035518</v>
      </c>
      <c r="H69" s="136" t="s">
        <v>108</v>
      </c>
    </row>
    <row r="70" spans="1:8" ht="15.5" thickTop="1" thickBot="1" x14ac:dyDescent="0.4">
      <c r="A70" s="3" t="s">
        <v>199</v>
      </c>
      <c r="G70" s="217">
        <f>G69/J63*L50</f>
        <v>4224444.5478336727</v>
      </c>
      <c r="H70" s="136" t="s">
        <v>2116</v>
      </c>
    </row>
    <row r="71" spans="1:8" ht="15" thickTop="1" x14ac:dyDescent="0.35">
      <c r="G71" s="8"/>
    </row>
    <row r="73" spans="1:8" x14ac:dyDescent="0.35">
      <c r="A73" s="2"/>
      <c r="B73" s="219" t="s">
        <v>42</v>
      </c>
      <c r="C73" s="219" t="s">
        <v>40</v>
      </c>
      <c r="D73" s="2"/>
      <c r="E73" s="2"/>
      <c r="G73" s="2"/>
    </row>
    <row r="74" spans="1:8" x14ac:dyDescent="0.35">
      <c r="A74" s="2" t="s">
        <v>196</v>
      </c>
      <c r="B74" s="72">
        <f>$M$17+$M$18</f>
        <v>91953.36</v>
      </c>
      <c r="C74" s="582">
        <f>$N$17+$N$18</f>
        <v>304157.52000000008</v>
      </c>
      <c r="D74" s="581"/>
      <c r="E74" s="2"/>
      <c r="G74" s="2"/>
    </row>
    <row r="75" spans="1:8" x14ac:dyDescent="0.35">
      <c r="A75" s="2" t="s">
        <v>197</v>
      </c>
      <c r="B75" s="72">
        <f>$M$19+$M$20</f>
        <v>101206.31999999999</v>
      </c>
      <c r="C75" s="72">
        <f>$N$19+$N$20</f>
        <v>327188.64</v>
      </c>
      <c r="D75" s="581"/>
      <c r="E75" s="2"/>
      <c r="G75" s="2"/>
    </row>
    <row r="76" spans="1:8" x14ac:dyDescent="0.35">
      <c r="A76" s="2" t="s">
        <v>198</v>
      </c>
      <c r="B76" s="72">
        <f>$M$21</f>
        <v>101470.9</v>
      </c>
      <c r="C76" s="72">
        <f>$N$21</f>
        <v>329451.8</v>
      </c>
      <c r="D76" s="2"/>
      <c r="E76" s="2"/>
      <c r="G76" s="2"/>
    </row>
    <row r="77" spans="1:8" x14ac:dyDescent="0.35">
      <c r="A77" s="2"/>
      <c r="B77" s="2"/>
      <c r="C77" s="2"/>
      <c r="D77" s="2"/>
      <c r="E77" s="2"/>
      <c r="G77" s="2"/>
    </row>
    <row r="78" spans="1:8" x14ac:dyDescent="0.35">
      <c r="A78" s="221" t="s">
        <v>222</v>
      </c>
      <c r="B78" s="2"/>
      <c r="C78" s="2"/>
      <c r="D78" s="2"/>
      <c r="E78" s="2"/>
      <c r="G78" s="227">
        <f>E63</f>
        <v>3.97</v>
      </c>
      <c r="H78" s="136" t="s">
        <v>1556</v>
      </c>
    </row>
    <row r="79" spans="1:8" x14ac:dyDescent="0.35">
      <c r="B79" s="2"/>
      <c r="C79" s="2"/>
      <c r="D79" s="2"/>
      <c r="E79" s="2"/>
      <c r="G79" s="2"/>
      <c r="H79" s="2"/>
    </row>
    <row r="80" spans="1:8" x14ac:dyDescent="0.35">
      <c r="B80" s="2"/>
      <c r="C80" s="219" t="s">
        <v>25</v>
      </c>
      <c r="D80" s="219"/>
      <c r="E80" s="219"/>
      <c r="F80" s="219"/>
      <c r="G80" s="2"/>
      <c r="H80" s="2"/>
    </row>
    <row r="81" spans="1:8" x14ac:dyDescent="0.35">
      <c r="B81" s="222" t="s">
        <v>215</v>
      </c>
      <c r="C81" s="224">
        <f>B76</f>
        <v>101470.9</v>
      </c>
      <c r="D81" s="2" t="s">
        <v>217</v>
      </c>
      <c r="E81" s="228">
        <f>G78</f>
        <v>3.97</v>
      </c>
      <c r="F81" s="228"/>
      <c r="G81" s="2"/>
      <c r="H81" s="136" t="s">
        <v>2119</v>
      </c>
    </row>
    <row r="82" spans="1:8" x14ac:dyDescent="0.35">
      <c r="B82" s="222" t="s">
        <v>216</v>
      </c>
      <c r="C82" s="225">
        <f>C76</f>
        <v>329451.8</v>
      </c>
      <c r="D82" s="2" t="s">
        <v>32</v>
      </c>
      <c r="E82" s="2"/>
      <c r="G82" s="2"/>
      <c r="H82" s="136" t="s">
        <v>2120</v>
      </c>
    </row>
    <row r="83" spans="1:8" x14ac:dyDescent="0.35">
      <c r="C83" s="28">
        <f>C81+C82</f>
        <v>430922.69999999995</v>
      </c>
      <c r="D83" s="136" t="s">
        <v>1638</v>
      </c>
    </row>
    <row r="85" spans="1:8" x14ac:dyDescent="0.35">
      <c r="B85" s="222" t="s">
        <v>218</v>
      </c>
      <c r="C85" s="34">
        <f>G70</f>
        <v>4224444.5478336727</v>
      </c>
      <c r="D85" s="226" t="s">
        <v>31</v>
      </c>
      <c r="E85" s="28">
        <f>C83</f>
        <v>430922.69999999995</v>
      </c>
      <c r="F85" s="2" t="s">
        <v>217</v>
      </c>
      <c r="G85" s="34">
        <f>ROUND(C81*E81,0)</f>
        <v>402839</v>
      </c>
      <c r="H85" s="136" t="s">
        <v>2121</v>
      </c>
    </row>
    <row r="86" spans="1:8" x14ac:dyDescent="0.35">
      <c r="C86" s="34">
        <f>C85-G85</f>
        <v>3821605.5478336727</v>
      </c>
      <c r="D86" s="226" t="s">
        <v>31</v>
      </c>
      <c r="E86" s="28">
        <f>E85</f>
        <v>430922.69999999995</v>
      </c>
      <c r="F86" s="2" t="s">
        <v>32</v>
      </c>
      <c r="H86" s="136" t="s">
        <v>2122</v>
      </c>
    </row>
    <row r="87" spans="1:8" x14ac:dyDescent="0.35">
      <c r="B87" s="222" t="s">
        <v>219</v>
      </c>
      <c r="C87" s="222" t="s">
        <v>32</v>
      </c>
      <c r="D87" s="226" t="s">
        <v>31</v>
      </c>
      <c r="E87" s="229">
        <f>ROUND(C86/E86,2)</f>
        <v>8.8699999999999992</v>
      </c>
      <c r="F87" s="228"/>
      <c r="H87" s="136" t="s">
        <v>2123</v>
      </c>
    </row>
    <row r="88" spans="1:8" x14ac:dyDescent="0.35">
      <c r="B88" s="222" t="s">
        <v>220</v>
      </c>
      <c r="D88" s="226" t="s">
        <v>31</v>
      </c>
      <c r="E88" s="229">
        <f>E87+E81</f>
        <v>12.84</v>
      </c>
      <c r="F88" s="228"/>
      <c r="H88" s="136" t="s">
        <v>2124</v>
      </c>
    </row>
    <row r="91" spans="1:8" x14ac:dyDescent="0.35">
      <c r="A91" s="221" t="s">
        <v>223</v>
      </c>
      <c r="G91" s="227">
        <f>B61</f>
        <v>8.1399999999999988</v>
      </c>
      <c r="H91" s="136" t="s">
        <v>165</v>
      </c>
    </row>
    <row r="93" spans="1:8" x14ac:dyDescent="0.35">
      <c r="B93" s="222" t="s">
        <v>224</v>
      </c>
      <c r="C93" s="28">
        <f>B74</f>
        <v>91953.36</v>
      </c>
      <c r="D93" s="3" t="s">
        <v>39</v>
      </c>
      <c r="E93" s="27">
        <f>G91</f>
        <v>8.1399999999999988</v>
      </c>
      <c r="F93" s="226" t="s">
        <v>31</v>
      </c>
      <c r="G93" s="34">
        <f>ROUND(C93*E93,0)</f>
        <v>748500</v>
      </c>
      <c r="H93" s="136" t="s">
        <v>2125</v>
      </c>
    </row>
    <row r="96" spans="1:8" x14ac:dyDescent="0.35">
      <c r="A96" s="221" t="s">
        <v>234</v>
      </c>
      <c r="G96" s="227">
        <f>E62</f>
        <v>7.56</v>
      </c>
      <c r="H96" s="136" t="s">
        <v>1091</v>
      </c>
    </row>
    <row r="98" spans="2:8" x14ac:dyDescent="0.35">
      <c r="B98" s="3" t="s">
        <v>225</v>
      </c>
      <c r="E98" s="26">
        <f>G68</f>
        <v>11276778</v>
      </c>
      <c r="F98" s="136" t="s">
        <v>109</v>
      </c>
    </row>
    <row r="99" spans="2:8" x14ac:dyDescent="0.35">
      <c r="B99" s="3" t="s">
        <v>226</v>
      </c>
      <c r="E99" s="26">
        <f>G70</f>
        <v>4224444.5478336727</v>
      </c>
      <c r="F99" s="136" t="s">
        <v>1574</v>
      </c>
    </row>
    <row r="100" spans="2:8" x14ac:dyDescent="0.35">
      <c r="B100" s="3" t="s">
        <v>227</v>
      </c>
      <c r="E100" s="37">
        <f>G93</f>
        <v>748500</v>
      </c>
      <c r="F100" s="136" t="s">
        <v>229</v>
      </c>
    </row>
    <row r="101" spans="2:8" x14ac:dyDescent="0.35">
      <c r="B101" s="3" t="s">
        <v>228</v>
      </c>
      <c r="E101" s="34">
        <f>E98-E99-E100</f>
        <v>6303833.4521663273</v>
      </c>
      <c r="F101" s="136" t="s">
        <v>2131</v>
      </c>
    </row>
    <row r="104" spans="2:8" x14ac:dyDescent="0.35">
      <c r="B104" s="222" t="s">
        <v>230</v>
      </c>
      <c r="C104" s="224">
        <f>B75</f>
        <v>101206.31999999999</v>
      </c>
      <c r="D104" s="2" t="s">
        <v>217</v>
      </c>
      <c r="E104" s="27">
        <f>G96</f>
        <v>7.56</v>
      </c>
      <c r="H104" s="136" t="s">
        <v>2126</v>
      </c>
    </row>
    <row r="105" spans="2:8" x14ac:dyDescent="0.35">
      <c r="B105" s="222" t="s">
        <v>231</v>
      </c>
      <c r="C105" s="225">
        <f>C75</f>
        <v>327188.64</v>
      </c>
      <c r="D105" s="2" t="s">
        <v>32</v>
      </c>
      <c r="H105" s="136" t="s">
        <v>2120</v>
      </c>
    </row>
    <row r="106" spans="2:8" x14ac:dyDescent="0.35">
      <c r="C106" s="28">
        <f>C104+C105</f>
        <v>428394.96</v>
      </c>
      <c r="D106" s="136" t="s">
        <v>1604</v>
      </c>
    </row>
    <row r="108" spans="2:8" x14ac:dyDescent="0.35">
      <c r="B108" s="222" t="s">
        <v>218</v>
      </c>
      <c r="C108" s="34">
        <f>E101</f>
        <v>6303833.4521663273</v>
      </c>
      <c r="D108" s="226" t="s">
        <v>31</v>
      </c>
      <c r="E108" s="28">
        <f>C106</f>
        <v>428394.96</v>
      </c>
      <c r="F108" s="2" t="s">
        <v>217</v>
      </c>
      <c r="G108" s="34">
        <f>ROUND(C104*E104,0)</f>
        <v>765120</v>
      </c>
      <c r="H108" s="136" t="s">
        <v>2127</v>
      </c>
    </row>
    <row r="109" spans="2:8" x14ac:dyDescent="0.35">
      <c r="C109" s="34">
        <f>C108-G108</f>
        <v>5538713.4521663273</v>
      </c>
      <c r="D109" s="226" t="s">
        <v>31</v>
      </c>
      <c r="E109" s="28">
        <f>E108</f>
        <v>428394.96</v>
      </c>
      <c r="F109" s="2" t="s">
        <v>32</v>
      </c>
      <c r="H109" s="136" t="s">
        <v>2128</v>
      </c>
    </row>
    <row r="110" spans="2:8" x14ac:dyDescent="0.35">
      <c r="B110" s="222" t="s">
        <v>232</v>
      </c>
      <c r="C110" s="222" t="s">
        <v>32</v>
      </c>
      <c r="D110" s="226" t="s">
        <v>31</v>
      </c>
      <c r="E110" s="229">
        <f>ROUND(C109/E109,2)</f>
        <v>12.93</v>
      </c>
      <c r="H110" s="136" t="s">
        <v>2129</v>
      </c>
    </row>
    <row r="111" spans="2:8" x14ac:dyDescent="0.35">
      <c r="B111" s="222" t="s">
        <v>233</v>
      </c>
      <c r="D111" s="226" t="s">
        <v>31</v>
      </c>
      <c r="E111" s="229">
        <f>E110+E104</f>
        <v>20.49</v>
      </c>
      <c r="H111" s="136" t="s">
        <v>2130</v>
      </c>
    </row>
    <row r="113" spans="1:16" ht="15" thickBot="1" x14ac:dyDescent="0.4">
      <c r="F113" s="3"/>
    </row>
    <row r="114" spans="1:16" ht="15" thickBot="1" x14ac:dyDescent="0.4">
      <c r="A114" s="60"/>
      <c r="B114" s="59"/>
      <c r="C114" s="59"/>
      <c r="D114" s="98"/>
      <c r="F114" s="3"/>
    </row>
    <row r="115" spans="1:16" ht="15.5" thickTop="1" thickBot="1" x14ac:dyDescent="0.4">
      <c r="A115" s="235" t="str">
        <f>$A$2</f>
        <v>SC12</v>
      </c>
      <c r="B115" s="1307" t="s">
        <v>235</v>
      </c>
      <c r="C115" s="1309"/>
      <c r="D115" s="94"/>
      <c r="F115" s="3"/>
    </row>
    <row r="116" spans="1:16" ht="15" thickTop="1" x14ac:dyDescent="0.35">
      <c r="A116" s="235" t="str">
        <f>$A$3</f>
        <v>Rate II</v>
      </c>
      <c r="B116" s="236" t="s">
        <v>42</v>
      </c>
      <c r="C116" s="236" t="s">
        <v>40</v>
      </c>
      <c r="D116" s="94"/>
      <c r="F116" s="3"/>
    </row>
    <row r="117" spans="1:16" x14ac:dyDescent="0.35">
      <c r="A117" s="96" t="s">
        <v>196</v>
      </c>
      <c r="B117" s="237">
        <f>B61</f>
        <v>8.1399999999999988</v>
      </c>
      <c r="C117" s="237">
        <f>E72</f>
        <v>0</v>
      </c>
      <c r="D117" s="94"/>
      <c r="E117" s="136" t="s">
        <v>165</v>
      </c>
      <c r="F117" s="3"/>
    </row>
    <row r="118" spans="1:16" x14ac:dyDescent="0.35">
      <c r="A118" s="96" t="s">
        <v>197</v>
      </c>
      <c r="B118" s="237">
        <f>E111</f>
        <v>20.49</v>
      </c>
      <c r="C118" s="237">
        <f>E110</f>
        <v>12.93</v>
      </c>
      <c r="D118" s="94"/>
      <c r="E118" s="136" t="s">
        <v>1734</v>
      </c>
      <c r="F118" s="136" t="s">
        <v>1733</v>
      </c>
    </row>
    <row r="119" spans="1:16" x14ac:dyDescent="0.35">
      <c r="A119" s="96" t="s">
        <v>198</v>
      </c>
      <c r="B119" s="209">
        <f>E88</f>
        <v>12.84</v>
      </c>
      <c r="C119" s="209">
        <f>E87</f>
        <v>8.8699999999999992</v>
      </c>
      <c r="D119" s="94"/>
      <c r="E119" s="136" t="s">
        <v>1640</v>
      </c>
      <c r="F119" s="136" t="s">
        <v>1639</v>
      </c>
    </row>
    <row r="120" spans="1:16" x14ac:dyDescent="0.35">
      <c r="A120" s="96" t="s">
        <v>205</v>
      </c>
      <c r="B120" s="237">
        <f>SUM(B117:B119)</f>
        <v>41.47</v>
      </c>
      <c r="C120" s="237">
        <f>SUM(C117:C119)</f>
        <v>21.799999999999997</v>
      </c>
      <c r="D120" s="94"/>
      <c r="E120" s="136" t="s">
        <v>2132</v>
      </c>
      <c r="F120" s="136" t="s">
        <v>2133</v>
      </c>
    </row>
    <row r="121" spans="1:16" ht="15" thickBot="1" x14ac:dyDescent="0.4">
      <c r="A121" s="93"/>
      <c r="B121" s="46"/>
      <c r="C121" s="46"/>
      <c r="D121" s="91"/>
      <c r="F121" s="3"/>
    </row>
    <row r="124" spans="1:16" s="88" customFormat="1" x14ac:dyDescent="0.35"/>
    <row r="125" spans="1:16" ht="18.5" x14ac:dyDescent="0.35">
      <c r="A125" s="238" t="s">
        <v>241</v>
      </c>
      <c r="F125" s="3"/>
    </row>
    <row r="126" spans="1:16" x14ac:dyDescent="0.35">
      <c r="F126" s="3"/>
    </row>
    <row r="127" spans="1:16" x14ac:dyDescent="0.35">
      <c r="F127" s="3"/>
    </row>
    <row r="128" spans="1:16" ht="15" thickBot="1" x14ac:dyDescent="0.4">
      <c r="G128" s="30" t="s">
        <v>207</v>
      </c>
      <c r="O128" s="2"/>
      <c r="P128" s="30" t="s">
        <v>207</v>
      </c>
    </row>
    <row r="129" spans="1:17" ht="15.5" thickTop="1" thickBot="1" x14ac:dyDescent="0.4">
      <c r="A129" s="239" t="str">
        <f>$A$2</f>
        <v>SC12</v>
      </c>
      <c r="B129" s="1307" t="s">
        <v>203</v>
      </c>
      <c r="C129" s="1309"/>
      <c r="E129" s="30" t="s">
        <v>206</v>
      </c>
      <c r="F129" s="219"/>
      <c r="G129" s="30" t="s">
        <v>208</v>
      </c>
      <c r="J129" s="239" t="str">
        <f>$A$2</f>
        <v>SC12</v>
      </c>
      <c r="K129" s="1307" t="s">
        <v>235</v>
      </c>
      <c r="L129" s="1309"/>
      <c r="N129" s="30" t="s">
        <v>206</v>
      </c>
      <c r="O129" s="219"/>
      <c r="P129" s="30" t="s">
        <v>208</v>
      </c>
    </row>
    <row r="130" spans="1:17" ht="15" thickTop="1" x14ac:dyDescent="0.35">
      <c r="A130" s="239" t="str">
        <f>$A$3</f>
        <v>Rate II</v>
      </c>
      <c r="B130" s="30" t="s">
        <v>42</v>
      </c>
      <c r="C130" s="30" t="s">
        <v>40</v>
      </c>
      <c r="E130" s="30" t="s">
        <v>187</v>
      </c>
      <c r="F130" s="219"/>
      <c r="G130" s="30" t="s">
        <v>209</v>
      </c>
      <c r="J130" s="239" t="str">
        <f>$A$3</f>
        <v>Rate II</v>
      </c>
      <c r="K130" s="30" t="s">
        <v>42</v>
      </c>
      <c r="L130" s="30" t="s">
        <v>40</v>
      </c>
      <c r="N130" s="30" t="s">
        <v>187</v>
      </c>
      <c r="O130" s="219"/>
      <c r="P130" s="30" t="s">
        <v>209</v>
      </c>
    </row>
    <row r="131" spans="1:17" x14ac:dyDescent="0.35">
      <c r="A131" s="3" t="s">
        <v>196</v>
      </c>
      <c r="B131" s="27">
        <f>B61</f>
        <v>8.1399999999999988</v>
      </c>
      <c r="C131" s="27">
        <f t="shared" ref="C131:C133" si="2">C61</f>
        <v>0</v>
      </c>
      <c r="G131" s="208">
        <f>ROUND(B131*4/12,2)</f>
        <v>2.71</v>
      </c>
      <c r="J131" s="3" t="s">
        <v>196</v>
      </c>
      <c r="K131" s="27">
        <f>B117</f>
        <v>8.1399999999999988</v>
      </c>
      <c r="L131" s="27">
        <f>C117</f>
        <v>0</v>
      </c>
      <c r="O131" s="2"/>
      <c r="P131" s="208">
        <f>ROUND(K131*4/12,2)</f>
        <v>2.71</v>
      </c>
    </row>
    <row r="132" spans="1:17" x14ac:dyDescent="0.35">
      <c r="A132" s="3" t="s">
        <v>197</v>
      </c>
      <c r="B132" s="27">
        <f t="shared" ref="B132:B133" si="3">B62</f>
        <v>20.93</v>
      </c>
      <c r="C132" s="27">
        <f t="shared" si="2"/>
        <v>13.37</v>
      </c>
      <c r="E132" s="27">
        <f>ROUND(B132-C132,2)</f>
        <v>7.56</v>
      </c>
      <c r="F132" s="223"/>
      <c r="G132" s="208">
        <f>ROUND((B132*4+C132*8)/12,2)</f>
        <v>15.89</v>
      </c>
      <c r="J132" s="3" t="s">
        <v>197</v>
      </c>
      <c r="K132" s="27">
        <f t="shared" ref="K132:L133" si="4">B118</f>
        <v>20.49</v>
      </c>
      <c r="L132" s="27">
        <f t="shared" si="4"/>
        <v>12.93</v>
      </c>
      <c r="N132" s="27">
        <f>ROUND(K132-L132,2)</f>
        <v>7.56</v>
      </c>
      <c r="O132" s="223"/>
      <c r="P132" s="208">
        <f>ROUND((K132*4+L132*8)/12,2)</f>
        <v>15.45</v>
      </c>
    </row>
    <row r="133" spans="1:17" x14ac:dyDescent="0.35">
      <c r="A133" s="3" t="s">
        <v>198</v>
      </c>
      <c r="B133" s="27">
        <f t="shared" si="3"/>
        <v>12.399999999999999</v>
      </c>
      <c r="C133" s="27">
        <f t="shared" si="2"/>
        <v>8.43</v>
      </c>
      <c r="E133" s="27">
        <f>ROUND(B133-C133,2)</f>
        <v>3.97</v>
      </c>
      <c r="F133" s="223"/>
      <c r="G133" s="210">
        <f>ROUND((B133*4+C133*8)/12,2)</f>
        <v>9.75</v>
      </c>
      <c r="J133" s="3" t="s">
        <v>198</v>
      </c>
      <c r="K133" s="27">
        <f t="shared" si="4"/>
        <v>12.84</v>
      </c>
      <c r="L133" s="27">
        <f t="shared" si="4"/>
        <v>8.8699999999999992</v>
      </c>
      <c r="N133" s="27">
        <f>ROUND(K133-L133,2)</f>
        <v>3.97</v>
      </c>
      <c r="O133" s="223"/>
      <c r="P133" s="210">
        <f>ROUND((K133*4+L133*8)/12,2)</f>
        <v>10.19</v>
      </c>
    </row>
    <row r="134" spans="1:17" x14ac:dyDescent="0.35">
      <c r="A134" s="3" t="s">
        <v>205</v>
      </c>
      <c r="B134" s="27">
        <f>SUM(B131:B133)</f>
        <v>41.47</v>
      </c>
      <c r="C134" s="27">
        <f>SUM(C131:C133)</f>
        <v>21.799999999999997</v>
      </c>
      <c r="G134" s="27">
        <f>SUM(G131:G133)</f>
        <v>28.35</v>
      </c>
      <c r="J134" s="3" t="s">
        <v>205</v>
      </c>
      <c r="K134" s="27">
        <f>SUM(K131:K133)</f>
        <v>41.47</v>
      </c>
      <c r="L134" s="27">
        <f>SUM(L131:L133)</f>
        <v>21.799999999999997</v>
      </c>
      <c r="O134" s="2"/>
      <c r="P134" s="27">
        <f>SUM(P131:P133)</f>
        <v>28.35</v>
      </c>
    </row>
    <row r="135" spans="1:17" x14ac:dyDescent="0.35">
      <c r="O135" s="2"/>
    </row>
    <row r="136" spans="1:17" x14ac:dyDescent="0.35">
      <c r="F136" s="33" t="s">
        <v>193</v>
      </c>
      <c r="G136" s="27">
        <f>G133</f>
        <v>9.75</v>
      </c>
      <c r="H136" s="240">
        <f>ROUND(G136/G137,4)</f>
        <v>0.34389999999999998</v>
      </c>
      <c r="O136" s="33" t="s">
        <v>193</v>
      </c>
      <c r="P136" s="27">
        <f>P133</f>
        <v>10.19</v>
      </c>
      <c r="Q136" s="240">
        <f>ROUND(P136/P137,4)</f>
        <v>0.3594</v>
      </c>
    </row>
    <row r="137" spans="1:17" x14ac:dyDescent="0.35">
      <c r="F137" s="33" t="s">
        <v>194</v>
      </c>
      <c r="G137" s="27">
        <f>G134</f>
        <v>28.35</v>
      </c>
      <c r="H137" s="241">
        <f>1-H136</f>
        <v>0.65610000000000002</v>
      </c>
      <c r="O137" s="33" t="s">
        <v>194</v>
      </c>
      <c r="P137" s="27">
        <f>P134</f>
        <v>28.35</v>
      </c>
      <c r="Q137" s="241">
        <f>1-Q136</f>
        <v>0.64060000000000006</v>
      </c>
    </row>
    <row r="138" spans="1:17" ht="15" thickBot="1" x14ac:dyDescent="0.4">
      <c r="O138" s="2"/>
    </row>
    <row r="139" spans="1:17" ht="15.5" thickTop="1" thickBot="1" x14ac:dyDescent="0.4">
      <c r="B139" s="1307" t="s">
        <v>236</v>
      </c>
      <c r="C139" s="1309"/>
      <c r="K139" s="1307" t="s">
        <v>236</v>
      </c>
      <c r="L139" s="1309"/>
      <c r="O139" s="2"/>
    </row>
    <row r="140" spans="1:17" ht="15" thickTop="1" x14ac:dyDescent="0.35">
      <c r="A140" s="3" t="s">
        <v>196</v>
      </c>
      <c r="B140" s="35">
        <f>B131-$C$132</f>
        <v>-5.23</v>
      </c>
      <c r="J140" s="3" t="s">
        <v>196</v>
      </c>
      <c r="K140" s="35">
        <f>K131-$C$132</f>
        <v>-5.23</v>
      </c>
      <c r="O140" s="2"/>
    </row>
    <row r="141" spans="1:17" x14ac:dyDescent="0.35">
      <c r="A141" s="3" t="s">
        <v>197</v>
      </c>
      <c r="B141" s="35">
        <f>B132-$C$132</f>
        <v>7.5600000000000005</v>
      </c>
      <c r="C141" s="35">
        <f t="shared" ref="C141:C142" si="5">C132-$C$132</f>
        <v>0</v>
      </c>
      <c r="J141" s="3" t="s">
        <v>197</v>
      </c>
      <c r="K141" s="35">
        <f>K132-$C$132</f>
        <v>7.1199999999999992</v>
      </c>
      <c r="L141" s="35">
        <f t="shared" ref="L141:L142" si="6">L132-$C$132</f>
        <v>-0.4399999999999995</v>
      </c>
      <c r="O141" s="2"/>
    </row>
    <row r="142" spans="1:17" x14ac:dyDescent="0.35">
      <c r="A142" s="3" t="s">
        <v>198</v>
      </c>
      <c r="B142" s="35">
        <f>B133-$C$132</f>
        <v>-0.97000000000000064</v>
      </c>
      <c r="C142" s="35">
        <f t="shared" si="5"/>
        <v>-4.9399999999999995</v>
      </c>
      <c r="J142" s="3" t="s">
        <v>198</v>
      </c>
      <c r="K142" s="35">
        <f>K133-$C$132</f>
        <v>-0.52999999999999936</v>
      </c>
      <c r="L142" s="35">
        <f t="shared" si="6"/>
        <v>-4.5</v>
      </c>
      <c r="O142" s="2"/>
    </row>
    <row r="143" spans="1:17" x14ac:dyDescent="0.35">
      <c r="O143" s="2"/>
    </row>
    <row r="144" spans="1:17" ht="15" thickBot="1" x14ac:dyDescent="0.4">
      <c r="F144" s="3"/>
    </row>
    <row r="145" spans="1:14" ht="15.5" thickTop="1" thickBot="1" x14ac:dyDescent="0.4">
      <c r="B145" s="1307" t="s">
        <v>25</v>
      </c>
      <c r="C145" s="1309"/>
      <c r="F145" s="3"/>
      <c r="K145" s="1307" t="s">
        <v>25</v>
      </c>
      <c r="L145" s="1309"/>
    </row>
    <row r="146" spans="1:14" ht="15" thickTop="1" x14ac:dyDescent="0.35">
      <c r="B146" s="30" t="s">
        <v>42</v>
      </c>
      <c r="C146" s="30" t="s">
        <v>40</v>
      </c>
      <c r="F146" s="3"/>
      <c r="K146" s="30" t="s">
        <v>42</v>
      </c>
      <c r="L146" s="30" t="s">
        <v>40</v>
      </c>
    </row>
    <row r="147" spans="1:14" x14ac:dyDescent="0.35">
      <c r="A147" s="3" t="s">
        <v>196</v>
      </c>
      <c r="B147" s="242">
        <f>B74</f>
        <v>91953.36</v>
      </c>
      <c r="C147" s="242">
        <f>C74</f>
        <v>304157.52000000008</v>
      </c>
      <c r="F147" s="3"/>
      <c r="J147" s="3" t="s">
        <v>196</v>
      </c>
      <c r="K147" s="242">
        <f>B147</f>
        <v>91953.36</v>
      </c>
      <c r="L147" s="242">
        <f t="shared" ref="L147:L149" si="7">C147</f>
        <v>304157.52000000008</v>
      </c>
    </row>
    <row r="148" spans="1:14" x14ac:dyDescent="0.35">
      <c r="A148" s="3" t="s">
        <v>197</v>
      </c>
      <c r="B148" s="242">
        <f t="shared" ref="B148:C149" si="8">B75</f>
        <v>101206.31999999999</v>
      </c>
      <c r="C148" s="242">
        <f t="shared" si="8"/>
        <v>327188.64</v>
      </c>
      <c r="F148" s="3"/>
      <c r="J148" s="3" t="s">
        <v>197</v>
      </c>
      <c r="K148" s="242">
        <f t="shared" ref="K148:K149" si="9">B148</f>
        <v>101206.31999999999</v>
      </c>
      <c r="L148" s="242">
        <f t="shared" si="7"/>
        <v>327188.64</v>
      </c>
    </row>
    <row r="149" spans="1:14" x14ac:dyDescent="0.35">
      <c r="A149" s="3" t="s">
        <v>198</v>
      </c>
      <c r="B149" s="242">
        <f t="shared" si="8"/>
        <v>101470.9</v>
      </c>
      <c r="C149" s="242">
        <f t="shared" si="8"/>
        <v>329451.8</v>
      </c>
      <c r="F149" s="3"/>
      <c r="J149" s="3" t="s">
        <v>198</v>
      </c>
      <c r="K149" s="242">
        <f t="shared" si="9"/>
        <v>101470.9</v>
      </c>
      <c r="L149" s="242">
        <f t="shared" si="7"/>
        <v>329451.8</v>
      </c>
    </row>
    <row r="150" spans="1:14" x14ac:dyDescent="0.35">
      <c r="B150" s="242"/>
      <c r="C150" s="242"/>
      <c r="F150" s="3"/>
      <c r="K150" s="242"/>
      <c r="L150" s="242"/>
    </row>
    <row r="151" spans="1:14" ht="15" thickBot="1" x14ac:dyDescent="0.4">
      <c r="F151" s="3"/>
    </row>
    <row r="152" spans="1:14" ht="15.5" thickTop="1" thickBot="1" x14ac:dyDescent="0.4">
      <c r="B152" s="1307" t="s">
        <v>239</v>
      </c>
      <c r="C152" s="1308"/>
      <c r="D152" s="1308"/>
      <c r="E152" s="1309"/>
      <c r="F152" s="3"/>
      <c r="K152" s="1307" t="s">
        <v>239</v>
      </c>
      <c r="L152" s="1308"/>
      <c r="M152" s="1308"/>
      <c r="N152" s="1309"/>
    </row>
    <row r="153" spans="1:14" ht="15" thickTop="1" x14ac:dyDescent="0.35">
      <c r="B153" s="30" t="s">
        <v>42</v>
      </c>
      <c r="C153" s="30" t="s">
        <v>40</v>
      </c>
      <c r="E153" s="30" t="s">
        <v>237</v>
      </c>
      <c r="F153" s="3"/>
      <c r="K153" s="30" t="s">
        <v>42</v>
      </c>
      <c r="L153" s="30" t="s">
        <v>40</v>
      </c>
      <c r="N153" s="30" t="s">
        <v>237</v>
      </c>
    </row>
    <row r="154" spans="1:14" x14ac:dyDescent="0.35">
      <c r="A154" s="3" t="s">
        <v>196</v>
      </c>
      <c r="B154" s="103">
        <f t="shared" ref="B154:C156" si="10">ROUND(B131*B147,0)</f>
        <v>748500</v>
      </c>
      <c r="C154" s="103">
        <f t="shared" si="10"/>
        <v>0</v>
      </c>
      <c r="E154" s="34">
        <f>B154+C154</f>
        <v>748500</v>
      </c>
      <c r="F154" s="3"/>
      <c r="J154" s="3" t="s">
        <v>196</v>
      </c>
      <c r="K154" s="103">
        <f t="shared" ref="K154:L156" si="11">ROUND(K131*K147,0)</f>
        <v>748500</v>
      </c>
      <c r="L154" s="103">
        <f t="shared" si="11"/>
        <v>0</v>
      </c>
      <c r="N154" s="34">
        <f>K154+L154</f>
        <v>748500</v>
      </c>
    </row>
    <row r="155" spans="1:14" x14ac:dyDescent="0.35">
      <c r="A155" s="3" t="s">
        <v>197</v>
      </c>
      <c r="B155" s="103">
        <f t="shared" si="10"/>
        <v>2118248</v>
      </c>
      <c r="C155" s="103">
        <f t="shared" si="10"/>
        <v>4374512</v>
      </c>
      <c r="E155" s="34">
        <f t="shared" ref="E155:E156" si="12">B155+C155</f>
        <v>6492760</v>
      </c>
      <c r="F155" s="3"/>
      <c r="J155" s="3" t="s">
        <v>197</v>
      </c>
      <c r="K155" s="103">
        <f t="shared" si="11"/>
        <v>2073717</v>
      </c>
      <c r="L155" s="103">
        <f t="shared" si="11"/>
        <v>4230549</v>
      </c>
      <c r="N155" s="34">
        <f t="shared" ref="N155:N156" si="13">K155+L155</f>
        <v>6304266</v>
      </c>
    </row>
    <row r="156" spans="1:14" ht="15" thickBot="1" x14ac:dyDescent="0.4">
      <c r="A156" s="3" t="s">
        <v>198</v>
      </c>
      <c r="B156" s="103">
        <f t="shared" si="10"/>
        <v>1258239</v>
      </c>
      <c r="C156" s="103">
        <f t="shared" si="10"/>
        <v>2777279</v>
      </c>
      <c r="E156" s="34">
        <f t="shared" si="12"/>
        <v>4035518</v>
      </c>
      <c r="F156" s="3"/>
      <c r="J156" s="3" t="s">
        <v>198</v>
      </c>
      <c r="K156" s="103">
        <f t="shared" si="11"/>
        <v>1302886</v>
      </c>
      <c r="L156" s="103">
        <f t="shared" si="11"/>
        <v>2922237</v>
      </c>
      <c r="N156" s="34">
        <f t="shared" si="13"/>
        <v>4225123</v>
      </c>
    </row>
    <row r="157" spans="1:14" ht="15.5" thickTop="1" thickBot="1" x14ac:dyDescent="0.4">
      <c r="A157" s="3" t="s">
        <v>205</v>
      </c>
      <c r="B157" s="243">
        <f>SUM(B154:B156)</f>
        <v>4124987</v>
      </c>
      <c r="C157" s="243">
        <f>SUM(C154:C156)</f>
        <v>7151791</v>
      </c>
      <c r="E157" s="243">
        <f>SUM(E154:E156)</f>
        <v>11276778</v>
      </c>
      <c r="F157" s="3"/>
      <c r="J157" s="3" t="s">
        <v>205</v>
      </c>
      <c r="K157" s="243">
        <f>SUM(K154:K156)</f>
        <v>4125103</v>
      </c>
      <c r="L157" s="243">
        <f>SUM(L154:L156)</f>
        <v>7152786</v>
      </c>
      <c r="N157" s="243">
        <f>SUM(N154:N156)</f>
        <v>11277889</v>
      </c>
    </row>
    <row r="158" spans="1:14" ht="15" thickTop="1" x14ac:dyDescent="0.35">
      <c r="F158" s="3"/>
    </row>
    <row r="159" spans="1:14" x14ac:dyDescent="0.35">
      <c r="A159" s="3" t="s">
        <v>238</v>
      </c>
      <c r="B159" s="3">
        <f>E24</f>
        <v>1.0119199999999999</v>
      </c>
      <c r="C159" s="3">
        <f>E25</f>
        <v>1.01067</v>
      </c>
      <c r="F159" s="3"/>
      <c r="J159" s="3" t="s">
        <v>238</v>
      </c>
      <c r="K159" s="3">
        <f>B159</f>
        <v>1.0119199999999999</v>
      </c>
      <c r="L159" s="3">
        <f>C159</f>
        <v>1.01067</v>
      </c>
    </row>
    <row r="160" spans="1:14" ht="15" thickBot="1" x14ac:dyDescent="0.4">
      <c r="F160" s="3"/>
    </row>
    <row r="161" spans="1:15" ht="15.5" thickTop="1" thickBot="1" x14ac:dyDescent="0.4">
      <c r="B161" s="1307" t="s">
        <v>240</v>
      </c>
      <c r="C161" s="1308"/>
      <c r="D161" s="1308"/>
      <c r="E161" s="1309"/>
      <c r="F161" s="3"/>
      <c r="K161" s="1307" t="s">
        <v>240</v>
      </c>
      <c r="L161" s="1308"/>
      <c r="M161" s="1308"/>
      <c r="N161" s="1309"/>
    </row>
    <row r="162" spans="1:15" ht="15" thickTop="1" x14ac:dyDescent="0.35">
      <c r="B162" s="30" t="s">
        <v>42</v>
      </c>
      <c r="C162" s="30" t="s">
        <v>40</v>
      </c>
      <c r="E162" s="30" t="s">
        <v>237</v>
      </c>
      <c r="F162" s="3"/>
      <c r="K162" s="30" t="s">
        <v>42</v>
      </c>
      <c r="L162" s="30" t="s">
        <v>40</v>
      </c>
      <c r="N162" s="30" t="s">
        <v>237</v>
      </c>
    </row>
    <row r="163" spans="1:15" x14ac:dyDescent="0.35">
      <c r="A163" s="3" t="s">
        <v>196</v>
      </c>
      <c r="B163" s="103">
        <f>ROUND(B154*$B$159,0)</f>
        <v>757422</v>
      </c>
      <c r="C163" s="103">
        <f>ROUND(C154*$C$159,0)</f>
        <v>0</v>
      </c>
      <c r="E163" s="34">
        <f>B163+C163</f>
        <v>757422</v>
      </c>
      <c r="F163" s="3"/>
      <c r="J163" s="3" t="s">
        <v>196</v>
      </c>
      <c r="K163" s="103">
        <f>ROUND(K154*$B$159,0)</f>
        <v>757422</v>
      </c>
      <c r="L163" s="103">
        <f>ROUND(L154*$C$159,0)</f>
        <v>0</v>
      </c>
      <c r="N163" s="34">
        <f>K163+L163</f>
        <v>757422</v>
      </c>
    </row>
    <row r="164" spans="1:15" x14ac:dyDescent="0.35">
      <c r="A164" s="3" t="s">
        <v>197</v>
      </c>
      <c r="B164" s="103">
        <f>ROUND(B155*$B$159,0)</f>
        <v>2143498</v>
      </c>
      <c r="C164" s="103">
        <f>ROUND(C155*$C$159,0)</f>
        <v>4421188</v>
      </c>
      <c r="E164" s="34">
        <f t="shared" ref="E164:E165" si="14">B164+C164</f>
        <v>6564686</v>
      </c>
      <c r="F164" s="3"/>
      <c r="J164" s="3" t="s">
        <v>197</v>
      </c>
      <c r="K164" s="103">
        <f>ROUND(K155*$B$159,0)</f>
        <v>2098436</v>
      </c>
      <c r="L164" s="103">
        <f>ROUND(L155*$C$159,0)</f>
        <v>4275689</v>
      </c>
      <c r="N164" s="34">
        <f t="shared" ref="N164:N165" si="15">K164+L164</f>
        <v>6374125</v>
      </c>
      <c r="O164" s="288"/>
    </row>
    <row r="165" spans="1:15" ht="15" thickBot="1" x14ac:dyDescent="0.4">
      <c r="A165" s="3" t="s">
        <v>198</v>
      </c>
      <c r="B165" s="103">
        <f>ROUND(B156*$B$159,0)</f>
        <v>1273237</v>
      </c>
      <c r="C165" s="103">
        <f>ROUND(C156*$C$159,0)</f>
        <v>2806913</v>
      </c>
      <c r="E165" s="34">
        <f t="shared" si="14"/>
        <v>4080150</v>
      </c>
      <c r="F165" s="3"/>
      <c r="J165" s="3" t="s">
        <v>198</v>
      </c>
      <c r="K165" s="103">
        <f>ROUND(K156*$B$159,0)</f>
        <v>1318416</v>
      </c>
      <c r="L165" s="103">
        <f>ROUND(L156*$C$159,0)</f>
        <v>2953417</v>
      </c>
      <c r="N165" s="34">
        <f t="shared" si="15"/>
        <v>4271833</v>
      </c>
      <c r="O165" s="288"/>
    </row>
    <row r="166" spans="1:15" ht="15.5" thickTop="1" thickBot="1" x14ac:dyDescent="0.4">
      <c r="A166" s="3" t="s">
        <v>205</v>
      </c>
      <c r="B166" s="243">
        <f>SUM(B163:B165)</f>
        <v>4174157</v>
      </c>
      <c r="C166" s="243">
        <f>SUM(C163:C165)</f>
        <v>7228101</v>
      </c>
      <c r="E166" s="243">
        <f>SUM(E163:E165)</f>
        <v>11402258</v>
      </c>
      <c r="F166" s="3"/>
      <c r="J166" s="3" t="s">
        <v>205</v>
      </c>
      <c r="K166" s="243">
        <f>SUM(K163:K165)</f>
        <v>4174274</v>
      </c>
      <c r="L166" s="243">
        <f>SUM(L163:L165)</f>
        <v>7229106</v>
      </c>
      <c r="N166" s="243">
        <f>SUM(N163:N165)</f>
        <v>11403380</v>
      </c>
      <c r="O166" s="288"/>
    </row>
    <row r="167" spans="1:15" ht="15.5" thickTop="1" thickBot="1" x14ac:dyDescent="0.4">
      <c r="F167" s="3"/>
      <c r="O167" s="288"/>
    </row>
    <row r="168" spans="1:15" ht="15.5" thickTop="1" thickBot="1" x14ac:dyDescent="0.4">
      <c r="A168" s="3" t="s">
        <v>244</v>
      </c>
      <c r="E168" s="247">
        <f>E29</f>
        <v>11402260</v>
      </c>
      <c r="J168" s="3" t="s">
        <v>244</v>
      </c>
      <c r="N168" s="243">
        <f>E168</f>
        <v>11402260</v>
      </c>
      <c r="O168" s="288"/>
    </row>
    <row r="169" spans="1:15" ht="15" thickTop="1" x14ac:dyDescent="0.35">
      <c r="A169" s="3" t="s">
        <v>243</v>
      </c>
      <c r="E169" s="34">
        <f>E166-E168</f>
        <v>-2</v>
      </c>
      <c r="J169" s="3" t="s">
        <v>243</v>
      </c>
      <c r="N169" s="34">
        <f>N166-N168</f>
        <v>1120</v>
      </c>
      <c r="O169" s="288"/>
    </row>
    <row r="170" spans="1:15" x14ac:dyDescent="0.35">
      <c r="A170" s="3" t="s">
        <v>245</v>
      </c>
      <c r="E170" s="244">
        <f>E166/E168-1</f>
        <v>-1.7540382346581396E-7</v>
      </c>
      <c r="J170" s="3" t="s">
        <v>245</v>
      </c>
      <c r="N170" s="244">
        <f>N166/N168-1</f>
        <v>9.8226141133528344E-5</v>
      </c>
      <c r="O170" s="288"/>
    </row>
    <row r="171" spans="1:15" x14ac:dyDescent="0.35">
      <c r="O171" s="288"/>
    </row>
  </sheetData>
  <mergeCells count="19">
    <mergeCell ref="M15:N15"/>
    <mergeCell ref="B129:C129"/>
    <mergeCell ref="B139:C139"/>
    <mergeCell ref="B145:C145"/>
    <mergeCell ref="B152:E152"/>
    <mergeCell ref="B36:G36"/>
    <mergeCell ref="I36:L36"/>
    <mergeCell ref="B37:C37"/>
    <mergeCell ref="I37:J37"/>
    <mergeCell ref="B59:C59"/>
    <mergeCell ref="B115:C115"/>
    <mergeCell ref="C45:C46"/>
    <mergeCell ref="G45:G46"/>
    <mergeCell ref="B161:E161"/>
    <mergeCell ref="K129:L129"/>
    <mergeCell ref="K139:L139"/>
    <mergeCell ref="K145:L145"/>
    <mergeCell ref="K152:N152"/>
    <mergeCell ref="K161:N161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7" max="16383" man="1"/>
    <brk id="124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65">
    <tabColor rgb="FFFFC000"/>
  </sheetPr>
  <dimension ref="A1:Q183"/>
  <sheetViews>
    <sheetView workbookViewId="0">
      <selection activeCell="G221" sqref="G221"/>
    </sheetView>
  </sheetViews>
  <sheetFormatPr defaultColWidth="8.81640625" defaultRowHeight="14.5" x14ac:dyDescent="0.35"/>
  <cols>
    <col min="1" max="1" width="18.26953125" style="3" customWidth="1"/>
    <col min="2" max="4" width="3.7265625" style="3" customWidth="1"/>
    <col min="5" max="7" width="15.7265625" style="3" customWidth="1"/>
    <col min="8" max="8" width="17" style="3" customWidth="1"/>
    <col min="9" max="9" width="17" style="2" customWidth="1"/>
    <col min="10" max="11" width="17" style="3" customWidth="1"/>
    <col min="12" max="12" width="21.453125" style="3" customWidth="1"/>
    <col min="13" max="15" width="17" style="3" customWidth="1"/>
    <col min="16" max="16" width="16.7265625" style="3" customWidth="1"/>
    <col min="17" max="17" width="14.7265625" style="3" customWidth="1"/>
    <col min="18" max="18" width="14.453125" style="3" customWidth="1"/>
    <col min="19" max="21" width="5.1796875" style="3" customWidth="1"/>
    <col min="22" max="24" width="13.7265625" style="3" customWidth="1"/>
    <col min="25" max="16384" width="8.81640625" style="3"/>
  </cols>
  <sheetData>
    <row r="1" spans="1:17" ht="18.5" x14ac:dyDescent="0.35">
      <c r="A1" s="238" t="s">
        <v>2298</v>
      </c>
      <c r="B1" s="70"/>
      <c r="C1" s="70"/>
      <c r="D1" s="70"/>
    </row>
    <row r="2" spans="1:17" x14ac:dyDescent="0.35">
      <c r="A2" s="182" t="s">
        <v>167</v>
      </c>
      <c r="B2" s="180"/>
      <c r="C2" s="180"/>
      <c r="D2" s="180"/>
      <c r="E2" s="180"/>
    </row>
    <row r="3" spans="1:17" x14ac:dyDescent="0.35">
      <c r="A3" s="182" t="s">
        <v>249</v>
      </c>
      <c r="B3" s="180"/>
      <c r="C3" s="180"/>
      <c r="D3" s="180"/>
      <c r="E3" s="180"/>
      <c r="F3" s="863" t="s">
        <v>1428</v>
      </c>
      <c r="G3" s="1250">
        <f>'[1]A1.)RatesInput'!$G$3</f>
        <v>2017</v>
      </c>
    </row>
    <row r="4" spans="1:17" x14ac:dyDescent="0.35">
      <c r="E4" s="180"/>
      <c r="F4" s="863" t="s">
        <v>1078</v>
      </c>
      <c r="G4" s="805" t="str">
        <f>'9A.)HL_RedesignRateSummary'!$D$9</f>
        <v>Current</v>
      </c>
      <c r="H4" s="231"/>
      <c r="J4" s="180"/>
      <c r="K4" s="197" t="str">
        <f>$A$2</f>
        <v>SC8</v>
      </c>
      <c r="L4" s="2"/>
    </row>
    <row r="5" spans="1:17" x14ac:dyDescent="0.35">
      <c r="F5" s="863" t="s">
        <v>1079</v>
      </c>
      <c r="G5" s="805" t="str">
        <f>'9A.)HL_RedesignRateSummary'!$D$10</f>
        <v>ED shifting</v>
      </c>
      <c r="H5" s="232"/>
      <c r="K5" s="181" t="s">
        <v>147</v>
      </c>
      <c r="L5" s="2"/>
    </row>
    <row r="6" spans="1:17" x14ac:dyDescent="0.35">
      <c r="A6" s="3" t="str">
        <f>CONCATENATE($A$2," NTD (LT)")</f>
        <v>SC8 NTD (LT)</v>
      </c>
      <c r="C6" s="3" t="s">
        <v>168</v>
      </c>
      <c r="G6" s="860">
        <f>IF(ISNUMBER(VLOOKUP($A6,'[1]A1.)RatesInput'!$B$287:$J$309,HLOOKUP(G$4,'[1]A1.)RatesInput'!$B$287:$J$309,2,0),0)),VLOOKUP($A6,'[1]A1.)RatesInput'!$B$287:$J$309,HLOOKUP(G$4,'[1]A1.)RatesInput'!$B$287:$J$309,2,0),0),0)</f>
        <v>39.75</v>
      </c>
      <c r="H6" s="230"/>
      <c r="K6" s="2"/>
      <c r="L6" s="2"/>
      <c r="O6" s="30" t="s">
        <v>26</v>
      </c>
      <c r="P6" s="30" t="s">
        <v>25</v>
      </c>
      <c r="Q6" s="30" t="s">
        <v>44</v>
      </c>
    </row>
    <row r="7" spans="1:17" x14ac:dyDescent="0.35">
      <c r="A7" s="3" t="str">
        <f>CONCATENATE($A$2," NTD (HT)")</f>
        <v>SC8 NTD (HT)</v>
      </c>
      <c r="C7" s="3" t="s">
        <v>168</v>
      </c>
      <c r="G7" s="861">
        <f>IF(ISNUMBER(VLOOKUP($A7,'[1]A1.)RatesInput'!$B$287:$J$309,HLOOKUP(G$4,'[1]A1.)RatesInput'!$B$287:$J$309,2,0),0)),VLOOKUP($A7,'[1]A1.)RatesInput'!$B$287:$J$309,HLOOKUP(G$4,'[1]A1.)RatesInput'!$B$287:$J$309,2,0),0),0)</f>
        <v>26.76</v>
      </c>
      <c r="H7" s="230"/>
      <c r="K7" s="165" t="s">
        <v>114</v>
      </c>
      <c r="L7" s="164">
        <v>0</v>
      </c>
      <c r="M7" s="163" t="s">
        <v>143</v>
      </c>
      <c r="N7" s="880">
        <f>'[2]4C.)HY_DemandRatePxOut(Rate I)'!$E$41</f>
        <v>10</v>
      </c>
      <c r="O7" s="735">
        <f>'[2]4C.)HY_DemandRatePxOut(Rate I)'!$L$45</f>
        <v>74</v>
      </c>
      <c r="P7" s="735">
        <f>'[2]4C.)HY_DemandRatePxOut(Rate I)'!$N$45</f>
        <v>69190</v>
      </c>
      <c r="Q7" s="735">
        <f>'[2]4B.)HY_EnergyRatePxOut(Rate I)'!$M$131</f>
        <v>602294876</v>
      </c>
    </row>
    <row r="8" spans="1:17" x14ac:dyDescent="0.35">
      <c r="A8" s="3" t="str">
        <f>CONCATENATE($A$2," NTD (LT)")</f>
        <v>SC8 NTD (LT)</v>
      </c>
      <c r="C8" s="3" t="s">
        <v>169</v>
      </c>
      <c r="G8" s="861">
        <f>IF(ISNUMBER(VLOOKUP($A8,'[1]A1.)RatesInput'!$B$315:$J$340,HLOOKUP(G$5,'[1]A1.)RatesInput'!$B$315:$J$340,3,0),0)),VLOOKUP($A8,'[1]A1.)RatesInput'!$B$315:$J$340,HLOOKUP(G$5,'[1]A1.)RatesInput'!$B$315:$J$340,3,0),0),0)</f>
        <v>29.12</v>
      </c>
      <c r="H8" s="230"/>
      <c r="K8" s="170" t="s">
        <v>114</v>
      </c>
      <c r="L8" s="159"/>
      <c r="M8" s="158" t="s">
        <v>141</v>
      </c>
      <c r="N8" s="881">
        <f>N7</f>
        <v>10</v>
      </c>
      <c r="O8" s="733">
        <f>'[2]4C.)HY_DemandRatePxOut(Rate I)'!$L$46</f>
        <v>6845</v>
      </c>
      <c r="P8" s="733">
        <f>'[2]4C.)HY_DemandRatePxOut(Rate I)'!$N$46</f>
        <v>1446294</v>
      </c>
      <c r="Q8" s="733">
        <f>'[2]4B.)HY_EnergyRatePxOut(Rate I)'!$M$132</f>
        <v>0</v>
      </c>
    </row>
    <row r="9" spans="1:17" ht="15" thickBot="1" x14ac:dyDescent="0.4">
      <c r="A9" s="3" t="str">
        <f>CONCATENATE($A$2," NTD (HT)")</f>
        <v>SC8 NTD (HT)</v>
      </c>
      <c r="C9" s="3" t="s">
        <v>169</v>
      </c>
      <c r="G9" s="862">
        <f>IF(ISNUMBER(VLOOKUP($A9,'[1]A1.)RatesInput'!$B$315:$J$340,HLOOKUP(G$5,'[1]A1.)RatesInput'!$B$315:$J$340,3,0),0)),VLOOKUP($A9,'[1]A1.)RatesInput'!$B$315:$J$340,HLOOKUP(G$5,'[1]A1.)RatesInput'!$B$315:$J$340,3,0),0),0)</f>
        <v>21.82</v>
      </c>
      <c r="H9" s="230"/>
      <c r="K9" s="168" t="s">
        <v>114</v>
      </c>
      <c r="L9" s="155"/>
      <c r="M9" s="176"/>
      <c r="N9" s="711"/>
      <c r="O9" s="172"/>
      <c r="P9" s="172"/>
      <c r="Q9" s="171"/>
    </row>
    <row r="10" spans="1:17" ht="15.5" thickTop="1" thickBot="1" x14ac:dyDescent="0.4">
      <c r="K10" s="1"/>
      <c r="L10" s="1"/>
      <c r="M10"/>
      <c r="N10" s="1"/>
      <c r="O10" s="717">
        <f>SUM(O7:O9)</f>
        <v>6919</v>
      </c>
      <c r="P10" s="717">
        <f>SUM(P7:P9)</f>
        <v>1515484</v>
      </c>
      <c r="Q10" s="717">
        <f>SUM(Q7:Q9)</f>
        <v>602294876</v>
      </c>
    </row>
    <row r="11" spans="1:17" ht="15.5" thickTop="1" thickBot="1" x14ac:dyDescent="0.4">
      <c r="F11" s="2"/>
      <c r="G11" s="422" t="str">
        <f>G$5</f>
        <v>ED shifting</v>
      </c>
      <c r="H11" s="423" t="s">
        <v>142</v>
      </c>
      <c r="K11" s="1"/>
      <c r="L11" s="1"/>
      <c r="M11"/>
      <c r="N11" s="1"/>
      <c r="O11" s="1"/>
      <c r="P11" s="1"/>
      <c r="Q11" s="1"/>
    </row>
    <row r="12" spans="1:17" ht="15" thickTop="1" x14ac:dyDescent="0.35">
      <c r="A12" s="3" t="s">
        <v>333</v>
      </c>
      <c r="F12" s="2"/>
      <c r="G12" s="309">
        <f>'9A.)HL_RedesignRateSummary'!D172</f>
        <v>380.53</v>
      </c>
      <c r="H12" s="865">
        <f>$E$130</f>
        <v>380.53</v>
      </c>
      <c r="I12" s="1068">
        <f>(H12/$N$7*4+H14/$N$7*8)/12</f>
        <v>32.295000000000002</v>
      </c>
      <c r="K12" s="165" t="s">
        <v>113</v>
      </c>
      <c r="L12" s="164">
        <f>$L$7</f>
        <v>0</v>
      </c>
      <c r="M12" s="164" t="str">
        <f>$M$7</f>
        <v>-</v>
      </c>
      <c r="N12" s="164">
        <f>$N$7</f>
        <v>10</v>
      </c>
      <c r="O12" s="735">
        <f>'[2]4C.)HY_DemandRatePxOut(Rate I)'!$L$41</f>
        <v>243.00000000000003</v>
      </c>
      <c r="P12" s="735">
        <f>'[2]4C.)HY_DemandRatePxOut(Rate I)'!$N$41</f>
        <v>138280</v>
      </c>
      <c r="Q12" s="735">
        <f>'[2]4B.)HY_EnergyRatePxOut(Rate I)'!$M$126</f>
        <v>911800979</v>
      </c>
    </row>
    <row r="13" spans="1:17" x14ac:dyDescent="0.35">
      <c r="A13" s="3" t="s">
        <v>334</v>
      </c>
      <c r="F13" s="2"/>
      <c r="G13" s="310">
        <f>'9A.)HL_RedesignRateSummary'!D173</f>
        <v>34.33</v>
      </c>
      <c r="H13" s="866">
        <f>$E$131</f>
        <v>34.32</v>
      </c>
      <c r="I13" s="1068">
        <f>(H13*4+H15*8)/12</f>
        <v>29.113333333333333</v>
      </c>
      <c r="K13" s="160" t="s">
        <v>113</v>
      </c>
      <c r="L13" s="159"/>
      <c r="M13" s="158" t="str">
        <f>$M$8</f>
        <v>&gt;</v>
      </c>
      <c r="N13" s="159">
        <f>$N$8</f>
        <v>10</v>
      </c>
      <c r="O13" s="733">
        <f>'[2]4C.)HY_DemandRatePxOut(Rate I)'!$L$42</f>
        <v>13585</v>
      </c>
      <c r="P13" s="733">
        <f>'[2]4C.)HY_DemandRatePxOut(Rate I)'!$N$42</f>
        <v>1945382</v>
      </c>
      <c r="Q13" s="733">
        <f>'[2]4B.)HY_EnergyRatePxOut(Rate I)'!$M$127</f>
        <v>0</v>
      </c>
    </row>
    <row r="14" spans="1:17" ht="15" thickBot="1" x14ac:dyDescent="0.4">
      <c r="A14" s="3" t="s">
        <v>335</v>
      </c>
      <c r="F14" s="2"/>
      <c r="G14" s="310">
        <f>'9A.)HL_RedesignRateSummary'!D174</f>
        <v>294.16000000000003</v>
      </c>
      <c r="H14" s="866">
        <f>$F$130</f>
        <v>294.16000000000003</v>
      </c>
      <c r="I14" s="1068"/>
      <c r="K14" s="155" t="s">
        <v>113</v>
      </c>
      <c r="L14" s="154"/>
      <c r="M14" s="154"/>
      <c r="N14" s="711"/>
      <c r="O14" s="172"/>
      <c r="P14" s="172"/>
      <c r="Q14" s="171"/>
    </row>
    <row r="15" spans="1:17" ht="15.5" thickTop="1" thickBot="1" x14ac:dyDescent="0.4">
      <c r="A15" s="3" t="s">
        <v>336</v>
      </c>
      <c r="F15" s="2"/>
      <c r="G15" s="310">
        <f>'9A.)HL_RedesignRateSummary'!D175</f>
        <v>26.52</v>
      </c>
      <c r="H15" s="866">
        <f>$F$131</f>
        <v>26.51</v>
      </c>
      <c r="I15" s="1068"/>
      <c r="K15" s="2"/>
      <c r="L15" s="2"/>
      <c r="N15" s="2"/>
      <c r="O15" s="717">
        <f>SUM(O12:O14)</f>
        <v>13828</v>
      </c>
      <c r="P15" s="717">
        <f>SUM(P12:P14)</f>
        <v>2083662</v>
      </c>
      <c r="Q15" s="717">
        <f>SUM(Q12:Q14)</f>
        <v>911800979</v>
      </c>
    </row>
    <row r="16" spans="1:17" ht="15" thickTop="1" x14ac:dyDescent="0.35">
      <c r="A16" s="3" t="s">
        <v>339</v>
      </c>
      <c r="F16" s="2"/>
      <c r="G16" s="310">
        <f>'9A.)HL_RedesignRateSummary'!D176</f>
        <v>299.77</v>
      </c>
      <c r="H16" s="866">
        <f>$E$133</f>
        <v>273.87</v>
      </c>
      <c r="I16" s="1068">
        <f>(H16/$N$7*4+H18/$N$7*8)/12</f>
        <v>21.629000000000001</v>
      </c>
      <c r="J16" s="201">
        <f>I16/I12</f>
        <v>0.66973215668060071</v>
      </c>
      <c r="K16" s="1"/>
      <c r="L16" s="1"/>
      <c r="M16"/>
      <c r="N16" s="1"/>
      <c r="O16" s="1"/>
      <c r="P16" s="1"/>
      <c r="Q16" s="1"/>
    </row>
    <row r="17" spans="1:17" x14ac:dyDescent="0.35">
      <c r="A17" s="3" t="s">
        <v>340</v>
      </c>
      <c r="F17" s="2"/>
      <c r="G17" s="310">
        <f>'9A.)HL_RedesignRateSummary'!D177</f>
        <v>27.04</v>
      </c>
      <c r="H17" s="866">
        <f>$E$134</f>
        <v>24.69</v>
      </c>
      <c r="I17" s="1068">
        <f>(H17*4+H19*8)/12</f>
        <v>19.470000000000002</v>
      </c>
      <c r="J17" s="201">
        <f>I17/I13</f>
        <v>0.66876574307304792</v>
      </c>
      <c r="K17" s="165" t="s">
        <v>112</v>
      </c>
      <c r="L17" s="164">
        <f>$L$7</f>
        <v>0</v>
      </c>
      <c r="M17" s="164" t="str">
        <f>$M$7</f>
        <v>-</v>
      </c>
      <c r="N17" s="164">
        <f>$N$7</f>
        <v>10</v>
      </c>
      <c r="O17" s="735">
        <f>'[2]4C.)HY_DemandRatePxOut(Rate I)'!$L$62</f>
        <v>0</v>
      </c>
      <c r="P17" s="735">
        <f>'[2]4C.)HY_DemandRatePxOut(Rate I)'!$M$62</f>
        <v>0</v>
      </c>
      <c r="Q17" s="735">
        <f>'[2]4B.)HY_EnergyRatePxOut(Rate I)'!$M$150</f>
        <v>0</v>
      </c>
    </row>
    <row r="18" spans="1:17" x14ac:dyDescent="0.35">
      <c r="A18" s="3" t="s">
        <v>341</v>
      </c>
      <c r="F18" s="2"/>
      <c r="G18" s="310">
        <f>'9A.)HL_RedesignRateSummary'!D178</f>
        <v>213.4</v>
      </c>
      <c r="H18" s="866">
        <f>$F$133</f>
        <v>187.5</v>
      </c>
      <c r="K18" s="170" t="s">
        <v>112</v>
      </c>
      <c r="L18" s="159"/>
      <c r="M18" s="158" t="str">
        <f>$M$8</f>
        <v>&gt;</v>
      </c>
      <c r="N18" s="159">
        <f>$N$8</f>
        <v>10</v>
      </c>
      <c r="O18" s="733">
        <f>'[2]4C.)HY_DemandRatePxOut(Rate I)'!$L$63</f>
        <v>0</v>
      </c>
      <c r="P18" s="733">
        <f>'[2]4C.)HY_DemandRatePxOut(Rate I)'!$M$63</f>
        <v>0</v>
      </c>
      <c r="Q18" s="733">
        <f>'[2]4B.)HY_EnergyRatePxOut(Rate I)'!$M$151</f>
        <v>0</v>
      </c>
    </row>
    <row r="19" spans="1:17" ht="15" thickBot="1" x14ac:dyDescent="0.4">
      <c r="A19" s="3" t="s">
        <v>342</v>
      </c>
      <c r="F19" s="2"/>
      <c r="G19" s="311">
        <f>'9A.)HL_RedesignRateSummary'!D179</f>
        <v>19.21</v>
      </c>
      <c r="H19" s="867">
        <f>$F$134</f>
        <v>16.860000000000003</v>
      </c>
      <c r="K19" s="168" t="s">
        <v>112</v>
      </c>
      <c r="L19" s="154"/>
      <c r="M19" s="154"/>
      <c r="N19" s="711"/>
      <c r="O19" s="172"/>
      <c r="P19" s="172"/>
      <c r="Q19" s="171"/>
    </row>
    <row r="20" spans="1:17" ht="15.5" thickTop="1" thickBot="1" x14ac:dyDescent="0.4">
      <c r="H20" s="2"/>
      <c r="K20" s="1"/>
      <c r="L20" s="1"/>
      <c r="M20"/>
      <c r="N20" s="1"/>
      <c r="O20" s="717">
        <f>SUM(O17:O19)</f>
        <v>0</v>
      </c>
      <c r="P20" s="717">
        <f>SUM(P17:P19)</f>
        <v>0</v>
      </c>
      <c r="Q20" s="717">
        <f>SUM(Q17:Q19)</f>
        <v>0</v>
      </c>
    </row>
    <row r="21" spans="1:17" ht="15" thickTop="1" x14ac:dyDescent="0.35">
      <c r="A21" s="17" t="s">
        <v>139</v>
      </c>
      <c r="B21" s="17"/>
      <c r="C21" s="17"/>
      <c r="D21" s="17"/>
      <c r="G21" s="689">
        <f>HLOOKUP($G$3,'[1]A1.)RatesInput'!$D$63:$J$83,'[1]A1.)RatesInput'!$A$80,0)</f>
        <v>1.01108</v>
      </c>
      <c r="H21" s="2"/>
      <c r="K21" s="1"/>
      <c r="L21" s="1"/>
      <c r="M21"/>
      <c r="N21" s="1"/>
      <c r="O21" s="1"/>
      <c r="P21" s="1"/>
      <c r="Q21" s="1"/>
    </row>
    <row r="22" spans="1:17" x14ac:dyDescent="0.35">
      <c r="A22" s="17" t="s">
        <v>137</v>
      </c>
      <c r="B22" s="17"/>
      <c r="C22" s="17"/>
      <c r="D22" s="17"/>
      <c r="G22" s="689">
        <f>HLOOKUP($G$3,'[1]A1.)RatesInput'!$D$63:$J$83,'[1]A1.)RatesInput'!$A$81,0)</f>
        <v>1.0119199999999999</v>
      </c>
      <c r="H22" s="2"/>
      <c r="K22" s="165" t="s">
        <v>111</v>
      </c>
      <c r="L22" s="164">
        <f>$L$7</f>
        <v>0</v>
      </c>
      <c r="M22" s="164" t="str">
        <f>$M$7</f>
        <v>-</v>
      </c>
      <c r="N22" s="164">
        <f>$N$7</f>
        <v>10</v>
      </c>
      <c r="O22" s="735">
        <f>'[2]4C.)HY_DemandRatePxOut(Rate I)'!$L$58</f>
        <v>0</v>
      </c>
      <c r="P22" s="735">
        <f>'[2]4C.)HY_DemandRatePxOut(Rate I)'!$M$58</f>
        <v>0</v>
      </c>
      <c r="Q22" s="735">
        <f>'[2]4B.)HY_EnergyRatePxOut(Rate I)'!$M$145</f>
        <v>0</v>
      </c>
    </row>
    <row r="23" spans="1:17" x14ac:dyDescent="0.35">
      <c r="A23" s="17" t="s">
        <v>136</v>
      </c>
      <c r="B23" s="17"/>
      <c r="C23" s="17"/>
      <c r="D23" s="17"/>
      <c r="G23" s="689">
        <f>HLOOKUP($G$3,'[1]A1.)RatesInput'!$D$63:$J$83,'[1]A1.)RatesInput'!$A$82,0)</f>
        <v>1.01067</v>
      </c>
      <c r="H23" s="2"/>
      <c r="K23" s="160" t="s">
        <v>111</v>
      </c>
      <c r="L23" s="159"/>
      <c r="M23" s="158" t="str">
        <f>$M$8</f>
        <v>&gt;</v>
      </c>
      <c r="N23" s="159">
        <f>$N$8</f>
        <v>10</v>
      </c>
      <c r="O23" s="733">
        <f>'[2]4C.)HY_DemandRatePxOut(Rate I)'!$L$59</f>
        <v>0</v>
      </c>
      <c r="P23" s="733">
        <f>'[2]4C.)HY_DemandRatePxOut(Rate I)'!$M$59</f>
        <v>0</v>
      </c>
      <c r="Q23" s="733">
        <f>'[2]4B.)HY_EnergyRatePxOut(Rate I)'!$M$146</f>
        <v>0</v>
      </c>
    </row>
    <row r="24" spans="1:17" ht="15" thickBot="1" x14ac:dyDescent="0.4">
      <c r="A24" s="17"/>
      <c r="B24" s="17"/>
      <c r="C24" s="17"/>
      <c r="D24" s="17"/>
      <c r="G24" s="2"/>
      <c r="H24" s="2"/>
      <c r="K24" s="155" t="s">
        <v>111</v>
      </c>
      <c r="L24" s="154"/>
      <c r="M24" s="154"/>
      <c r="N24" s="711"/>
      <c r="O24" s="172"/>
      <c r="P24" s="172"/>
      <c r="Q24" s="171"/>
    </row>
    <row r="25" spans="1:17" ht="15.5" thickTop="1" thickBot="1" x14ac:dyDescent="0.4">
      <c r="F25" s="75" t="s">
        <v>145</v>
      </c>
      <c r="G25" s="868" t="str">
        <f>G$5</f>
        <v>ED shifting</v>
      </c>
      <c r="H25" s="2"/>
      <c r="K25" s="1"/>
      <c r="L25" s="1"/>
      <c r="M25"/>
      <c r="N25"/>
      <c r="O25" s="151">
        <f>SUM(O22:O24)</f>
        <v>0</v>
      </c>
      <c r="P25" s="151">
        <f>SUM(P22:P24)</f>
        <v>0</v>
      </c>
      <c r="Q25" s="151">
        <f>SUM(Q22:Q24)</f>
        <v>0</v>
      </c>
    </row>
    <row r="26" spans="1:17" x14ac:dyDescent="0.35">
      <c r="G26" s="135" t="s">
        <v>135</v>
      </c>
      <c r="H26" s="135" t="s">
        <v>134</v>
      </c>
    </row>
    <row r="27" spans="1:17" x14ac:dyDescent="0.35">
      <c r="A27" s="3" t="s">
        <v>302</v>
      </c>
      <c r="G27" s="245">
        <f>'8A.)HY_ED RevShifting'!$E$60</f>
        <v>107799571</v>
      </c>
      <c r="H27" s="245">
        <f>'8A.)HY_ED RevShifting'!$D$60</f>
        <v>106597638</v>
      </c>
    </row>
    <row r="28" spans="1:17" x14ac:dyDescent="0.35">
      <c r="A28" s="3" t="s">
        <v>130</v>
      </c>
      <c r="G28" s="245">
        <f>IF(ISNUMBER(HLOOKUP($G$25,'8A.)HY_ED RevShifting'!$G$56:$L$70,'8A.)HY_ED RevShifting'!$B$62,0)),HLOOKUP($G$25,'8A.)HY_ED RevShifting'!$G$56:$L$70,'8A.)HY_ED RevShifting'!$B$62,0),0)</f>
        <v>1332404</v>
      </c>
      <c r="H28" s="245">
        <f>ROUND(G28/G21,0)</f>
        <v>1317803</v>
      </c>
    </row>
    <row r="29" spans="1:17" x14ac:dyDescent="0.35">
      <c r="A29" s="3" t="s">
        <v>763</v>
      </c>
      <c r="G29" s="245">
        <f>'8A.)HY_ED RevShifting'!$G$60</f>
        <v>109131975</v>
      </c>
      <c r="H29" s="245"/>
    </row>
    <row r="31" spans="1:17" s="88" customFormat="1" x14ac:dyDescent="0.35"/>
    <row r="32" spans="1:17" x14ac:dyDescent="0.35">
      <c r="A32" s="70" t="str">
        <f>'9C.)HL_RedgnRate_SC5_I'!$A$32</f>
        <v>Rate Redesigned at Current Rate Level to Reflect ECOS % HT/LT Indication - 3/3</v>
      </c>
      <c r="B32" s="70"/>
      <c r="C32" s="70"/>
      <c r="D32" s="70"/>
    </row>
    <row r="33" spans="1:14" x14ac:dyDescent="0.35">
      <c r="A33" s="197" t="str">
        <f>CONCATENATE($A$2," ",$A$3)</f>
        <v>SC8 Rate I</v>
      </c>
      <c r="E33" s="100" t="s">
        <v>296</v>
      </c>
      <c r="F33" s="808">
        <f>'9A.)HL_RedesignRateSummary'!$F$4</f>
        <v>2019</v>
      </c>
    </row>
    <row r="34" spans="1:14" x14ac:dyDescent="0.35">
      <c r="A34" s="197"/>
      <c r="E34" s="100" t="s">
        <v>297</v>
      </c>
      <c r="F34" s="808">
        <f>'9A.)HL_RedesignRateSummary'!$F$5</f>
        <v>2017</v>
      </c>
    </row>
    <row r="35" spans="1:14" x14ac:dyDescent="0.35">
      <c r="B35" s="197"/>
      <c r="C35" s="197"/>
      <c r="D35" s="197"/>
      <c r="E35" s="100" t="s">
        <v>2150</v>
      </c>
      <c r="F35" s="808">
        <f>'9A.)HL_RedesignRateSummary'!F3</f>
        <v>2020</v>
      </c>
      <c r="G35" s="3" t="str">
        <f>'9A.)HL_RedesignRateSummary'!G3</f>
        <v>RY1</v>
      </c>
    </row>
    <row r="36" spans="1:14" x14ac:dyDescent="0.35">
      <c r="A36" s="334" t="s">
        <v>1541</v>
      </c>
    </row>
    <row r="37" spans="1:14" x14ac:dyDescent="0.35">
      <c r="A37" s="334"/>
    </row>
    <row r="38" spans="1:14" x14ac:dyDescent="0.35">
      <c r="A38" s="838" t="s">
        <v>378</v>
      </c>
      <c r="E38" s="198"/>
      <c r="K38" s="3" t="s">
        <v>1082</v>
      </c>
    </row>
    <row r="39" spans="1:14" ht="15" thickBot="1" x14ac:dyDescent="0.4">
      <c r="A39" s="197"/>
      <c r="E39" s="198"/>
    </row>
    <row r="40" spans="1:14" ht="15.5" thickTop="1" thickBot="1" x14ac:dyDescent="0.4">
      <c r="B40" s="199"/>
      <c r="C40" s="199"/>
      <c r="D40" s="199"/>
      <c r="E40" s="1316" t="s">
        <v>168</v>
      </c>
      <c r="F40" s="1317"/>
      <c r="G40" s="1317"/>
      <c r="H40" s="1318"/>
      <c r="J40" s="1316" t="s">
        <v>169</v>
      </c>
      <c r="K40" s="1317"/>
      <c r="L40" s="1317"/>
      <c r="M40" s="1317"/>
      <c r="N40" s="1318"/>
    </row>
    <row r="41" spans="1:14" ht="15" thickTop="1" x14ac:dyDescent="0.35">
      <c r="E41" s="1333" t="s">
        <v>171</v>
      </c>
      <c r="F41" s="1333"/>
      <c r="G41" s="30" t="s">
        <v>173</v>
      </c>
      <c r="H41" s="30" t="s">
        <v>174</v>
      </c>
      <c r="J41" s="1334" t="s">
        <v>176</v>
      </c>
      <c r="K41" s="1334"/>
      <c r="L41" s="30" t="s">
        <v>173</v>
      </c>
      <c r="M41" s="30" t="s">
        <v>174</v>
      </c>
      <c r="N41" s="30" t="s">
        <v>1</v>
      </c>
    </row>
    <row r="42" spans="1:14" x14ac:dyDescent="0.35">
      <c r="A42" s="199">
        <f>$G$3</f>
        <v>2017</v>
      </c>
      <c r="E42" s="118" t="s">
        <v>8</v>
      </c>
      <c r="F42" s="118" t="s">
        <v>9</v>
      </c>
      <c r="G42" s="30" t="s">
        <v>172</v>
      </c>
      <c r="H42" s="30" t="s">
        <v>175</v>
      </c>
      <c r="J42" s="118" t="s">
        <v>8</v>
      </c>
      <c r="K42" s="118" t="s">
        <v>9</v>
      </c>
      <c r="L42" s="30" t="s">
        <v>172</v>
      </c>
      <c r="M42" s="30" t="s">
        <v>175</v>
      </c>
    </row>
    <row r="43" spans="1:14" x14ac:dyDescent="0.35">
      <c r="E43" s="200" t="s">
        <v>79</v>
      </c>
      <c r="F43" s="200" t="s">
        <v>78</v>
      </c>
      <c r="G43" s="200" t="s">
        <v>181</v>
      </c>
      <c r="H43" s="200" t="s">
        <v>180</v>
      </c>
      <c r="J43" s="200" t="s">
        <v>177</v>
      </c>
      <c r="K43" s="200" t="s">
        <v>178</v>
      </c>
      <c r="L43" s="200" t="s">
        <v>179</v>
      </c>
      <c r="M43" s="200" t="s">
        <v>182</v>
      </c>
      <c r="N43" s="200" t="s">
        <v>183</v>
      </c>
    </row>
    <row r="44" spans="1:14" x14ac:dyDescent="0.35">
      <c r="A44" s="3" t="str">
        <f>CONCATENATE($A$2," NTD")</f>
        <v>SC8 NTD</v>
      </c>
      <c r="E44" s="27">
        <f>G7</f>
        <v>26.76</v>
      </c>
      <c r="F44" s="27">
        <f>G6</f>
        <v>39.75</v>
      </c>
      <c r="G44" s="35">
        <f>F44-E44</f>
        <v>12.989999999999998</v>
      </c>
      <c r="H44" s="871">
        <f>E44/F44</f>
        <v>0.67320754716981135</v>
      </c>
      <c r="J44" s="27">
        <f>G9</f>
        <v>21.82</v>
      </c>
      <c r="K44" s="27">
        <f>G8</f>
        <v>29.12</v>
      </c>
      <c r="L44" s="228">
        <f>K44-J44</f>
        <v>7.3000000000000007</v>
      </c>
      <c r="M44" s="871">
        <f>ROUND(J44/K44,2)</f>
        <v>0.75</v>
      </c>
      <c r="N44" s="201">
        <f>M44-H44</f>
        <v>7.6792452830188651E-2</v>
      </c>
    </row>
    <row r="46" spans="1:14" x14ac:dyDescent="0.35">
      <c r="J46" s="33" t="s">
        <v>520</v>
      </c>
      <c r="K46" s="40">
        <f>'9C.)HL_RedgnRate_SC5_I'!$K$46</f>
        <v>3</v>
      </c>
      <c r="L46" s="136" t="s">
        <v>165</v>
      </c>
    </row>
    <row r="47" spans="1:14" ht="15" thickBot="1" x14ac:dyDescent="0.4">
      <c r="A47" s="838" t="s">
        <v>379</v>
      </c>
      <c r="J47" s="33" t="s">
        <v>294</v>
      </c>
      <c r="K47" s="40">
        <f>'9C.)HL_RedgnRate_SC5_I'!$K$47</f>
        <v>3</v>
      </c>
      <c r="L47" s="136" t="s">
        <v>166</v>
      </c>
    </row>
    <row r="48" spans="1:14" ht="15.5" thickTop="1" thickBot="1" x14ac:dyDescent="0.4">
      <c r="B48" s="197"/>
      <c r="C48" s="197"/>
      <c r="D48" s="197"/>
      <c r="H48" s="1327" t="s">
        <v>293</v>
      </c>
      <c r="I48" s="1047" t="s">
        <v>293</v>
      </c>
      <c r="J48" s="1327" t="s">
        <v>168</v>
      </c>
      <c r="K48" s="1047" t="s">
        <v>190</v>
      </c>
      <c r="L48" s="1047" t="s">
        <v>261</v>
      </c>
      <c r="M48" s="1063" t="s">
        <v>2060</v>
      </c>
    </row>
    <row r="49" spans="1:16" ht="15.5" thickTop="1" thickBot="1" x14ac:dyDescent="0.4">
      <c r="B49" s="197"/>
      <c r="C49" s="197"/>
      <c r="D49" s="197"/>
      <c r="E49" s="1335" t="s">
        <v>250</v>
      </c>
      <c r="F49" s="1336"/>
      <c r="G49" s="1337"/>
      <c r="H49" s="1328"/>
      <c r="I49" s="1048" t="s">
        <v>187</v>
      </c>
      <c r="J49" s="1328"/>
      <c r="K49" s="1048" t="s">
        <v>191</v>
      </c>
      <c r="L49" s="1048" t="s">
        <v>187</v>
      </c>
      <c r="M49" s="1064" t="s">
        <v>2061</v>
      </c>
    </row>
    <row r="50" spans="1:16" ht="17" thickTop="1" x14ac:dyDescent="0.35">
      <c r="B50" s="197"/>
      <c r="C50" s="197"/>
      <c r="D50" s="197"/>
      <c r="E50" s="30" t="s">
        <v>42</v>
      </c>
      <c r="F50" s="30" t="s">
        <v>40</v>
      </c>
      <c r="G50" s="30" t="s">
        <v>208</v>
      </c>
      <c r="H50" s="1049" t="s">
        <v>258</v>
      </c>
      <c r="I50" s="1049" t="s">
        <v>257</v>
      </c>
      <c r="J50" s="265" t="s">
        <v>292</v>
      </c>
      <c r="K50" s="199" t="s">
        <v>389</v>
      </c>
      <c r="L50" s="199" t="s">
        <v>390</v>
      </c>
      <c r="M50" s="199"/>
    </row>
    <row r="51" spans="1:16" x14ac:dyDescent="0.35">
      <c r="B51" s="197"/>
      <c r="C51" s="197"/>
      <c r="D51" s="197"/>
      <c r="E51" s="200" t="s">
        <v>109</v>
      </c>
      <c r="F51" s="200" t="s">
        <v>108</v>
      </c>
      <c r="G51" s="671" t="s">
        <v>2054</v>
      </c>
      <c r="H51" s="200" t="s">
        <v>2055</v>
      </c>
      <c r="I51" s="200" t="s">
        <v>2056</v>
      </c>
      <c r="J51" s="200" t="s">
        <v>2057</v>
      </c>
      <c r="K51" s="671" t="s">
        <v>2058</v>
      </c>
      <c r="L51" s="671" t="s">
        <v>2059</v>
      </c>
    </row>
    <row r="52" spans="1:16" ht="15" thickBot="1" x14ac:dyDescent="0.4">
      <c r="A52" s="3" t="s">
        <v>255</v>
      </c>
      <c r="B52" s="829" t="s">
        <v>251</v>
      </c>
      <c r="C52" s="829" t="s">
        <v>143</v>
      </c>
      <c r="D52" s="567">
        <v>10</v>
      </c>
      <c r="E52" s="27">
        <f>ROUND(G12/$D52,2)</f>
        <v>38.049999999999997</v>
      </c>
      <c r="F52" s="27">
        <f>ROUND(G14/$D52,2)</f>
        <v>29.42</v>
      </c>
      <c r="G52" s="27">
        <f>ROUND((E52*4+F52*8)/12,2)</f>
        <v>32.299999999999997</v>
      </c>
    </row>
    <row r="53" spans="1:16" ht="15" thickBot="1" x14ac:dyDescent="0.4">
      <c r="A53" s="3" t="s">
        <v>256</v>
      </c>
      <c r="B53" s="108"/>
      <c r="C53" s="829" t="s">
        <v>141</v>
      </c>
      <c r="D53" s="567">
        <f>D52</f>
        <v>10</v>
      </c>
      <c r="E53" s="268">
        <f>G13</f>
        <v>34.33</v>
      </c>
      <c r="F53" s="269">
        <f>G15</f>
        <v>26.52</v>
      </c>
      <c r="G53" s="27">
        <f>ROUND((E53*4+F53*8)/12,2)</f>
        <v>29.12</v>
      </c>
      <c r="I53" s="3"/>
      <c r="J53" s="30"/>
      <c r="K53" s="30"/>
    </row>
    <row r="54" spans="1:16" x14ac:dyDescent="0.35">
      <c r="C54" s="123"/>
      <c r="D54" s="36"/>
      <c r="E54" s="198"/>
      <c r="I54" s="3"/>
    </row>
    <row r="55" spans="1:16" ht="15" thickBot="1" x14ac:dyDescent="0.4">
      <c r="A55" s="3" t="s">
        <v>259</v>
      </c>
      <c r="B55" s="123" t="str">
        <f>$B$52</f>
        <v>0</v>
      </c>
      <c r="C55" s="123" t="str">
        <f>$C$52</f>
        <v>-</v>
      </c>
      <c r="D55" s="123">
        <f>$D$52</f>
        <v>10</v>
      </c>
      <c r="E55" s="27">
        <f>ROUND(G16/$D55,2)</f>
        <v>29.98</v>
      </c>
      <c r="F55" s="27">
        <f>ROUND(G18/$D55,2)</f>
        <v>21.34</v>
      </c>
      <c r="G55" s="27">
        <f>ROUND((E55*4+F55*8)/12,2)</f>
        <v>24.22</v>
      </c>
      <c r="H55" s="521">
        <f>G52-G55</f>
        <v>8.0799999999999983</v>
      </c>
      <c r="I55" s="81">
        <f>ROUND(G55/G52,2)</f>
        <v>0.75</v>
      </c>
      <c r="J55" s="203">
        <f>H44</f>
        <v>0.67320754716981135</v>
      </c>
      <c r="K55" s="870">
        <f>ROUND(I55-ROUND((I55-J55)*(K46/$K$47),4),2)</f>
        <v>0.67</v>
      </c>
      <c r="L55" s="314">
        <f>ROUND(H55/(1-I55)*(1-K55),2)</f>
        <v>10.67</v>
      </c>
      <c r="M55" s="35">
        <f>ROUND((L55-H55)*D55,2)</f>
        <v>25.9</v>
      </c>
      <c r="N55" s="3" t="s">
        <v>298</v>
      </c>
      <c r="O55" s="136" t="s">
        <v>2062</v>
      </c>
    </row>
    <row r="56" spans="1:16" ht="15" thickBot="1" x14ac:dyDescent="0.4">
      <c r="A56" s="3" t="s">
        <v>260</v>
      </c>
      <c r="C56" s="123" t="str">
        <f>$C$53</f>
        <v>&gt;</v>
      </c>
      <c r="D56" s="123">
        <f>$D$53</f>
        <v>10</v>
      </c>
      <c r="E56" s="268">
        <f>G17</f>
        <v>27.04</v>
      </c>
      <c r="F56" s="269">
        <f>G19</f>
        <v>19.21</v>
      </c>
      <c r="G56" s="27">
        <f>ROUND((E56*4+F56*8)/12,2)</f>
        <v>21.82</v>
      </c>
      <c r="H56" s="521">
        <f>G53-G56</f>
        <v>7.3000000000000007</v>
      </c>
      <c r="I56" s="81">
        <f>ROUND(G56/G53,2)</f>
        <v>0.75</v>
      </c>
      <c r="J56" s="203">
        <f>H44</f>
        <v>0.67320754716981135</v>
      </c>
      <c r="K56" s="870">
        <f>ROUND(I56-ROUND((I56-J56)*(K46/$K$47),4),2)</f>
        <v>0.67</v>
      </c>
      <c r="L56" s="314">
        <f>ROUND(H56/(1-I56)*(1-K56),2)</f>
        <v>9.64</v>
      </c>
      <c r="M56" s="35">
        <f>ROUND((L56-H56),2)</f>
        <v>2.34</v>
      </c>
      <c r="N56" s="3" t="s">
        <v>188</v>
      </c>
      <c r="O56" s="136" t="s">
        <v>2063</v>
      </c>
    </row>
    <row r="57" spans="1:16" x14ac:dyDescent="0.35">
      <c r="A57" s="197"/>
      <c r="B57" s="197"/>
      <c r="C57" s="197"/>
      <c r="D57" s="197"/>
      <c r="E57" s="198"/>
    </row>
    <row r="58" spans="1:16" x14ac:dyDescent="0.35">
      <c r="A58" s="197"/>
      <c r="B58" s="197"/>
      <c r="C58" s="197"/>
      <c r="D58" s="197"/>
      <c r="E58" s="198"/>
      <c r="L58" s="592"/>
      <c r="M58" s="27"/>
    </row>
    <row r="59" spans="1:16" x14ac:dyDescent="0.35">
      <c r="A59" s="838" t="s">
        <v>380</v>
      </c>
      <c r="B59" s="197"/>
      <c r="C59" s="197"/>
      <c r="D59" s="197"/>
      <c r="E59" s="198"/>
      <c r="M59" s="593"/>
    </row>
    <row r="60" spans="1:16" ht="15" thickBot="1" x14ac:dyDescent="0.4">
      <c r="A60" s="197"/>
      <c r="B60" s="197"/>
      <c r="C60" s="197"/>
      <c r="D60" s="197"/>
      <c r="E60" s="198"/>
      <c r="M60" s="203"/>
      <c r="N60" s="33" t="s">
        <v>382</v>
      </c>
      <c r="O60" s="83">
        <f>F65</f>
        <v>294.16000000000003</v>
      </c>
      <c r="P60" s="136" t="s">
        <v>2064</v>
      </c>
    </row>
    <row r="61" spans="1:16" ht="15.5" thickTop="1" thickBot="1" x14ac:dyDescent="0.4">
      <c r="E61" s="1338" t="s">
        <v>397</v>
      </c>
      <c r="F61" s="1339"/>
      <c r="H61" s="1329" t="s">
        <v>377</v>
      </c>
      <c r="I61" s="1330"/>
      <c r="J61" s="1330"/>
      <c r="K61" s="1330"/>
      <c r="L61" s="1330"/>
      <c r="M61" s="1330"/>
      <c r="N61" s="1330"/>
      <c r="O61" s="1331"/>
    </row>
    <row r="62" spans="1:16" ht="15.5" thickTop="1" thickBot="1" x14ac:dyDescent="0.4">
      <c r="A62" s="197" t="str">
        <f>CONCATENATE($A$2," ",$A$3)</f>
        <v>SC8 Rate I</v>
      </c>
      <c r="B62" s="197"/>
      <c r="C62" s="197"/>
      <c r="D62" s="197"/>
      <c r="E62" s="1307" t="s">
        <v>250</v>
      </c>
      <c r="F62" s="1309"/>
      <c r="H62" s="1307" t="s">
        <v>254</v>
      </c>
      <c r="I62" s="1309"/>
      <c r="J62" s="1307" t="s">
        <v>299</v>
      </c>
      <c r="K62" s="1309"/>
      <c r="L62" s="1307" t="s">
        <v>77</v>
      </c>
      <c r="M62" s="1309"/>
      <c r="N62" s="1307" t="s">
        <v>381</v>
      </c>
      <c r="O62" s="1309"/>
    </row>
    <row r="63" spans="1:16" ht="15" thickTop="1" x14ac:dyDescent="0.35">
      <c r="A63" s="197"/>
      <c r="B63" s="197"/>
      <c r="C63" s="197"/>
      <c r="D63" s="197"/>
      <c r="E63" s="30" t="s">
        <v>42</v>
      </c>
      <c r="F63" s="30" t="s">
        <v>40</v>
      </c>
      <c r="G63" s="33"/>
      <c r="H63" s="30" t="s">
        <v>42</v>
      </c>
      <c r="I63" s="30" t="s">
        <v>40</v>
      </c>
      <c r="J63" s="30" t="s">
        <v>42</v>
      </c>
      <c r="K63" s="30" t="s">
        <v>40</v>
      </c>
      <c r="L63" s="30" t="s">
        <v>42</v>
      </c>
      <c r="M63" s="30" t="s">
        <v>40</v>
      </c>
      <c r="N63" s="30" t="s">
        <v>42</v>
      </c>
      <c r="O63" s="30" t="s">
        <v>40</v>
      </c>
    </row>
    <row r="64" spans="1:16" ht="15" thickBot="1" x14ac:dyDescent="0.4">
      <c r="A64" s="197"/>
      <c r="B64" s="197"/>
      <c r="C64" s="197"/>
      <c r="D64" s="197"/>
      <c r="E64" s="200" t="s">
        <v>50</v>
      </c>
      <c r="F64" s="200" t="s">
        <v>49</v>
      </c>
      <c r="G64" s="33" t="s">
        <v>388</v>
      </c>
      <c r="H64" s="200" t="s">
        <v>2066</v>
      </c>
      <c r="I64" s="30"/>
      <c r="J64" s="330">
        <f>M55</f>
        <v>25.9</v>
      </c>
      <c r="K64" s="136" t="s">
        <v>1733</v>
      </c>
      <c r="L64" s="30"/>
      <c r="M64" s="30"/>
      <c r="N64" s="30"/>
      <c r="O64" s="30"/>
    </row>
    <row r="65" spans="1:16" ht="15" thickBot="1" x14ac:dyDescent="0.4">
      <c r="A65" s="3" t="s">
        <v>252</v>
      </c>
      <c r="B65" s="123" t="str">
        <f>$B$52</f>
        <v>0</v>
      </c>
      <c r="C65" s="123" t="str">
        <f>$C$52</f>
        <v>-</v>
      </c>
      <c r="D65" s="123">
        <f>$D$52</f>
        <v>10</v>
      </c>
      <c r="E65" s="312">
        <f>G12</f>
        <v>380.53</v>
      </c>
      <c r="F65" s="312">
        <f>G14</f>
        <v>294.16000000000003</v>
      </c>
      <c r="G65" s="33" t="s">
        <v>384</v>
      </c>
      <c r="H65" s="313">
        <f>E65-$F$65</f>
        <v>86.369999999999948</v>
      </c>
      <c r="I65" s="314"/>
      <c r="J65" s="313">
        <f>H65</f>
        <v>86.369999999999948</v>
      </c>
      <c r="K65" s="314"/>
      <c r="L65" s="315" t="str">
        <f>CONCATENATE($M$65," + ",FIXED(J65,2))</f>
        <v>X + 86.37</v>
      </c>
      <c r="M65" s="316" t="s">
        <v>32</v>
      </c>
      <c r="N65" s="315">
        <f>$O$60+J65</f>
        <v>380.53</v>
      </c>
      <c r="O65" s="316">
        <f>$O$60+K65</f>
        <v>294.16000000000003</v>
      </c>
    </row>
    <row r="66" spans="1:16" ht="15" thickBot="1" x14ac:dyDescent="0.4">
      <c r="C66" s="123" t="str">
        <f>$C$53</f>
        <v>&gt;</v>
      </c>
      <c r="D66" s="123">
        <f>$D$53</f>
        <v>10</v>
      </c>
      <c r="E66" s="321">
        <f>G13</f>
        <v>34.33</v>
      </c>
      <c r="F66" s="322">
        <f>G15</f>
        <v>26.52</v>
      </c>
      <c r="G66" s="33"/>
      <c r="H66" s="313"/>
      <c r="I66" s="314"/>
      <c r="J66" s="313"/>
      <c r="K66" s="314"/>
      <c r="L66" s="317"/>
      <c r="M66" s="318"/>
      <c r="N66" s="317"/>
      <c r="O66" s="318"/>
    </row>
    <row r="67" spans="1:16" x14ac:dyDescent="0.35">
      <c r="C67" s="123"/>
      <c r="D67" s="36"/>
      <c r="E67" s="200" t="s">
        <v>48</v>
      </c>
      <c r="F67" s="200" t="s">
        <v>47</v>
      </c>
      <c r="H67" s="200" t="s">
        <v>2067</v>
      </c>
      <c r="I67" s="200" t="s">
        <v>2068</v>
      </c>
      <c r="J67" s="200" t="s">
        <v>2069</v>
      </c>
      <c r="K67" s="200" t="s">
        <v>2070</v>
      </c>
      <c r="L67" s="337"/>
      <c r="M67" s="338"/>
      <c r="N67" s="337"/>
      <c r="O67" s="338"/>
    </row>
    <row r="68" spans="1:16" ht="15" thickBot="1" x14ac:dyDescent="0.4">
      <c r="A68" s="3" t="s">
        <v>253</v>
      </c>
      <c r="B68" s="123" t="str">
        <f>$B$52</f>
        <v>0</v>
      </c>
      <c r="C68" s="123" t="str">
        <f>$C$52</f>
        <v>-</v>
      </c>
      <c r="D68" s="123">
        <f>$D$52</f>
        <v>10</v>
      </c>
      <c r="E68" s="312">
        <f>G16</f>
        <v>299.77</v>
      </c>
      <c r="F68" s="312">
        <f>G18</f>
        <v>213.4</v>
      </c>
      <c r="G68" s="33" t="s">
        <v>385</v>
      </c>
      <c r="H68" s="313">
        <f>E68-$F$65</f>
        <v>5.6099999999999568</v>
      </c>
      <c r="I68" s="313">
        <f>F68-$F$65</f>
        <v>-80.760000000000019</v>
      </c>
      <c r="J68" s="313">
        <f>H68-$J$64</f>
        <v>-20.290000000000042</v>
      </c>
      <c r="K68" s="313">
        <f>I68-$J$64</f>
        <v>-106.66000000000003</v>
      </c>
      <c r="L68" s="319" t="str">
        <f>CONCATENATE($M$65," + ",FIXED(J68,2))</f>
        <v>X + -20.29</v>
      </c>
      <c r="M68" s="320" t="str">
        <f>CONCATENATE($M$65," + ",K68)</f>
        <v>X + -106.66</v>
      </c>
      <c r="N68" s="319">
        <f>$O$60+J68</f>
        <v>273.87</v>
      </c>
      <c r="O68" s="320">
        <f>$O$60+K68</f>
        <v>187.5</v>
      </c>
    </row>
    <row r="69" spans="1:16" ht="15" thickBot="1" x14ac:dyDescent="0.4">
      <c r="C69" s="123" t="str">
        <f>$C$53</f>
        <v>&gt;</v>
      </c>
      <c r="D69" s="123">
        <f>$D$53</f>
        <v>10</v>
      </c>
      <c r="E69" s="321">
        <f>G17</f>
        <v>27.04</v>
      </c>
      <c r="F69" s="322">
        <f>G19</f>
        <v>19.21</v>
      </c>
      <c r="G69" s="33"/>
    </row>
    <row r="70" spans="1:16" ht="15" thickBot="1" x14ac:dyDescent="0.4">
      <c r="A70" s="197"/>
      <c r="B70" s="197"/>
      <c r="C70" s="197"/>
      <c r="D70" s="197"/>
      <c r="E70" s="198"/>
      <c r="G70" s="33"/>
      <c r="N70" s="33" t="s">
        <v>383</v>
      </c>
      <c r="O70" s="83">
        <f>F66</f>
        <v>26.52</v>
      </c>
      <c r="P70" s="136" t="s">
        <v>2065</v>
      </c>
    </row>
    <row r="71" spans="1:16" ht="15.5" thickTop="1" thickBot="1" x14ac:dyDescent="0.4">
      <c r="A71" s="197"/>
      <c r="B71" s="197"/>
      <c r="C71" s="197"/>
      <c r="D71" s="197"/>
      <c r="E71" s="198"/>
      <c r="G71" s="33"/>
      <c r="H71" s="1329" t="s">
        <v>376</v>
      </c>
      <c r="I71" s="1330"/>
      <c r="J71" s="1330"/>
      <c r="K71" s="1330"/>
      <c r="L71" s="1330"/>
      <c r="M71" s="1330"/>
      <c r="N71" s="1330"/>
      <c r="O71" s="1331"/>
    </row>
    <row r="72" spans="1:16" ht="15.5" thickTop="1" thickBot="1" x14ac:dyDescent="0.4">
      <c r="A72" s="197"/>
      <c r="B72" s="197"/>
      <c r="C72" s="197"/>
      <c r="D72" s="197"/>
      <c r="E72" s="198"/>
      <c r="G72" s="33"/>
      <c r="H72" s="1307" t="s">
        <v>254</v>
      </c>
      <c r="I72" s="1309"/>
      <c r="J72" s="1307" t="s">
        <v>299</v>
      </c>
      <c r="K72" s="1309"/>
      <c r="L72" s="1307" t="s">
        <v>77</v>
      </c>
      <c r="M72" s="1309"/>
      <c r="N72" s="1307" t="s">
        <v>381</v>
      </c>
      <c r="O72" s="1309"/>
    </row>
    <row r="73" spans="1:16" ht="15" thickTop="1" x14ac:dyDescent="0.35">
      <c r="A73" s="197"/>
      <c r="B73" s="197"/>
      <c r="C73" s="197"/>
      <c r="D73" s="197"/>
      <c r="E73" s="198"/>
      <c r="G73" s="33"/>
      <c r="H73" s="30" t="s">
        <v>42</v>
      </c>
      <c r="I73" s="30" t="s">
        <v>40</v>
      </c>
      <c r="J73" s="30" t="s">
        <v>42</v>
      </c>
      <c r="K73" s="30" t="s">
        <v>40</v>
      </c>
      <c r="L73" s="30" t="s">
        <v>42</v>
      </c>
      <c r="M73" s="30" t="s">
        <v>40</v>
      </c>
      <c r="N73" s="30" t="s">
        <v>42</v>
      </c>
      <c r="O73" s="30" t="s">
        <v>40</v>
      </c>
    </row>
    <row r="74" spans="1:16" ht="15" thickBot="1" x14ac:dyDescent="0.4">
      <c r="A74" s="197"/>
      <c r="B74" s="197"/>
      <c r="C74" s="197"/>
      <c r="D74" s="197"/>
      <c r="E74" s="198"/>
      <c r="G74" s="33" t="s">
        <v>388</v>
      </c>
      <c r="H74" s="200" t="s">
        <v>2066</v>
      </c>
      <c r="I74" s="30"/>
      <c r="J74" s="330">
        <f>M56</f>
        <v>2.34</v>
      </c>
      <c r="K74" s="136" t="s">
        <v>1734</v>
      </c>
      <c r="L74" s="30"/>
      <c r="M74" s="30"/>
      <c r="N74" s="30"/>
      <c r="O74" s="30"/>
    </row>
    <row r="75" spans="1:16" x14ac:dyDescent="0.35">
      <c r="A75" s="197"/>
      <c r="B75" s="197"/>
      <c r="C75" s="197"/>
      <c r="D75" s="197"/>
      <c r="E75" s="198"/>
      <c r="G75" s="33" t="s">
        <v>386</v>
      </c>
      <c r="H75" s="323">
        <f>E66-$F$66</f>
        <v>7.8099999999999987</v>
      </c>
      <c r="I75" s="323"/>
      <c r="J75" s="340">
        <f>H75</f>
        <v>7.8099999999999987</v>
      </c>
      <c r="K75" s="340"/>
      <c r="L75" s="324" t="str">
        <f>CONCATENATE($M$75," + ",J75)</f>
        <v>X + 7.81</v>
      </c>
      <c r="M75" s="325" t="s">
        <v>32</v>
      </c>
      <c r="N75" s="324">
        <f>$O$70+J75</f>
        <v>34.33</v>
      </c>
      <c r="O75" s="325">
        <f>O70</f>
        <v>26.52</v>
      </c>
    </row>
    <row r="76" spans="1:16" x14ac:dyDescent="0.35">
      <c r="A76" s="197"/>
      <c r="B76" s="197"/>
      <c r="C76" s="197"/>
      <c r="D76" s="197"/>
      <c r="E76" s="198"/>
      <c r="G76" s="33"/>
      <c r="H76" s="200" t="s">
        <v>2067</v>
      </c>
      <c r="I76" s="200" t="s">
        <v>2068</v>
      </c>
      <c r="J76" s="200" t="s">
        <v>2071</v>
      </c>
      <c r="K76" s="200" t="s">
        <v>2072</v>
      </c>
      <c r="L76" s="326"/>
      <c r="M76" s="327"/>
      <c r="N76" s="326"/>
      <c r="O76" s="327"/>
    </row>
    <row r="77" spans="1:16" ht="15" thickBot="1" x14ac:dyDescent="0.4">
      <c r="A77" s="197"/>
      <c r="B77" s="197"/>
      <c r="C77" s="197"/>
      <c r="D77" s="197"/>
      <c r="E77" s="198"/>
      <c r="G77" s="33" t="s">
        <v>387</v>
      </c>
      <c r="H77" s="323">
        <f>E69-$F$66</f>
        <v>0.51999999999999957</v>
      </c>
      <c r="I77" s="323">
        <f>F69-$F$66</f>
        <v>-7.3099999999999987</v>
      </c>
      <c r="J77" s="340">
        <f>H77-$J$74</f>
        <v>-1.8200000000000003</v>
      </c>
      <c r="K77" s="340">
        <f>I77-$J$74</f>
        <v>-9.6499999999999986</v>
      </c>
      <c r="L77" s="328" t="str">
        <f>CONCATENATE($M$75," + ",J77)</f>
        <v>X + -1.82</v>
      </c>
      <c r="M77" s="329" t="str">
        <f>CONCATENATE($M$75," + ",K77)</f>
        <v>X + -9.65</v>
      </c>
      <c r="N77" s="328">
        <f>$O$70+J77</f>
        <v>24.7</v>
      </c>
      <c r="O77" s="329">
        <f>$O$70+K77</f>
        <v>16.87</v>
      </c>
    </row>
    <row r="78" spans="1:16" x14ac:dyDescent="0.35">
      <c r="A78" s="197"/>
      <c r="B78" s="197"/>
      <c r="C78" s="197"/>
      <c r="D78" s="197"/>
      <c r="E78" s="198"/>
      <c r="G78" s="33"/>
    </row>
    <row r="79" spans="1:16" x14ac:dyDescent="0.35">
      <c r="A79" s="407" t="s">
        <v>1543</v>
      </c>
      <c r="B79" s="197"/>
      <c r="C79" s="197"/>
      <c r="D79" s="197"/>
      <c r="E79" s="198"/>
    </row>
    <row r="80" spans="1:16" x14ac:dyDescent="0.35">
      <c r="A80"/>
      <c r="B80"/>
      <c r="C80"/>
      <c r="D80"/>
      <c r="F80" s="135" t="s">
        <v>26</v>
      </c>
      <c r="G80" s="135" t="s">
        <v>116</v>
      </c>
      <c r="H80" s="135" t="s">
        <v>115</v>
      </c>
      <c r="L80" s="35"/>
      <c r="M80" s="35"/>
      <c r="N80" s="35"/>
      <c r="O80" s="35"/>
    </row>
    <row r="81" spans="1:13" x14ac:dyDescent="0.35">
      <c r="A81" t="s">
        <v>114</v>
      </c>
      <c r="B81" s="296">
        <f>$L$7</f>
        <v>0</v>
      </c>
      <c r="C81" s="296" t="str">
        <f>$M$7</f>
        <v>-</v>
      </c>
      <c r="D81" s="296">
        <f>$N$7</f>
        <v>10</v>
      </c>
      <c r="E81" s="3" t="s">
        <v>25</v>
      </c>
      <c r="F81" s="484">
        <f>O10</f>
        <v>6919</v>
      </c>
      <c r="G81" s="752">
        <f>G12</f>
        <v>380.53</v>
      </c>
      <c r="H81" s="134">
        <f>ROUND(F81*G81,0)</f>
        <v>2632887</v>
      </c>
      <c r="I81" s="136" t="s">
        <v>2073</v>
      </c>
    </row>
    <row r="82" spans="1:13" x14ac:dyDescent="0.35">
      <c r="A82" t="s">
        <v>113</v>
      </c>
      <c r="B82" s="296">
        <f>$L$12</f>
        <v>0</v>
      </c>
      <c r="C82" s="296" t="str">
        <f>$M$12</f>
        <v>-</v>
      </c>
      <c r="D82" s="296">
        <f>$N$12</f>
        <v>10</v>
      </c>
      <c r="E82" s="3" t="s">
        <v>25</v>
      </c>
      <c r="F82" s="484">
        <f>O15</f>
        <v>13828</v>
      </c>
      <c r="G82" s="752">
        <f>G14</f>
        <v>294.16000000000003</v>
      </c>
      <c r="H82" s="134">
        <f>ROUND(F82*G82,0)</f>
        <v>4067644</v>
      </c>
      <c r="I82" s="136" t="s">
        <v>2074</v>
      </c>
      <c r="L82" s="35"/>
      <c r="M82" s="35"/>
    </row>
    <row r="83" spans="1:13" x14ac:dyDescent="0.35">
      <c r="A83" t="s">
        <v>112</v>
      </c>
      <c r="B83" s="296">
        <f>$L$17</f>
        <v>0</v>
      </c>
      <c r="C83" s="296" t="str">
        <f>$M$17</f>
        <v>-</v>
      </c>
      <c r="D83" s="296">
        <f>$N$17</f>
        <v>10</v>
      </c>
      <c r="E83" s="3" t="s">
        <v>25</v>
      </c>
      <c r="F83" s="484">
        <f>O20</f>
        <v>0</v>
      </c>
      <c r="G83" s="752">
        <f>N68</f>
        <v>273.87</v>
      </c>
      <c r="H83" s="134">
        <f>ROUND(F83*G83,0)</f>
        <v>0</v>
      </c>
      <c r="I83" s="136" t="s">
        <v>2075</v>
      </c>
    </row>
    <row r="84" spans="1:13" x14ac:dyDescent="0.35">
      <c r="A84" t="s">
        <v>111</v>
      </c>
      <c r="B84" s="296">
        <f>$L$22</f>
        <v>0</v>
      </c>
      <c r="C84" s="296" t="str">
        <f>$M$22</f>
        <v>-</v>
      </c>
      <c r="D84" s="296">
        <f>$N$22</f>
        <v>10</v>
      </c>
      <c r="E84" s="3" t="s">
        <v>25</v>
      </c>
      <c r="F84" s="484">
        <f>O25</f>
        <v>0</v>
      </c>
      <c r="G84" s="752">
        <f>O68</f>
        <v>187.5</v>
      </c>
      <c r="H84" s="134">
        <f>ROUND(F84*G84,0)</f>
        <v>0</v>
      </c>
      <c r="I84" s="136" t="s">
        <v>2076</v>
      </c>
    </row>
    <row r="85" spans="1:13" x14ac:dyDescent="0.35">
      <c r="A85" t="s">
        <v>110</v>
      </c>
      <c r="B85"/>
      <c r="C85"/>
      <c r="D85"/>
      <c r="F85"/>
      <c r="G85"/>
      <c r="H85" s="140">
        <f>SUM(H81:H84)</f>
        <v>6700531</v>
      </c>
      <c r="I85" s="136" t="s">
        <v>2077</v>
      </c>
    </row>
    <row r="86" spans="1:13" ht="15" thickBot="1" x14ac:dyDescent="0.4">
      <c r="A86" t="s">
        <v>391</v>
      </c>
      <c r="B86"/>
      <c r="C86"/>
      <c r="D86"/>
      <c r="F86"/>
      <c r="G86"/>
      <c r="H86" s="280"/>
      <c r="I86" s="136" t="s">
        <v>2078</v>
      </c>
    </row>
    <row r="87" spans="1:13" ht="15.5" thickTop="1" thickBot="1" x14ac:dyDescent="0.4">
      <c r="A87" t="s">
        <v>392</v>
      </c>
      <c r="B87"/>
      <c r="C87"/>
      <c r="D87"/>
      <c r="F87"/>
      <c r="G87"/>
      <c r="H87" s="138">
        <f>ROUND(H85*(1+H86),0)</f>
        <v>6700531</v>
      </c>
      <c r="I87" s="136" t="s">
        <v>2079</v>
      </c>
    </row>
    <row r="88" spans="1:13" ht="15" thickTop="1" x14ac:dyDescent="0.35">
      <c r="A88" s="197"/>
      <c r="B88" s="197"/>
      <c r="C88" s="197"/>
      <c r="D88" s="197"/>
      <c r="E88" s="198"/>
    </row>
    <row r="89" spans="1:13" x14ac:dyDescent="0.35">
      <c r="A89" s="197"/>
      <c r="B89" s="197"/>
      <c r="C89" s="197"/>
      <c r="D89" s="197"/>
      <c r="E89" s="198"/>
    </row>
    <row r="90" spans="1:13" x14ac:dyDescent="0.35">
      <c r="A90" s="407" t="s">
        <v>1542</v>
      </c>
      <c r="B90" s="197"/>
      <c r="C90" s="197"/>
      <c r="D90" s="197"/>
      <c r="E90" s="198"/>
    </row>
    <row r="91" spans="1:13" x14ac:dyDescent="0.35">
      <c r="A91" s="197" t="str">
        <f>CONCATENATE($A$2," ",$A$3)</f>
        <v>SC8 Rate I</v>
      </c>
      <c r="B91" s="197"/>
      <c r="C91" s="197"/>
      <c r="D91" s="197"/>
      <c r="E91" s="198"/>
    </row>
    <row r="92" spans="1:13" x14ac:dyDescent="0.35">
      <c r="A92" s="226" t="s">
        <v>301</v>
      </c>
      <c r="B92" s="197"/>
      <c r="C92" s="197"/>
      <c r="D92" s="197"/>
      <c r="E92" s="198"/>
      <c r="H92" s="278">
        <f>H27</f>
        <v>106597638</v>
      </c>
      <c r="J92" s="136" t="s">
        <v>1694</v>
      </c>
    </row>
    <row r="93" spans="1:13" x14ac:dyDescent="0.35">
      <c r="A93" s="226" t="s">
        <v>303</v>
      </c>
      <c r="B93" s="197"/>
      <c r="C93" s="197"/>
      <c r="D93" s="197"/>
      <c r="E93" s="198"/>
      <c r="H93" s="279">
        <f>H28</f>
        <v>1317803</v>
      </c>
      <c r="J93" s="136" t="s">
        <v>1695</v>
      </c>
    </row>
    <row r="94" spans="1:13" x14ac:dyDescent="0.35">
      <c r="B94" s="197"/>
      <c r="C94" s="197"/>
      <c r="D94" s="197"/>
      <c r="E94" s="198"/>
      <c r="I94" s="277">
        <f>H92+H93</f>
        <v>107915441</v>
      </c>
      <c r="J94" s="136" t="s">
        <v>2080</v>
      </c>
    </row>
    <row r="95" spans="1:13" ht="15" thickBot="1" x14ac:dyDescent="0.4">
      <c r="A95" s="226" t="s">
        <v>393</v>
      </c>
      <c r="B95" s="197"/>
      <c r="C95" s="197"/>
      <c r="D95" s="197"/>
      <c r="E95" s="198"/>
      <c r="I95" s="278">
        <f>H87</f>
        <v>6700531</v>
      </c>
      <c r="J95" s="136" t="s">
        <v>2081</v>
      </c>
    </row>
    <row r="96" spans="1:13" ht="15.5" thickTop="1" thickBot="1" x14ac:dyDescent="0.4">
      <c r="A96" s="75" t="s">
        <v>394</v>
      </c>
      <c r="B96" s="197"/>
      <c r="C96" s="197"/>
      <c r="D96" s="197"/>
      <c r="E96" s="198"/>
      <c r="I96" s="333">
        <f>I94-I95</f>
        <v>101214910</v>
      </c>
      <c r="J96" s="136" t="s">
        <v>2082</v>
      </c>
    </row>
    <row r="97" spans="1:11" ht="15" thickTop="1" x14ac:dyDescent="0.35">
      <c r="A97" s="197"/>
      <c r="B97" s="197"/>
      <c r="C97" s="197"/>
      <c r="D97" s="197"/>
      <c r="E97" s="198"/>
    </row>
    <row r="98" spans="1:11" x14ac:dyDescent="0.35">
      <c r="A98" s="197"/>
      <c r="B98" s="197"/>
      <c r="C98" s="197"/>
      <c r="D98" s="197"/>
      <c r="E98" s="198"/>
    </row>
    <row r="99" spans="1:11" x14ac:dyDescent="0.35">
      <c r="A99" s="334" t="s">
        <v>395</v>
      </c>
      <c r="B99" s="197"/>
      <c r="C99" s="197"/>
      <c r="D99" s="197"/>
      <c r="E99" s="198"/>
    </row>
    <row r="100" spans="1:11" x14ac:dyDescent="0.35">
      <c r="A100" s="197" t="str">
        <f>CONCATENATE($A$2," ",$A$3)</f>
        <v>SC8 Rate I</v>
      </c>
      <c r="B100" s="197"/>
      <c r="C100" s="197"/>
      <c r="D100" s="197"/>
      <c r="E100" s="198"/>
    </row>
    <row r="101" spans="1:11" ht="15" thickBot="1" x14ac:dyDescent="0.4">
      <c r="A101" s="86" t="s">
        <v>300</v>
      </c>
      <c r="B101" s="197"/>
      <c r="C101" s="197"/>
      <c r="D101" s="197"/>
      <c r="E101" s="30"/>
      <c r="G101" s="30" t="s">
        <v>25</v>
      </c>
    </row>
    <row r="102" spans="1:11" x14ac:dyDescent="0.35">
      <c r="A102" s="3" t="s">
        <v>114</v>
      </c>
      <c r="B102" s="197"/>
      <c r="C102" s="271" t="str">
        <f>C66</f>
        <v>&gt;</v>
      </c>
      <c r="D102" s="271">
        <f>D66</f>
        <v>10</v>
      </c>
      <c r="E102" s="3" t="s">
        <v>25</v>
      </c>
      <c r="G102" s="274">
        <f>P8</f>
        <v>1446294</v>
      </c>
      <c r="H102" s="74" t="str">
        <f>CONCATENATE("* [",$L$75,"]")</f>
        <v>* [X + 7.81]</v>
      </c>
      <c r="I102" s="136" t="s">
        <v>2091</v>
      </c>
    </row>
    <row r="103" spans="1:11" x14ac:dyDescent="0.35">
      <c r="A103" s="3" t="s">
        <v>113</v>
      </c>
      <c r="B103" s="197"/>
      <c r="C103" s="272" t="str">
        <f>$C$102</f>
        <v>&gt;</v>
      </c>
      <c r="D103" s="272">
        <f>$D$102</f>
        <v>10</v>
      </c>
      <c r="E103" s="3" t="s">
        <v>25</v>
      </c>
      <c r="G103" s="274">
        <f>P13</f>
        <v>1945382</v>
      </c>
      <c r="H103" s="107" t="str">
        <f>CONCATENATE("* [",$M$75,"]")</f>
        <v>* [X]</v>
      </c>
      <c r="I103" s="136" t="s">
        <v>1763</v>
      </c>
    </row>
    <row r="104" spans="1:11" x14ac:dyDescent="0.35">
      <c r="A104" s="3" t="s">
        <v>112</v>
      </c>
      <c r="B104" s="197"/>
      <c r="C104" s="272" t="str">
        <f t="shared" ref="C104:C105" si="0">$C$102</f>
        <v>&gt;</v>
      </c>
      <c r="D104" s="272">
        <f t="shared" ref="D104:D105" si="1">$D$102</f>
        <v>10</v>
      </c>
      <c r="E104" s="3" t="s">
        <v>25</v>
      </c>
      <c r="G104" s="274">
        <f>P18</f>
        <v>0</v>
      </c>
      <c r="H104" s="107" t="str">
        <f>CONCATENATE("* [",$L$77,"]")</f>
        <v>* [X + -1.82]</v>
      </c>
      <c r="I104" s="136" t="s">
        <v>2092</v>
      </c>
    </row>
    <row r="105" spans="1:11" ht="15" thickBot="1" x14ac:dyDescent="0.4">
      <c r="A105" s="3" t="s">
        <v>111</v>
      </c>
      <c r="B105" s="197"/>
      <c r="C105" s="272" t="str">
        <f t="shared" si="0"/>
        <v>&gt;</v>
      </c>
      <c r="D105" s="272">
        <f t="shared" si="1"/>
        <v>10</v>
      </c>
      <c r="E105" s="3" t="s">
        <v>25</v>
      </c>
      <c r="G105" s="1062">
        <f>P23</f>
        <v>0</v>
      </c>
      <c r="H105" s="275" t="str">
        <f>CONCATENATE("* [",$M$77,"]")</f>
        <v>* [X + -9.65]</v>
      </c>
      <c r="I105" s="136" t="s">
        <v>2093</v>
      </c>
    </row>
    <row r="106" spans="1:11" x14ac:dyDescent="0.35">
      <c r="B106" s="197"/>
      <c r="C106" s="197"/>
      <c r="D106" s="197"/>
      <c r="E106" s="273"/>
      <c r="F106" s="273"/>
      <c r="G106" s="28">
        <f>SUM(G102:G105)</f>
        <v>3391676</v>
      </c>
      <c r="H106" s="136" t="s">
        <v>1708</v>
      </c>
    </row>
    <row r="107" spans="1:11" x14ac:dyDescent="0.35">
      <c r="A107" s="70" t="s">
        <v>38</v>
      </c>
    </row>
    <row r="108" spans="1:11" x14ac:dyDescent="0.35">
      <c r="A108" s="197" t="str">
        <f>CONCATENATE($A$2," ",$A$3)</f>
        <v>SC8 Rate I</v>
      </c>
    </row>
    <row r="109" spans="1:11" x14ac:dyDescent="0.35">
      <c r="A109" s="3" t="s">
        <v>114</v>
      </c>
      <c r="B109" s="271" t="str">
        <f>C102</f>
        <v>&gt;</v>
      </c>
      <c r="C109" s="271">
        <f>D102</f>
        <v>10</v>
      </c>
      <c r="D109" s="3" t="s">
        <v>25</v>
      </c>
      <c r="E109" s="34">
        <f>I96</f>
        <v>101214910</v>
      </c>
      <c r="F109" s="36" t="s">
        <v>31</v>
      </c>
      <c r="G109" s="28">
        <f>G102</f>
        <v>1446294</v>
      </c>
      <c r="H109" s="3" t="s">
        <v>396</v>
      </c>
      <c r="I109" s="308">
        <f>ROUND(G109*$J$75,0)</f>
        <v>11295556</v>
      </c>
      <c r="J109" s="3" t="s">
        <v>62</v>
      </c>
      <c r="K109" s="136" t="s">
        <v>2083</v>
      </c>
    </row>
    <row r="110" spans="1:11" x14ac:dyDescent="0.35">
      <c r="A110" s="3" t="s">
        <v>113</v>
      </c>
      <c r="B110" s="272" t="str">
        <f>$C$102</f>
        <v>&gt;</v>
      </c>
      <c r="C110" s="272">
        <f>$D$102</f>
        <v>10</v>
      </c>
      <c r="D110" s="3" t="s">
        <v>25</v>
      </c>
      <c r="G110" s="28">
        <f>G103</f>
        <v>1945382</v>
      </c>
      <c r="H110" s="3" t="s">
        <v>396</v>
      </c>
      <c r="I110" s="308">
        <f>ROUND(G110*$K$75,0)</f>
        <v>0</v>
      </c>
      <c r="J110" s="3" t="s">
        <v>62</v>
      </c>
      <c r="K110" s="136" t="s">
        <v>1763</v>
      </c>
    </row>
    <row r="111" spans="1:11" x14ac:dyDescent="0.35">
      <c r="A111" s="3" t="s">
        <v>112</v>
      </c>
      <c r="B111" s="272" t="str">
        <f t="shared" ref="B111:B112" si="2">$C$102</f>
        <v>&gt;</v>
      </c>
      <c r="C111" s="272">
        <f t="shared" ref="C111:C112" si="3">$D$102</f>
        <v>10</v>
      </c>
      <c r="D111" s="3" t="s">
        <v>25</v>
      </c>
      <c r="G111" s="28">
        <f>G104</f>
        <v>0</v>
      </c>
      <c r="H111" s="3" t="s">
        <v>396</v>
      </c>
      <c r="I111" s="308">
        <f>ROUND(G111*$J$77,0)</f>
        <v>0</v>
      </c>
      <c r="J111" s="3" t="s">
        <v>62</v>
      </c>
      <c r="K111" s="136" t="s">
        <v>2084</v>
      </c>
    </row>
    <row r="112" spans="1:11" x14ac:dyDescent="0.35">
      <c r="A112" s="3" t="s">
        <v>111</v>
      </c>
      <c r="B112" s="272" t="str">
        <f t="shared" si="2"/>
        <v>&gt;</v>
      </c>
      <c r="C112" s="272">
        <f t="shared" si="3"/>
        <v>10</v>
      </c>
      <c r="D112" s="3" t="s">
        <v>25</v>
      </c>
      <c r="G112" s="38">
        <f>G105</f>
        <v>0</v>
      </c>
      <c r="H112" s="3" t="s">
        <v>396</v>
      </c>
      <c r="I112" s="335">
        <f>ROUND(G112*$K$77,0)</f>
        <v>0</v>
      </c>
      <c r="J112" s="3" t="s">
        <v>62</v>
      </c>
      <c r="K112" s="136" t="s">
        <v>2085</v>
      </c>
    </row>
    <row r="113" spans="1:11" x14ac:dyDescent="0.35">
      <c r="E113" s="34">
        <f>E109</f>
        <v>101214910</v>
      </c>
      <c r="F113" s="36" t="s">
        <v>31</v>
      </c>
      <c r="G113" s="28">
        <f>SUM(G109:G112)</f>
        <v>3391676</v>
      </c>
      <c r="H113" s="3" t="s">
        <v>396</v>
      </c>
      <c r="I113" s="103">
        <f>SUM(I109:I112)</f>
        <v>11295556</v>
      </c>
      <c r="J113" s="136" t="s">
        <v>2086</v>
      </c>
      <c r="K113" s="136" t="s">
        <v>2087</v>
      </c>
    </row>
    <row r="114" spans="1:11" x14ac:dyDescent="0.35">
      <c r="E114" s="34"/>
      <c r="F114" s="36"/>
      <c r="G114" s="28"/>
      <c r="I114" s="103"/>
      <c r="K114" s="136" t="s">
        <v>2088</v>
      </c>
    </row>
    <row r="115" spans="1:11" x14ac:dyDescent="0.35">
      <c r="E115" s="34">
        <f>E113-I113</f>
        <v>89919354</v>
      </c>
      <c r="F115" s="36" t="s">
        <v>31</v>
      </c>
      <c r="G115" s="28">
        <f>G113</f>
        <v>3391676</v>
      </c>
      <c r="H115" s="3" t="s">
        <v>32</v>
      </c>
      <c r="I115" s="103"/>
      <c r="K115" s="136" t="s">
        <v>2089</v>
      </c>
    </row>
    <row r="116" spans="1:11" ht="15" thickBot="1" x14ac:dyDescent="0.4">
      <c r="G116" s="28"/>
      <c r="I116" s="103"/>
      <c r="K116" s="136"/>
    </row>
    <row r="117" spans="1:11" ht="15.5" thickTop="1" thickBot="1" x14ac:dyDescent="0.4">
      <c r="E117" s="33" t="s">
        <v>32</v>
      </c>
      <c r="F117" s="36" t="s">
        <v>31</v>
      </c>
      <c r="G117" s="336">
        <f>ROUND(E115/G115,2)</f>
        <v>26.51</v>
      </c>
      <c r="H117" s="136" t="s">
        <v>2094</v>
      </c>
      <c r="I117" s="103"/>
      <c r="K117" s="136" t="s">
        <v>2090</v>
      </c>
    </row>
    <row r="118" spans="1:11" ht="15" thickTop="1" x14ac:dyDescent="0.35"/>
    <row r="119" spans="1:11" x14ac:dyDescent="0.35">
      <c r="A119" s="407" t="s">
        <v>1544</v>
      </c>
      <c r="B119" s="70"/>
      <c r="C119" s="70"/>
      <c r="D119" s="70"/>
    </row>
    <row r="120" spans="1:11" x14ac:dyDescent="0.35">
      <c r="A120" s="197" t="str">
        <f>CONCATENATE($A$2," ",$A$3)</f>
        <v>SC8 Rate I</v>
      </c>
      <c r="B120" s="70"/>
      <c r="C120" s="70"/>
      <c r="D120" s="70"/>
    </row>
    <row r="121" spans="1:11" x14ac:dyDescent="0.35">
      <c r="A121" s="75" t="s">
        <v>374</v>
      </c>
      <c r="B121" s="1332">
        <f>$F$33</f>
        <v>2019</v>
      </c>
      <c r="C121" s="1332"/>
      <c r="D121" s="1332"/>
    </row>
    <row r="122" spans="1:11" x14ac:dyDescent="0.35">
      <c r="A122" s="75" t="s">
        <v>297</v>
      </c>
      <c r="B122" s="1332">
        <f>$F$34</f>
        <v>2017</v>
      </c>
      <c r="C122" s="1332"/>
      <c r="D122" s="1332"/>
    </row>
    <row r="123" spans="1:11" x14ac:dyDescent="0.35">
      <c r="A123" s="190"/>
      <c r="B123" s="190"/>
      <c r="C123" s="190"/>
      <c r="D123" s="190"/>
    </row>
    <row r="124" spans="1:11" x14ac:dyDescent="0.35">
      <c r="A124" s="334" t="str">
        <f>CONCATENATE($A$33," at Proposed Demand Rates")</f>
        <v>SC8 Rate I at Proposed Demand Rates</v>
      </c>
      <c r="B124" s="190"/>
      <c r="C124" s="190"/>
      <c r="D124" s="190"/>
    </row>
    <row r="125" spans="1:11" ht="15" thickBot="1" x14ac:dyDescent="0.4">
      <c r="A125" s="42"/>
      <c r="B125" s="190"/>
      <c r="C125" s="190"/>
      <c r="D125" s="190"/>
    </row>
    <row r="126" spans="1:11" ht="15.5" thickTop="1" thickBot="1" x14ac:dyDescent="0.4">
      <c r="A126" s="190"/>
      <c r="B126" s="190"/>
      <c r="C126" s="190"/>
      <c r="D126" s="190"/>
      <c r="E126" s="1338" t="s">
        <v>398</v>
      </c>
      <c r="F126" s="1339"/>
    </row>
    <row r="127" spans="1:11" ht="15.5" thickTop="1" thickBot="1" x14ac:dyDescent="0.4">
      <c r="A127" s="197" t="str">
        <f>CONCATENATE($A$2," ",$A$3)</f>
        <v>SC8 Rate I</v>
      </c>
      <c r="B127" s="197"/>
      <c r="C127" s="197"/>
      <c r="D127" s="197"/>
      <c r="E127" s="1307" t="s">
        <v>235</v>
      </c>
      <c r="F127" s="1309"/>
      <c r="H127" s="1307" t="s">
        <v>399</v>
      </c>
      <c r="I127" s="1309"/>
    </row>
    <row r="128" spans="1:11" ht="15" thickTop="1" x14ac:dyDescent="0.35">
      <c r="A128" s="197"/>
      <c r="B128" s="197"/>
      <c r="C128" s="197"/>
      <c r="D128" s="197"/>
      <c r="E128" s="30" t="s">
        <v>42</v>
      </c>
      <c r="F128" s="30" t="s">
        <v>40</v>
      </c>
      <c r="H128" s="30" t="s">
        <v>42</v>
      </c>
      <c r="I128" s="30" t="s">
        <v>40</v>
      </c>
    </row>
    <row r="129" spans="1:11" x14ac:dyDescent="0.35">
      <c r="A129" s="197"/>
      <c r="B129" s="197"/>
      <c r="C129" s="197"/>
      <c r="D129" s="197"/>
      <c r="E129" s="30"/>
      <c r="F129" s="30"/>
    </row>
    <row r="130" spans="1:11" ht="15" thickBot="1" x14ac:dyDescent="0.4">
      <c r="A130" s="3" t="s">
        <v>252</v>
      </c>
      <c r="B130" s="123" t="str">
        <f>$B$52</f>
        <v>0</v>
      </c>
      <c r="C130" s="123" t="str">
        <f>$C$52</f>
        <v>-</v>
      </c>
      <c r="D130" s="123">
        <f>$D$52</f>
        <v>10</v>
      </c>
      <c r="E130" s="339">
        <f>G81</f>
        <v>380.53</v>
      </c>
      <c r="F130" s="339">
        <f>G82</f>
        <v>294.16000000000003</v>
      </c>
      <c r="G130" s="136" t="s">
        <v>2095</v>
      </c>
    </row>
    <row r="131" spans="1:11" ht="15" thickBot="1" x14ac:dyDescent="0.4">
      <c r="C131" s="123" t="str">
        <f>$C$53</f>
        <v>&gt;</v>
      </c>
      <c r="D131" s="123">
        <f>$D$53</f>
        <v>10</v>
      </c>
      <c r="E131" s="321">
        <f>J75+$G$117</f>
        <v>34.32</v>
      </c>
      <c r="F131" s="322">
        <f>K75+$G$117</f>
        <v>26.51</v>
      </c>
      <c r="G131" s="136" t="s">
        <v>2096</v>
      </c>
      <c r="H131" s="35"/>
    </row>
    <row r="132" spans="1:11" x14ac:dyDescent="0.35">
      <c r="C132" s="123"/>
      <c r="D132" s="36"/>
      <c r="E132" s="27"/>
      <c r="F132" s="27"/>
      <c r="G132" s="136"/>
    </row>
    <row r="133" spans="1:11" ht="15" thickBot="1" x14ac:dyDescent="0.4">
      <c r="A133" s="3" t="s">
        <v>253</v>
      </c>
      <c r="B133" s="123" t="str">
        <f>$B$52</f>
        <v>0</v>
      </c>
      <c r="C133" s="123" t="str">
        <f>$C$52</f>
        <v>-</v>
      </c>
      <c r="D133" s="123">
        <f>$D$52</f>
        <v>10</v>
      </c>
      <c r="E133" s="339">
        <f>G83</f>
        <v>273.87</v>
      </c>
      <c r="F133" s="339">
        <f>G84</f>
        <v>187.5</v>
      </c>
      <c r="G133" s="136" t="s">
        <v>2097</v>
      </c>
      <c r="H133" s="27">
        <f>E130-E133</f>
        <v>106.65999999999997</v>
      </c>
      <c r="I133" s="27">
        <f>F130-F133</f>
        <v>106.66000000000003</v>
      </c>
      <c r="J133" s="136" t="s">
        <v>2099</v>
      </c>
      <c r="K133" s="136" t="s">
        <v>2100</v>
      </c>
    </row>
    <row r="134" spans="1:11" ht="15" thickBot="1" x14ac:dyDescent="0.4">
      <c r="C134" s="123" t="str">
        <f>$C$53</f>
        <v>&gt;</v>
      </c>
      <c r="D134" s="123">
        <f>$D$53</f>
        <v>10</v>
      </c>
      <c r="E134" s="321">
        <f>J77+$G$117</f>
        <v>24.69</v>
      </c>
      <c r="F134" s="322">
        <f>K77+$G$117</f>
        <v>16.860000000000003</v>
      </c>
      <c r="G134" s="136" t="s">
        <v>2098</v>
      </c>
      <c r="H134" s="27">
        <f>E131-E134</f>
        <v>9.629999999999999</v>
      </c>
      <c r="I134" s="27">
        <f>F131-F134</f>
        <v>9.6499999999999986</v>
      </c>
      <c r="J134" s="136" t="s">
        <v>2101</v>
      </c>
      <c r="K134" s="136" t="s">
        <v>2102</v>
      </c>
    </row>
    <row r="135" spans="1:11" x14ac:dyDescent="0.35">
      <c r="A135" s="190"/>
      <c r="B135" s="190"/>
      <c r="C135" s="190"/>
      <c r="D135" s="190"/>
    </row>
    <row r="136" spans="1:11" x14ac:dyDescent="0.35">
      <c r="A136" s="190"/>
      <c r="B136" s="190"/>
      <c r="C136" s="190"/>
      <c r="D136" s="190"/>
    </row>
    <row r="137" spans="1:11" x14ac:dyDescent="0.35">
      <c r="A137" s="407" t="s">
        <v>1545</v>
      </c>
      <c r="B137" s="190"/>
      <c r="C137" s="190"/>
      <c r="D137" s="190"/>
    </row>
    <row r="138" spans="1:11" x14ac:dyDescent="0.35">
      <c r="A138" s="75" t="s">
        <v>402</v>
      </c>
      <c r="B138" s="1332">
        <f>$F$33</f>
        <v>2019</v>
      </c>
      <c r="C138" s="1332"/>
      <c r="D138" s="1332"/>
    </row>
    <row r="139" spans="1:11" x14ac:dyDescent="0.35">
      <c r="A139" s="190"/>
      <c r="B139" s="190"/>
      <c r="C139" s="190"/>
      <c r="D139" s="190"/>
    </row>
    <row r="140" spans="1:11" x14ac:dyDescent="0.35">
      <c r="A140" s="190"/>
      <c r="B140" s="190"/>
      <c r="C140" s="190"/>
      <c r="D140" s="190"/>
      <c r="G140" s="30"/>
      <c r="I140" s="30" t="s">
        <v>14</v>
      </c>
    </row>
    <row r="141" spans="1:11" x14ac:dyDescent="0.35">
      <c r="A141" s="835" t="s">
        <v>27</v>
      </c>
      <c r="E141" s="30" t="s">
        <v>26</v>
      </c>
      <c r="F141" s="30" t="s">
        <v>25</v>
      </c>
      <c r="G141" s="30" t="s">
        <v>235</v>
      </c>
      <c r="I141" s="30" t="s">
        <v>6</v>
      </c>
    </row>
    <row r="142" spans="1:11" x14ac:dyDescent="0.35">
      <c r="A142" s="410" t="s">
        <v>9</v>
      </c>
      <c r="B142" s="123" t="str">
        <f>$B$52</f>
        <v>0</v>
      </c>
      <c r="C142" s="123" t="str">
        <f>$C$52</f>
        <v>-</v>
      </c>
      <c r="D142" s="123">
        <f>$D$52</f>
        <v>10</v>
      </c>
      <c r="E142" s="29">
        <f>O7</f>
        <v>74</v>
      </c>
      <c r="F142" s="29">
        <f>P7</f>
        <v>69190</v>
      </c>
      <c r="G142" s="35">
        <f>E130</f>
        <v>380.53</v>
      </c>
      <c r="H142" s="136" t="s">
        <v>1690</v>
      </c>
      <c r="I142" s="39">
        <f>ROUND(G142*(F142/D142),0)</f>
        <v>2632887</v>
      </c>
    </row>
    <row r="143" spans="1:11" x14ac:dyDescent="0.35">
      <c r="A143" s="410"/>
      <c r="C143" s="123" t="str">
        <f>$C$53</f>
        <v>&gt;</v>
      </c>
      <c r="D143" s="123">
        <f>$D$53</f>
        <v>10</v>
      </c>
      <c r="E143" s="29">
        <f>O8</f>
        <v>6845</v>
      </c>
      <c r="F143" s="29">
        <f t="shared" ref="F143:F144" si="4">P8</f>
        <v>1446294</v>
      </c>
      <c r="G143" s="35">
        <f>E131</f>
        <v>34.32</v>
      </c>
      <c r="H143" s="136" t="s">
        <v>1710</v>
      </c>
      <c r="I143" s="26">
        <f>ROUND(G143*F143,0)</f>
        <v>49636810</v>
      </c>
    </row>
    <row r="144" spans="1:11" x14ac:dyDescent="0.35">
      <c r="A144" s="410"/>
      <c r="B144" s="36"/>
      <c r="C144" s="36"/>
      <c r="D144" s="36"/>
      <c r="E144" s="38">
        <f>O9</f>
        <v>0</v>
      </c>
      <c r="F144" s="38">
        <f t="shared" si="4"/>
        <v>0</v>
      </c>
      <c r="G144" s="35"/>
      <c r="I144" s="37"/>
    </row>
    <row r="145" spans="1:11" x14ac:dyDescent="0.35">
      <c r="A145" s="410"/>
      <c r="B145" s="36"/>
      <c r="C145" s="36"/>
      <c r="D145" s="36"/>
      <c r="E145" s="28">
        <f>E142+E143+E144</f>
        <v>6919</v>
      </c>
      <c r="F145" s="28">
        <f>F142+F143+F144</f>
        <v>1515484</v>
      </c>
      <c r="G145" s="35"/>
      <c r="I145" s="34">
        <f>I142+I143+I144</f>
        <v>52269697</v>
      </c>
      <c r="J145" s="34"/>
      <c r="K145" s="36" t="s">
        <v>10</v>
      </c>
    </row>
    <row r="146" spans="1:11" x14ac:dyDescent="0.35">
      <c r="A146" s="410"/>
      <c r="B146" s="36"/>
      <c r="C146" s="36"/>
      <c r="D146" s="36"/>
      <c r="E146" s="28"/>
      <c r="F146" s="28"/>
      <c r="G146" s="35"/>
      <c r="H146" s="33" t="s">
        <v>22</v>
      </c>
      <c r="I146" s="34">
        <f>ROUND(I145*(K146-1),0)</f>
        <v>623055</v>
      </c>
      <c r="J146" s="33" t="s">
        <v>23</v>
      </c>
      <c r="K146" s="40">
        <f>$G$22</f>
        <v>1.0119199999999999</v>
      </c>
    </row>
    <row r="147" spans="1:11" x14ac:dyDescent="0.35">
      <c r="A147" s="410"/>
      <c r="B147" s="36"/>
      <c r="C147" s="36"/>
      <c r="D147" s="36"/>
      <c r="E147" s="28"/>
      <c r="F147" s="28"/>
      <c r="G147" s="35"/>
      <c r="H147" s="33" t="s">
        <v>21</v>
      </c>
      <c r="I147" s="32">
        <f>I145+I146</f>
        <v>52892752</v>
      </c>
      <c r="J147" s="8"/>
    </row>
    <row r="148" spans="1:11" x14ac:dyDescent="0.35">
      <c r="A148" s="410"/>
      <c r="I148" s="3"/>
    </row>
    <row r="149" spans="1:11" x14ac:dyDescent="0.35">
      <c r="A149" s="410" t="s">
        <v>8</v>
      </c>
      <c r="B149" s="123" t="str">
        <f>$B$52</f>
        <v>0</v>
      </c>
      <c r="C149" s="123" t="str">
        <f>$C$52</f>
        <v>-</v>
      </c>
      <c r="D149" s="123">
        <f>$D$52</f>
        <v>10</v>
      </c>
      <c r="E149" s="29">
        <f>O17</f>
        <v>0</v>
      </c>
      <c r="F149" s="29">
        <f>P17</f>
        <v>0</v>
      </c>
      <c r="G149" s="35">
        <f>E133</f>
        <v>273.87</v>
      </c>
      <c r="H149" s="136" t="s">
        <v>1692</v>
      </c>
      <c r="I149" s="39">
        <f>ROUND(G149*(F149/D149),0)</f>
        <v>0</v>
      </c>
    </row>
    <row r="150" spans="1:11" x14ac:dyDescent="0.35">
      <c r="A150" s="410"/>
      <c r="C150" s="123" t="str">
        <f>$C$53</f>
        <v>&gt;</v>
      </c>
      <c r="D150" s="123">
        <f>$D$53</f>
        <v>10</v>
      </c>
      <c r="E150" s="29">
        <f t="shared" ref="E150:F151" si="5">O18</f>
        <v>0</v>
      </c>
      <c r="F150" s="29">
        <f t="shared" si="5"/>
        <v>0</v>
      </c>
      <c r="G150" s="35">
        <f>E134</f>
        <v>24.69</v>
      </c>
      <c r="H150" s="136" t="s">
        <v>1712</v>
      </c>
      <c r="I150" s="26">
        <f>ROUND(G150*F150,0)</f>
        <v>0</v>
      </c>
    </row>
    <row r="151" spans="1:11" x14ac:dyDescent="0.35">
      <c r="A151" s="410"/>
      <c r="B151" s="36"/>
      <c r="C151" s="36"/>
      <c r="D151" s="36"/>
      <c r="E151" s="38">
        <f t="shared" si="5"/>
        <v>0</v>
      </c>
      <c r="F151" s="38">
        <f t="shared" si="5"/>
        <v>0</v>
      </c>
      <c r="G151" s="35"/>
      <c r="I151" s="37">
        <f>ROUND(G151*F151,0)</f>
        <v>0</v>
      </c>
    </row>
    <row r="152" spans="1:11" x14ac:dyDescent="0.35">
      <c r="A152" s="410"/>
      <c r="E152" s="28">
        <f>E149+E150+E151</f>
        <v>0</v>
      </c>
      <c r="F152" s="28">
        <f>F149+F150+F151</f>
        <v>0</v>
      </c>
      <c r="G152" s="35"/>
      <c r="I152" s="34">
        <f>I149+I150+I151</f>
        <v>0</v>
      </c>
    </row>
    <row r="153" spans="1:11" x14ac:dyDescent="0.35">
      <c r="A153" s="410"/>
      <c r="E153" s="28"/>
      <c r="F153" s="28"/>
      <c r="G153" s="35"/>
      <c r="H153" s="33" t="s">
        <v>22</v>
      </c>
      <c r="I153" s="34">
        <f>ROUND(I152*(K146-1),0)</f>
        <v>0</v>
      </c>
    </row>
    <row r="154" spans="1:11" x14ac:dyDescent="0.35">
      <c r="A154" s="410"/>
      <c r="E154" s="28"/>
      <c r="F154" s="28"/>
      <c r="G154" s="35"/>
      <c r="H154" s="33" t="s">
        <v>21</v>
      </c>
      <c r="I154" s="32">
        <f>I152+I153</f>
        <v>0</v>
      </c>
    </row>
    <row r="155" spans="1:11" x14ac:dyDescent="0.35">
      <c r="A155" s="410"/>
      <c r="E155" s="28"/>
      <c r="F155" s="28"/>
      <c r="G155" s="35"/>
      <c r="H155" s="33"/>
      <c r="I155" s="34"/>
    </row>
    <row r="156" spans="1:11" x14ac:dyDescent="0.35">
      <c r="A156" s="835" t="s">
        <v>24</v>
      </c>
      <c r="G156" s="30" t="s">
        <v>235</v>
      </c>
      <c r="I156" s="30" t="s">
        <v>6</v>
      </c>
      <c r="J156" s="17"/>
    </row>
    <row r="157" spans="1:11" x14ac:dyDescent="0.35">
      <c r="A157" s="410" t="s">
        <v>9</v>
      </c>
      <c r="B157" s="123" t="str">
        <f>$B$52</f>
        <v>0</v>
      </c>
      <c r="C157" s="123" t="str">
        <f>$C$52</f>
        <v>-</v>
      </c>
      <c r="D157" s="123">
        <f>$D$52</f>
        <v>10</v>
      </c>
      <c r="E157" s="29">
        <f t="shared" ref="E157:F159" si="6">O12</f>
        <v>243.00000000000003</v>
      </c>
      <c r="F157" s="29">
        <f t="shared" si="6"/>
        <v>138280</v>
      </c>
      <c r="G157" s="35">
        <f>F130</f>
        <v>294.16000000000003</v>
      </c>
      <c r="H157" s="136" t="s">
        <v>1691</v>
      </c>
      <c r="I157" s="39">
        <f>ROUND(G157*(F157/D157),0)</f>
        <v>4067644</v>
      </c>
      <c r="J157" s="17"/>
    </row>
    <row r="158" spans="1:11" x14ac:dyDescent="0.35">
      <c r="A158" s="410"/>
      <c r="C158" s="123" t="str">
        <f>$C$53</f>
        <v>&gt;</v>
      </c>
      <c r="D158" s="123">
        <f>$D$53</f>
        <v>10</v>
      </c>
      <c r="E158" s="29">
        <f t="shared" si="6"/>
        <v>13585</v>
      </c>
      <c r="F158" s="29">
        <f t="shared" si="6"/>
        <v>1945382</v>
      </c>
      <c r="G158" s="35">
        <f>F131</f>
        <v>26.51</v>
      </c>
      <c r="H158" s="136" t="s">
        <v>1711</v>
      </c>
      <c r="I158" s="26">
        <f>ROUND(G158*F158,0)</f>
        <v>51572077</v>
      </c>
      <c r="J158" s="17"/>
    </row>
    <row r="159" spans="1:11" x14ac:dyDescent="0.35">
      <c r="B159" s="36"/>
      <c r="C159" s="36"/>
      <c r="D159" s="36"/>
      <c r="E159" s="38">
        <f t="shared" si="6"/>
        <v>0</v>
      </c>
      <c r="F159" s="38">
        <f t="shared" si="6"/>
        <v>0</v>
      </c>
      <c r="G159" s="35"/>
      <c r="I159" s="37">
        <f>ROUND(G159*F159,0)</f>
        <v>0</v>
      </c>
      <c r="J159" s="17"/>
    </row>
    <row r="160" spans="1:11" x14ac:dyDescent="0.35">
      <c r="B160" s="36"/>
      <c r="C160" s="36"/>
      <c r="D160" s="36"/>
      <c r="E160" s="28">
        <f>E157+E158+E159</f>
        <v>13828</v>
      </c>
      <c r="F160" s="28">
        <f>F157+F158+F159</f>
        <v>2083662</v>
      </c>
      <c r="G160" s="35"/>
      <c r="I160" s="34">
        <f>I157+I158+I159</f>
        <v>55639721</v>
      </c>
      <c r="K160" s="36" t="s">
        <v>7</v>
      </c>
    </row>
    <row r="161" spans="1:13" x14ac:dyDescent="0.35">
      <c r="B161" s="36"/>
      <c r="C161" s="36"/>
      <c r="D161" s="36"/>
      <c r="E161" s="28"/>
      <c r="F161" s="28"/>
      <c r="G161" s="35"/>
      <c r="H161" s="33" t="s">
        <v>22</v>
      </c>
      <c r="I161" s="34">
        <f>ROUND(I160*(K161-1),0)</f>
        <v>593676</v>
      </c>
      <c r="J161" s="33" t="s">
        <v>23</v>
      </c>
      <c r="K161" s="40">
        <f>$G$23</f>
        <v>1.01067</v>
      </c>
    </row>
    <row r="162" spans="1:13" x14ac:dyDescent="0.35">
      <c r="B162" s="36"/>
      <c r="C162" s="36"/>
      <c r="D162" s="36"/>
      <c r="E162" s="28"/>
      <c r="F162" s="28"/>
      <c r="G162" s="35"/>
      <c r="H162" s="33" t="s">
        <v>21</v>
      </c>
      <c r="I162" s="32">
        <f>I160+I161</f>
        <v>56233397</v>
      </c>
      <c r="J162" s="8"/>
    </row>
    <row r="163" spans="1:13" x14ac:dyDescent="0.35">
      <c r="I163" s="3"/>
    </row>
    <row r="164" spans="1:13" x14ac:dyDescent="0.35">
      <c r="A164" s="3" t="s">
        <v>8</v>
      </c>
      <c r="B164" s="123" t="str">
        <f>$B$52</f>
        <v>0</v>
      </c>
      <c r="C164" s="123" t="str">
        <f>$C$52</f>
        <v>-</v>
      </c>
      <c r="D164" s="123">
        <f>$D$52</f>
        <v>10</v>
      </c>
      <c r="E164" s="29">
        <f t="shared" ref="E164:F166" si="7">O22</f>
        <v>0</v>
      </c>
      <c r="F164" s="29">
        <f t="shared" si="7"/>
        <v>0</v>
      </c>
      <c r="G164" s="35">
        <f>F133</f>
        <v>187.5</v>
      </c>
      <c r="H164" s="136" t="s">
        <v>2103</v>
      </c>
      <c r="I164" s="39">
        <f>ROUND(G164*(F164/D164),0)</f>
        <v>0</v>
      </c>
      <c r="J164" s="17"/>
    </row>
    <row r="165" spans="1:13" x14ac:dyDescent="0.35">
      <c r="C165" s="123" t="str">
        <f>$C$53</f>
        <v>&gt;</v>
      </c>
      <c r="D165" s="123">
        <f>$D$53</f>
        <v>10</v>
      </c>
      <c r="E165" s="29">
        <f t="shared" si="7"/>
        <v>0</v>
      </c>
      <c r="F165" s="29">
        <f t="shared" si="7"/>
        <v>0</v>
      </c>
      <c r="G165" s="35">
        <f>F134</f>
        <v>16.860000000000003</v>
      </c>
      <c r="H165" s="136" t="s">
        <v>1713</v>
      </c>
      <c r="I165" s="26">
        <f>ROUND(G165*F165,0)</f>
        <v>0</v>
      </c>
      <c r="J165" s="17"/>
    </row>
    <row r="166" spans="1:13" x14ac:dyDescent="0.35">
      <c r="B166" s="36"/>
      <c r="C166" s="36"/>
      <c r="D166" s="36"/>
      <c r="E166" s="38">
        <f t="shared" si="7"/>
        <v>0</v>
      </c>
      <c r="F166" s="38">
        <f t="shared" si="7"/>
        <v>0</v>
      </c>
      <c r="G166" s="35"/>
      <c r="I166" s="37">
        <f>ROUND(G166*F166,0)</f>
        <v>0</v>
      </c>
      <c r="J166" s="17"/>
    </row>
    <row r="167" spans="1:13" x14ac:dyDescent="0.35">
      <c r="B167" s="36"/>
      <c r="C167" s="36"/>
      <c r="D167" s="36"/>
      <c r="E167" s="28">
        <f>E164+E165+E166</f>
        <v>0</v>
      </c>
      <c r="F167" s="28">
        <f>F164+F165+F166</f>
        <v>0</v>
      </c>
      <c r="G167" s="35"/>
      <c r="I167" s="34">
        <f>I164+I165+I166</f>
        <v>0</v>
      </c>
      <c r="J167" s="17"/>
    </row>
    <row r="168" spans="1:13" x14ac:dyDescent="0.35">
      <c r="H168" s="33" t="s">
        <v>22</v>
      </c>
      <c r="I168" s="34">
        <f>ROUND(I167*(K161-1),0)</f>
        <v>0</v>
      </c>
      <c r="J168" s="17"/>
    </row>
    <row r="169" spans="1:13" x14ac:dyDescent="0.35">
      <c r="H169" s="33" t="s">
        <v>21</v>
      </c>
      <c r="I169" s="32">
        <f>I167+I168</f>
        <v>0</v>
      </c>
      <c r="J169" s="8"/>
    </row>
    <row r="170" spans="1:13" ht="15" thickBot="1" x14ac:dyDescent="0.4">
      <c r="I170" s="3"/>
    </row>
    <row r="171" spans="1:13" ht="15.5" thickTop="1" thickBot="1" x14ac:dyDescent="0.4">
      <c r="I171" s="24">
        <f>I147+I154+I162+I169</f>
        <v>109126149</v>
      </c>
      <c r="J171" s="8"/>
    </row>
    <row r="172" spans="1:13" ht="15.5" thickTop="1" thickBot="1" x14ac:dyDescent="0.4">
      <c r="I172" s="3"/>
      <c r="L172" s="17"/>
    </row>
    <row r="173" spans="1:13" x14ac:dyDescent="0.35">
      <c r="A173" s="882" t="str">
        <f>$A$33</f>
        <v>SC8 Rate I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1" t="s">
        <v>6</v>
      </c>
      <c r="M173" s="2"/>
    </row>
    <row r="174" spans="1:13" x14ac:dyDescent="0.35">
      <c r="A174" s="11" t="s">
        <v>402</v>
      </c>
      <c r="B174" s="1306">
        <f>$F$33</f>
        <v>2019</v>
      </c>
      <c r="C174" s="1306"/>
      <c r="D174" s="1306"/>
      <c r="E174" s="10"/>
      <c r="F174" s="10"/>
      <c r="G174" s="10"/>
      <c r="H174" s="10"/>
      <c r="I174" s="10"/>
      <c r="J174" s="10"/>
      <c r="K174" s="13"/>
      <c r="L174" s="17"/>
      <c r="M174" s="2"/>
    </row>
    <row r="175" spans="1:13" x14ac:dyDescent="0.35">
      <c r="A175" s="699" t="s">
        <v>403</v>
      </c>
      <c r="B175" s="883"/>
      <c r="C175" s="883"/>
      <c r="D175" s="883"/>
      <c r="E175" s="884"/>
      <c r="F175" s="10"/>
      <c r="G175" s="10"/>
      <c r="H175" s="10"/>
      <c r="I175" s="10"/>
      <c r="J175" s="10"/>
      <c r="K175" s="12">
        <f>I171</f>
        <v>109126149</v>
      </c>
      <c r="L175" s="288"/>
      <c r="M175" s="2"/>
    </row>
    <row r="176" spans="1:13" x14ac:dyDescent="0.35">
      <c r="A176" s="20"/>
      <c r="B176" s="1046"/>
      <c r="C176" s="1046"/>
      <c r="D176" s="1046"/>
      <c r="E176" s="10"/>
      <c r="F176" s="10"/>
      <c r="G176" s="10"/>
      <c r="H176" s="10"/>
      <c r="I176" s="10"/>
      <c r="J176" s="10"/>
      <c r="K176" s="470"/>
      <c r="L176" s="17"/>
      <c r="M176" s="2"/>
    </row>
    <row r="177" spans="1:13" x14ac:dyDescent="0.3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471"/>
      <c r="L177" s="8"/>
      <c r="M177" s="2"/>
    </row>
    <row r="178" spans="1:13" x14ac:dyDescent="0.35">
      <c r="A178" s="11" t="s">
        <v>404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2">
        <f>K175+K176+K177</f>
        <v>109126149</v>
      </c>
      <c r="L178" s="288"/>
    </row>
    <row r="179" spans="1:13" x14ac:dyDescent="0.35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3"/>
      <c r="L179" s="288"/>
    </row>
    <row r="180" spans="1:13" x14ac:dyDescent="0.35">
      <c r="A180" s="11"/>
      <c r="B180" s="10" t="s">
        <v>405</v>
      </c>
      <c r="C180" s="10"/>
      <c r="D180" s="10"/>
      <c r="E180" s="10"/>
      <c r="F180" s="10"/>
      <c r="G180" s="10"/>
      <c r="H180" s="10"/>
      <c r="I180" s="10"/>
      <c r="J180" s="10"/>
      <c r="K180" s="828">
        <f>G29</f>
        <v>109131975</v>
      </c>
      <c r="L180" s="288"/>
    </row>
    <row r="181" spans="1:13" x14ac:dyDescent="0.35">
      <c r="A181" s="11"/>
      <c r="B181" s="10" t="s">
        <v>1</v>
      </c>
      <c r="C181" s="10"/>
      <c r="D181" s="10"/>
      <c r="E181" s="10"/>
      <c r="F181" s="10"/>
      <c r="G181" s="10"/>
      <c r="H181" s="10"/>
      <c r="I181" s="10"/>
      <c r="J181" s="10"/>
      <c r="K181" s="12">
        <f>K178-K180</f>
        <v>-5826</v>
      </c>
      <c r="L181" s="288"/>
    </row>
    <row r="182" spans="1:13" x14ac:dyDescent="0.35">
      <c r="A182" s="11"/>
      <c r="B182" s="10" t="s">
        <v>0</v>
      </c>
      <c r="C182" s="10"/>
      <c r="D182" s="10"/>
      <c r="E182" s="10"/>
      <c r="F182" s="10"/>
      <c r="G182" s="10"/>
      <c r="H182" s="10"/>
      <c r="I182" s="10"/>
      <c r="J182" s="10"/>
      <c r="K182" s="9">
        <f>K178/K180-1</f>
        <v>-5.3384903920261628E-5</v>
      </c>
      <c r="L182" s="288"/>
    </row>
    <row r="183" spans="1:13" ht="15" thickBot="1" x14ac:dyDescent="0.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88"/>
    </row>
  </sheetData>
  <mergeCells count="26">
    <mergeCell ref="E40:H40"/>
    <mergeCell ref="J40:N40"/>
    <mergeCell ref="E41:F41"/>
    <mergeCell ref="J41:K41"/>
    <mergeCell ref="H48:H49"/>
    <mergeCell ref="J48:J49"/>
    <mergeCell ref="E49:G49"/>
    <mergeCell ref="E61:F61"/>
    <mergeCell ref="H61:O61"/>
    <mergeCell ref="E62:F62"/>
    <mergeCell ref="H62:I62"/>
    <mergeCell ref="J62:K62"/>
    <mergeCell ref="L62:M62"/>
    <mergeCell ref="N62:O62"/>
    <mergeCell ref="B174:D174"/>
    <mergeCell ref="H71:O71"/>
    <mergeCell ref="H72:I72"/>
    <mergeCell ref="J72:K72"/>
    <mergeCell ref="L72:M72"/>
    <mergeCell ref="N72:O72"/>
    <mergeCell ref="B121:D121"/>
    <mergeCell ref="B122:D122"/>
    <mergeCell ref="E126:F126"/>
    <mergeCell ref="E127:F127"/>
    <mergeCell ref="H127:I127"/>
    <mergeCell ref="B138:D138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36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66">
    <tabColor rgb="FFFFC000"/>
  </sheetPr>
  <dimension ref="A1:Q183"/>
  <sheetViews>
    <sheetView workbookViewId="0">
      <selection activeCell="G221" sqref="G221"/>
    </sheetView>
  </sheetViews>
  <sheetFormatPr defaultColWidth="8.81640625" defaultRowHeight="14.5" x14ac:dyDescent="0.35"/>
  <cols>
    <col min="1" max="1" width="18.26953125" style="3" customWidth="1"/>
    <col min="2" max="4" width="3.7265625" style="3" customWidth="1"/>
    <col min="5" max="7" width="15.7265625" style="3" customWidth="1"/>
    <col min="8" max="8" width="17" style="3" customWidth="1"/>
    <col min="9" max="9" width="17" style="2" customWidth="1"/>
    <col min="10" max="11" width="17" style="3" customWidth="1"/>
    <col min="12" max="12" width="21.453125" style="3" customWidth="1"/>
    <col min="13" max="15" width="17" style="3" customWidth="1"/>
    <col min="16" max="16" width="16.7265625" style="3" customWidth="1"/>
    <col min="17" max="17" width="14.7265625" style="3" customWidth="1"/>
    <col min="18" max="18" width="14.453125" style="3" customWidth="1"/>
    <col min="19" max="21" width="5.1796875" style="3" customWidth="1"/>
    <col min="22" max="24" width="13.7265625" style="3" customWidth="1"/>
    <col min="25" max="16384" width="8.81640625" style="3"/>
  </cols>
  <sheetData>
    <row r="1" spans="1:17" ht="18.5" x14ac:dyDescent="0.35">
      <c r="A1" s="238" t="s">
        <v>2299</v>
      </c>
      <c r="B1" s="70"/>
      <c r="C1" s="70"/>
      <c r="D1" s="70"/>
    </row>
    <row r="2" spans="1:17" x14ac:dyDescent="0.35">
      <c r="A2" s="182" t="s">
        <v>1081</v>
      </c>
      <c r="B2" s="180"/>
      <c r="C2" s="180"/>
      <c r="D2" s="180"/>
      <c r="E2" s="180"/>
    </row>
    <row r="3" spans="1:17" x14ac:dyDescent="0.35">
      <c r="A3" s="182" t="s">
        <v>249</v>
      </c>
      <c r="B3" s="180"/>
      <c r="C3" s="180"/>
      <c r="D3" s="180"/>
      <c r="E3" s="180"/>
      <c r="F3" s="863" t="s">
        <v>1428</v>
      </c>
      <c r="G3" s="1250">
        <f>'[1]A1.)RatesInput'!$G$3</f>
        <v>2017</v>
      </c>
    </row>
    <row r="4" spans="1:17" x14ac:dyDescent="0.35">
      <c r="E4" s="180"/>
      <c r="F4" s="863" t="s">
        <v>1078</v>
      </c>
      <c r="G4" s="805" t="str">
        <f>'9A.)HL_RedesignRateSummary'!$D$9</f>
        <v>Current</v>
      </c>
      <c r="H4" s="231"/>
      <c r="J4" s="180"/>
      <c r="K4" s="197" t="str">
        <f>$A$2</f>
        <v>SC9</v>
      </c>
      <c r="L4" s="2"/>
    </row>
    <row r="5" spans="1:17" x14ac:dyDescent="0.35">
      <c r="F5" s="863" t="s">
        <v>1079</v>
      </c>
      <c r="G5" s="805" t="str">
        <f>'9A.)HL_RedesignRateSummary'!$D$10</f>
        <v>ED shifting</v>
      </c>
      <c r="H5" s="232"/>
      <c r="K5" s="181" t="s">
        <v>147</v>
      </c>
      <c r="L5" s="2"/>
    </row>
    <row r="6" spans="1:17" x14ac:dyDescent="0.35">
      <c r="A6" s="3" t="str">
        <f>CONCATENATE($A$2," NTD (LT)")</f>
        <v>SC9 NTD (LT)</v>
      </c>
      <c r="C6" s="3" t="s">
        <v>168</v>
      </c>
      <c r="G6" s="860">
        <f>IF(ISNUMBER(VLOOKUP($A6,'[1]A1.)RatesInput'!$B$287:$J$309,HLOOKUP(G$4,'[1]A1.)RatesInput'!$B$287:$J$309,2,0),0)),VLOOKUP($A6,'[1]A1.)RatesInput'!$B$287:$J$309,HLOOKUP(G$4,'[1]A1.)RatesInput'!$B$287:$J$309,2,0),0),0)</f>
        <v>33.65</v>
      </c>
      <c r="H6" s="230"/>
      <c r="K6" s="2"/>
      <c r="L6" s="2"/>
      <c r="O6" s="30" t="s">
        <v>26</v>
      </c>
      <c r="P6" s="30" t="s">
        <v>25</v>
      </c>
      <c r="Q6" s="30" t="s">
        <v>44</v>
      </c>
    </row>
    <row r="7" spans="1:17" x14ac:dyDescent="0.35">
      <c r="A7" s="3" t="str">
        <f>CONCATENATE($A$2," NTD (HT)")</f>
        <v>SC9 NTD (HT)</v>
      </c>
      <c r="C7" s="3" t="s">
        <v>168</v>
      </c>
      <c r="G7" s="861">
        <f>IF(ISNUMBER(VLOOKUP($A7,'[1]A1.)RatesInput'!$B$287:$J$309,HLOOKUP(G$4,'[1]A1.)RatesInput'!$B$287:$J$309,2,0),0)),VLOOKUP($A7,'[1]A1.)RatesInput'!$B$287:$J$309,HLOOKUP(G$4,'[1]A1.)RatesInput'!$B$287:$J$309,2,0),0),0)</f>
        <v>21.76</v>
      </c>
      <c r="H7" s="230"/>
      <c r="K7" s="165" t="s">
        <v>114</v>
      </c>
      <c r="L7" s="164">
        <v>0</v>
      </c>
      <c r="M7" s="163" t="s">
        <v>143</v>
      </c>
      <c r="N7" s="880">
        <f>'[2]4C.)HY_DemandRatePxOut(Rate I)'!$E$121</f>
        <v>5</v>
      </c>
      <c r="O7" s="735">
        <f>'[2]4C.)HY_DemandRatePxOut(Rate I)'!$L$126</f>
        <v>24283.037279249718</v>
      </c>
      <c r="P7" s="735">
        <f>'[2]4C.)HY_DemandRatePxOut(Rate I)'!$N$126</f>
        <v>2575135</v>
      </c>
      <c r="Q7" s="735">
        <f>'[2]4B.)HY_EnergyRatePxOut(Rate I)'!$M$131</f>
        <v>602294876</v>
      </c>
    </row>
    <row r="8" spans="1:17" x14ac:dyDescent="0.35">
      <c r="A8" s="3" t="str">
        <f>CONCATENATE($A$2," NTD (LT)")</f>
        <v>SC9 NTD (LT)</v>
      </c>
      <c r="C8" s="3" t="s">
        <v>169</v>
      </c>
      <c r="G8" s="861">
        <f>IF(ISNUMBER(VLOOKUP($A8,'[1]A1.)RatesInput'!$B$315:$J$340,HLOOKUP(G$5,'[1]A1.)RatesInput'!$B$315:$J$340,3,0),0)),VLOOKUP($A8,'[1]A1.)RatesInput'!$B$315:$J$340,HLOOKUP(G$5,'[1]A1.)RatesInput'!$B$315:$J$340,3,0),0),0)</f>
        <v>22.21</v>
      </c>
      <c r="H8" s="230"/>
      <c r="K8" s="170" t="s">
        <v>114</v>
      </c>
      <c r="L8" s="159">
        <f>N7</f>
        <v>5</v>
      </c>
      <c r="M8" s="158" t="s">
        <v>143</v>
      </c>
      <c r="N8" s="881">
        <f>'[2]4C.)HY_DemandRatePxOut(Rate I)'!$E$122</f>
        <v>100</v>
      </c>
      <c r="O8" s="733">
        <f>'[2]4C.)HY_DemandRatePxOut(Rate I)'!$L$127</f>
        <v>463127.78306230035</v>
      </c>
      <c r="P8" s="733">
        <f>'[2]4C.)HY_DemandRatePxOut(Rate I)'!$N$127</f>
        <v>10355085</v>
      </c>
      <c r="Q8" s="733">
        <f>'[2]4B.)HY_EnergyRatePxOut(Rate I)'!$M$132</f>
        <v>0</v>
      </c>
    </row>
    <row r="9" spans="1:17" ht="15" thickBot="1" x14ac:dyDescent="0.4">
      <c r="A9" s="3" t="str">
        <f>CONCATENATE($A$2," NTD (HT)")</f>
        <v>SC9 NTD (HT)</v>
      </c>
      <c r="C9" s="3" t="s">
        <v>169</v>
      </c>
      <c r="G9" s="862">
        <f>IF(ISNUMBER(VLOOKUP($A9,'[1]A1.)RatesInput'!$B$315:$J$340,HLOOKUP(G$5,'[1]A1.)RatesInput'!$B$315:$J$340,3,0),0)),VLOOKUP($A9,'[1]A1.)RatesInput'!$B$315:$J$340,HLOOKUP(G$5,'[1]A1.)RatesInput'!$B$315:$J$340,3,0),0),0)</f>
        <v>15.96</v>
      </c>
      <c r="H9" s="230"/>
      <c r="K9" s="168" t="s">
        <v>114</v>
      </c>
      <c r="L9" s="155"/>
      <c r="M9" s="176" t="s">
        <v>141</v>
      </c>
      <c r="N9" s="154">
        <f>N8</f>
        <v>100</v>
      </c>
      <c r="O9" s="733">
        <f>'[2]4C.)HY_DemandRatePxOut(Rate I)'!$L$128</f>
        <v>27616.179658449917</v>
      </c>
      <c r="P9" s="733">
        <f>'[2]4C.)HY_DemandRatePxOut(Rate I)'!$N$128</f>
        <v>4265301</v>
      </c>
      <c r="Q9" s="171"/>
    </row>
    <row r="10" spans="1:17" ht="15.5" thickTop="1" thickBot="1" x14ac:dyDescent="0.4">
      <c r="K10" s="1"/>
      <c r="L10" s="1"/>
      <c r="M10"/>
      <c r="N10"/>
      <c r="O10" s="717">
        <f>SUM(O7:O9)</f>
        <v>515026.99999999994</v>
      </c>
      <c r="P10" s="717">
        <f>SUM(P7:P9)</f>
        <v>17195521</v>
      </c>
      <c r="Q10" s="717">
        <f>SUM(Q7:Q9)</f>
        <v>602294876</v>
      </c>
    </row>
    <row r="11" spans="1:17" ht="15.5" thickTop="1" thickBot="1" x14ac:dyDescent="0.4">
      <c r="F11" s="2"/>
      <c r="G11" s="422" t="str">
        <f>G$5</f>
        <v>ED shifting</v>
      </c>
      <c r="H11" s="423" t="s">
        <v>142</v>
      </c>
      <c r="K11" s="1"/>
      <c r="L11" s="1"/>
      <c r="M11"/>
      <c r="N11"/>
      <c r="O11" s="1"/>
      <c r="P11" s="1"/>
      <c r="Q11" s="1"/>
    </row>
    <row r="12" spans="1:17" ht="15" thickTop="1" x14ac:dyDescent="0.35">
      <c r="A12" s="3" t="s">
        <v>345</v>
      </c>
      <c r="F12" s="2"/>
      <c r="G12" s="309">
        <f>'9A.)HL_RedesignRateSummary'!D196</f>
        <v>176.77</v>
      </c>
      <c r="H12" s="865">
        <f>$E$130</f>
        <v>176.77</v>
      </c>
      <c r="I12" s="1068">
        <f>(H12/$N$7*4+H14/$N$7*8)/12</f>
        <v>30.612666666666666</v>
      </c>
      <c r="K12" s="165" t="s">
        <v>113</v>
      </c>
      <c r="L12" s="164">
        <f>$L$7</f>
        <v>0</v>
      </c>
      <c r="M12" s="164" t="str">
        <f>$M$7</f>
        <v>-</v>
      </c>
      <c r="N12" s="164">
        <f>$N$7</f>
        <v>5</v>
      </c>
      <c r="O12" s="735">
        <f>'[2]4C.)HY_DemandRatePxOut(Rate I)'!$L$121</f>
        <v>68583.997485784668</v>
      </c>
      <c r="P12" s="735">
        <f>'[2]4C.)HY_DemandRatePxOut(Rate I)'!$N$121</f>
        <v>5147035</v>
      </c>
      <c r="Q12" s="735">
        <f>'[2]4B.)HY_EnergyRatePxOut(Rate I)'!$M$126</f>
        <v>911800979</v>
      </c>
    </row>
    <row r="13" spans="1:17" x14ac:dyDescent="0.35">
      <c r="A13" s="3" t="s">
        <v>346</v>
      </c>
      <c r="F13" s="2"/>
      <c r="G13" s="310">
        <f>'9A.)HL_RedesignRateSummary'!D197</f>
        <v>25.83</v>
      </c>
      <c r="H13" s="866">
        <f>$E$131</f>
        <v>25.83</v>
      </c>
      <c r="I13" s="1068">
        <f>(H13*4+H15*8)/12</f>
        <v>22.209999999999997</v>
      </c>
      <c r="K13" s="160" t="s">
        <v>113</v>
      </c>
      <c r="L13" s="159">
        <f>N12</f>
        <v>5</v>
      </c>
      <c r="M13" s="158" t="str">
        <f>$M$8</f>
        <v>-</v>
      </c>
      <c r="N13" s="157">
        <f>$N$8</f>
        <v>100</v>
      </c>
      <c r="O13" s="733">
        <f>'[2]4C.)HY_DemandRatePxOut(Rate I)'!$L$122</f>
        <v>914598.30826242268</v>
      </c>
      <c r="P13" s="733">
        <f>'[2]4C.)HY_DemandRatePxOut(Rate I)'!$N$122</f>
        <v>18151598</v>
      </c>
      <c r="Q13" s="733">
        <f>'[2]4B.)HY_EnergyRatePxOut(Rate I)'!$M$127</f>
        <v>0</v>
      </c>
    </row>
    <row r="14" spans="1:17" ht="15" thickBot="1" x14ac:dyDescent="0.4">
      <c r="A14" s="3" t="s">
        <v>347</v>
      </c>
      <c r="F14" s="2"/>
      <c r="G14" s="310">
        <f>'9A.)HL_RedesignRateSummary'!D198</f>
        <v>141.21</v>
      </c>
      <c r="H14" s="866">
        <f>$F$130</f>
        <v>141.21</v>
      </c>
      <c r="I14" s="1068"/>
      <c r="K14" s="155" t="s">
        <v>113</v>
      </c>
      <c r="L14" s="154"/>
      <c r="M14" s="176" t="s">
        <v>141</v>
      </c>
      <c r="N14" s="154">
        <f>N13</f>
        <v>100</v>
      </c>
      <c r="O14" s="733">
        <f>'[2]4C.)HY_DemandRatePxOut(Rate I)'!$L$123</f>
        <v>46224.694251792644</v>
      </c>
      <c r="P14" s="733">
        <f>'[2]4C.)HY_DemandRatePxOut(Rate I)'!$N$123</f>
        <v>6426438</v>
      </c>
      <c r="Q14" s="171"/>
    </row>
    <row r="15" spans="1:17" ht="15.5" thickTop="1" thickBot="1" x14ac:dyDescent="0.4">
      <c r="A15" s="3" t="s">
        <v>348</v>
      </c>
      <c r="F15" s="2"/>
      <c r="G15" s="310">
        <f>'9A.)HL_RedesignRateSummary'!D199</f>
        <v>20.399999999999999</v>
      </c>
      <c r="H15" s="866">
        <f>$F$131</f>
        <v>20.399999999999999</v>
      </c>
      <c r="I15" s="1068"/>
      <c r="K15" s="2"/>
      <c r="L15" s="2"/>
      <c r="M15" s="2"/>
      <c r="O15" s="717">
        <f>SUM(O12:O14)</f>
        <v>1029407</v>
      </c>
      <c r="P15" s="717">
        <f>SUM(P12:P14)</f>
        <v>29725071</v>
      </c>
      <c r="Q15" s="717">
        <f>SUM(Q12:Q14)</f>
        <v>911800979</v>
      </c>
    </row>
    <row r="16" spans="1:17" ht="15" thickTop="1" x14ac:dyDescent="0.35">
      <c r="A16" s="3" t="s">
        <v>351</v>
      </c>
      <c r="F16" s="2"/>
      <c r="G16" s="310">
        <f>'9A.)HL_RedesignRateSummary'!D200</f>
        <v>136.66</v>
      </c>
      <c r="H16" s="866">
        <f>$E$133</f>
        <v>122.81</v>
      </c>
      <c r="I16" s="1068">
        <f>(H16/$N$7*4+H18/$N$7*8)/12</f>
        <v>19.827333333333332</v>
      </c>
      <c r="J16" s="201">
        <f>I16/I12</f>
        <v>0.64768396524314553</v>
      </c>
      <c r="K16" s="1"/>
      <c r="L16" s="1"/>
      <c r="M16"/>
      <c r="N16"/>
      <c r="O16" s="1"/>
      <c r="P16" s="1"/>
      <c r="Q16" s="1"/>
    </row>
    <row r="17" spans="1:17" x14ac:dyDescent="0.35">
      <c r="A17" s="3" t="s">
        <v>352</v>
      </c>
      <c r="F17" s="2"/>
      <c r="G17" s="310">
        <f>'9A.)HL_RedesignRateSummary'!D201</f>
        <v>19.59</v>
      </c>
      <c r="H17" s="866">
        <f>$E$134</f>
        <v>18.03</v>
      </c>
      <c r="I17" s="1068">
        <f>(H17*4+H19*8)/12</f>
        <v>14.396666666666667</v>
      </c>
      <c r="J17" s="201">
        <f>I17/I13</f>
        <v>0.64820651358247039</v>
      </c>
      <c r="K17" s="165" t="s">
        <v>112</v>
      </c>
      <c r="L17" s="164">
        <f>$L$7</f>
        <v>0</v>
      </c>
      <c r="M17" s="164" t="str">
        <f>$M$7</f>
        <v>-</v>
      </c>
      <c r="N17" s="164">
        <f>$N$7</f>
        <v>5</v>
      </c>
      <c r="O17" s="735">
        <f>'[2]4C.)HY_DemandRatePxOut(Rate I)'!$L$146</f>
        <v>0</v>
      </c>
      <c r="P17" s="735">
        <f>'[2]4C.)HY_DemandRatePxOut(Rate I)'!$M$146</f>
        <v>808.3252986938445</v>
      </c>
      <c r="Q17" s="735">
        <f>'[2]4B.)HY_EnergyRatePxOut(Rate I)'!$M$150</f>
        <v>0</v>
      </c>
    </row>
    <row r="18" spans="1:17" x14ac:dyDescent="0.35">
      <c r="A18" s="3" t="s">
        <v>353</v>
      </c>
      <c r="F18" s="2"/>
      <c r="G18" s="310">
        <f>'9A.)HL_RedesignRateSummary'!D202</f>
        <v>101.15</v>
      </c>
      <c r="H18" s="866">
        <f>$F$133</f>
        <v>87.300000000000011</v>
      </c>
      <c r="K18" s="170" t="s">
        <v>112</v>
      </c>
      <c r="L18" s="159">
        <f>N17</f>
        <v>5</v>
      </c>
      <c r="M18" s="158" t="str">
        <f>$M$8</f>
        <v>-</v>
      </c>
      <c r="N18" s="157">
        <f>$N$8</f>
        <v>100</v>
      </c>
      <c r="O18" s="733">
        <f>'[2]4C.)HY_DemandRatePxOut(Rate I)'!$L$147</f>
        <v>60.319148936170215</v>
      </c>
      <c r="P18" s="733">
        <f>'[2]4C.)HY_DemandRatePxOut(Rate I)'!$M$147</f>
        <v>12986.519851994084</v>
      </c>
      <c r="Q18" s="733">
        <f>'[2]4B.)HY_EnergyRatePxOut(Rate I)'!$M$151</f>
        <v>0</v>
      </c>
    </row>
    <row r="19" spans="1:17" ht="15" thickBot="1" x14ac:dyDescent="0.4">
      <c r="A19" s="3" t="s">
        <v>354</v>
      </c>
      <c r="F19" s="2"/>
      <c r="G19" s="311">
        <f>'9A.)HL_RedesignRateSummary'!D203</f>
        <v>14.139999999999999</v>
      </c>
      <c r="H19" s="867">
        <f>$F$134</f>
        <v>12.579999999999998</v>
      </c>
      <c r="K19" s="168" t="s">
        <v>112</v>
      </c>
      <c r="L19" s="154"/>
      <c r="M19" s="176" t="s">
        <v>141</v>
      </c>
      <c r="N19" s="154">
        <f>N18</f>
        <v>100</v>
      </c>
      <c r="O19" s="733">
        <f>'[2]4C.)HY_DemandRatePxOut(Rate I)'!$L$148</f>
        <v>119.68085106382979</v>
      </c>
      <c r="P19" s="733">
        <f>'[2]4C.)HY_DemandRatePxOut(Rate I)'!$M$148</f>
        <v>36543.354849312076</v>
      </c>
      <c r="Q19" s="171"/>
    </row>
    <row r="20" spans="1:17" ht="15.5" thickTop="1" thickBot="1" x14ac:dyDescent="0.4">
      <c r="H20" s="2"/>
      <c r="K20" s="1"/>
      <c r="L20" s="1"/>
      <c r="M20"/>
      <c r="N20"/>
      <c r="O20" s="717">
        <f>SUM(O17:O19)</f>
        <v>180</v>
      </c>
      <c r="P20" s="717">
        <f>SUM(P17:P19)</f>
        <v>50338.200000000004</v>
      </c>
      <c r="Q20" s="717">
        <f>SUM(Q17:Q19)</f>
        <v>0</v>
      </c>
    </row>
    <row r="21" spans="1:17" ht="15" thickTop="1" x14ac:dyDescent="0.35">
      <c r="A21" s="17" t="s">
        <v>139</v>
      </c>
      <c r="B21" s="17"/>
      <c r="C21" s="17"/>
      <c r="D21" s="17"/>
      <c r="G21" s="689">
        <f>HLOOKUP($G$3,'[1]A1.)RatesInput'!$D$63:$J$83,'[1]A1.)RatesInput'!$A$80,0)</f>
        <v>1.01108</v>
      </c>
      <c r="H21" s="2"/>
      <c r="K21" s="1"/>
      <c r="L21" s="1"/>
      <c r="M21"/>
      <c r="N21"/>
      <c r="O21" s="1"/>
      <c r="P21" s="1"/>
      <c r="Q21" s="1"/>
    </row>
    <row r="22" spans="1:17" x14ac:dyDescent="0.35">
      <c r="A22" s="17" t="s">
        <v>137</v>
      </c>
      <c r="B22" s="17"/>
      <c r="C22" s="17"/>
      <c r="D22" s="17"/>
      <c r="G22" s="689">
        <f>HLOOKUP($G$3,'[1]A1.)RatesInput'!$D$63:$J$83,'[1]A1.)RatesInput'!$A$81,0)</f>
        <v>1.0119199999999999</v>
      </c>
      <c r="H22" s="2"/>
      <c r="K22" s="165" t="s">
        <v>111</v>
      </c>
      <c r="L22" s="164">
        <f>$L$7</f>
        <v>0</v>
      </c>
      <c r="M22" s="164" t="str">
        <f>$M$7</f>
        <v>-</v>
      </c>
      <c r="N22" s="164">
        <f>$N$7</f>
        <v>5</v>
      </c>
      <c r="O22" s="735">
        <f>'[2]4C.)HY_DemandRatePxOut(Rate I)'!$L$141</f>
        <v>1.9111111111111112</v>
      </c>
      <c r="P22" s="735">
        <f>'[2]4C.)HY_DemandRatePxOut(Rate I)'!$M$141</f>
        <v>1525.4389003386507</v>
      </c>
      <c r="Q22" s="735">
        <f>'[2]4B.)HY_EnergyRatePxOut(Rate I)'!$M$145</f>
        <v>0</v>
      </c>
    </row>
    <row r="23" spans="1:17" x14ac:dyDescent="0.35">
      <c r="A23" s="17" t="s">
        <v>136</v>
      </c>
      <c r="B23" s="17"/>
      <c r="C23" s="17"/>
      <c r="D23" s="17"/>
      <c r="G23" s="689">
        <f>HLOOKUP($G$3,'[1]A1.)RatesInput'!$D$63:$J$83,'[1]A1.)RatesInput'!$A$82,0)</f>
        <v>1.01067</v>
      </c>
      <c r="H23" s="2"/>
      <c r="K23" s="160" t="s">
        <v>111</v>
      </c>
      <c r="L23" s="159">
        <f>N22</f>
        <v>5</v>
      </c>
      <c r="M23" s="158" t="str">
        <f>$M$8</f>
        <v>-</v>
      </c>
      <c r="N23" s="157">
        <f>$N$8</f>
        <v>100</v>
      </c>
      <c r="O23" s="733">
        <f>'[2]4C.)HY_DemandRatePxOut(Rate I)'!$L$142</f>
        <v>114.66666666666666</v>
      </c>
      <c r="P23" s="733">
        <f>'[2]4C.)HY_DemandRatePxOut(Rate I)'!$M$142</f>
        <v>24810.113243329124</v>
      </c>
      <c r="Q23" s="733">
        <f>'[2]4B.)HY_EnergyRatePxOut(Rate I)'!$M$146</f>
        <v>0</v>
      </c>
    </row>
    <row r="24" spans="1:17" ht="15" thickBot="1" x14ac:dyDescent="0.4">
      <c r="A24" s="17"/>
      <c r="B24" s="17"/>
      <c r="C24" s="17"/>
      <c r="D24" s="17"/>
      <c r="G24" s="2"/>
      <c r="H24" s="2"/>
      <c r="K24" s="155" t="s">
        <v>111</v>
      </c>
      <c r="L24" s="154"/>
      <c r="M24" s="176" t="s">
        <v>141</v>
      </c>
      <c r="N24" s="154">
        <f>N23</f>
        <v>100</v>
      </c>
      <c r="O24" s="733">
        <f>'[2]4C.)HY_DemandRatePxOut(Rate I)'!$L$143</f>
        <v>227.42222222222222</v>
      </c>
      <c r="P24" s="733">
        <f>'[2]4C.)HY_DemandRatePxOut(Rate I)'!$M$143</f>
        <v>67528.367856332217</v>
      </c>
      <c r="Q24" s="171"/>
    </row>
    <row r="25" spans="1:17" ht="15.5" thickTop="1" thickBot="1" x14ac:dyDescent="0.4">
      <c r="F25" s="75" t="s">
        <v>145</v>
      </c>
      <c r="G25" s="868" t="str">
        <f>G$5</f>
        <v>ED shifting</v>
      </c>
      <c r="H25" s="2"/>
      <c r="K25" s="1"/>
      <c r="L25" s="1"/>
      <c r="M25"/>
      <c r="N25"/>
      <c r="O25" s="151">
        <f>SUM(O22:O24)</f>
        <v>344</v>
      </c>
      <c r="P25" s="151">
        <f>SUM(P22:P24)</f>
        <v>93863.919999999984</v>
      </c>
      <c r="Q25" s="151">
        <f>SUM(Q22:Q24)</f>
        <v>0</v>
      </c>
    </row>
    <row r="26" spans="1:17" x14ac:dyDescent="0.35">
      <c r="G26" s="135" t="s">
        <v>135</v>
      </c>
      <c r="H26" s="135" t="s">
        <v>134</v>
      </c>
    </row>
    <row r="27" spans="1:17" x14ac:dyDescent="0.35">
      <c r="A27" s="3" t="s">
        <v>302</v>
      </c>
      <c r="G27" s="245">
        <f>'8A.)HY_ED RevShifting'!$E$63</f>
        <v>1112014517</v>
      </c>
      <c r="H27" s="245">
        <f>'8A.)HY_ED RevShifting'!$D$63</f>
        <v>1099703098</v>
      </c>
      <c r="P27" s="28">
        <f>P8+P9+P13+P14+P18+P19+P23+P24</f>
        <v>39340290.355800964</v>
      </c>
    </row>
    <row r="28" spans="1:17" x14ac:dyDescent="0.35">
      <c r="A28" s="3" t="s">
        <v>130</v>
      </c>
      <c r="G28" s="245">
        <f>IF(ISNUMBER(HLOOKUP($G$25,'8A.)HY_ED RevShifting'!$G$56:$L$70,'8A.)HY_ED RevShifting'!$B$65,0)),HLOOKUP($G$25,'8A.)HY_ED RevShifting'!$G$56:$L$70,'8A.)HY_ED RevShifting'!$B$65,0),0)</f>
        <v>18050669</v>
      </c>
      <c r="H28" s="245">
        <f>ROUND(G28/G21,0)</f>
        <v>17852859</v>
      </c>
    </row>
    <row r="29" spans="1:17" x14ac:dyDescent="0.35">
      <c r="A29" s="3" t="s">
        <v>763</v>
      </c>
      <c r="G29" s="245">
        <f>'8A.)HY_ED RevShifting'!$G$63</f>
        <v>1130065186</v>
      </c>
      <c r="H29" s="245"/>
    </row>
    <row r="31" spans="1:17" s="88" customFormat="1" x14ac:dyDescent="0.35"/>
    <row r="32" spans="1:17" x14ac:dyDescent="0.35">
      <c r="A32" s="70" t="str">
        <f>'9C.)HL_RedgnRate_SC5_I'!$A$32</f>
        <v>Rate Redesigned at Current Rate Level to Reflect ECOS % HT/LT Indication - 3/3</v>
      </c>
      <c r="B32" s="70"/>
      <c r="C32" s="70"/>
      <c r="D32" s="70"/>
    </row>
    <row r="33" spans="1:14" x14ac:dyDescent="0.35">
      <c r="A33" s="197" t="str">
        <f>CONCATENATE($A$2," ",$A$3)</f>
        <v>SC9 Rate I</v>
      </c>
      <c r="E33" s="100" t="s">
        <v>296</v>
      </c>
      <c r="F33" s="808">
        <f>'9A.)HL_RedesignRateSummary'!$F$4</f>
        <v>2019</v>
      </c>
    </row>
    <row r="34" spans="1:14" x14ac:dyDescent="0.35">
      <c r="A34" s="197"/>
      <c r="E34" s="100" t="s">
        <v>297</v>
      </c>
      <c r="F34" s="808">
        <f>'9A.)HL_RedesignRateSummary'!$F$5</f>
        <v>2017</v>
      </c>
    </row>
    <row r="35" spans="1:14" x14ac:dyDescent="0.35">
      <c r="B35" s="197"/>
      <c r="C35" s="197"/>
      <c r="D35" s="197"/>
      <c r="E35" s="100" t="s">
        <v>2150</v>
      </c>
      <c r="F35" s="808">
        <f>'9A.)HL_RedesignRateSummary'!F3</f>
        <v>2020</v>
      </c>
      <c r="G35" s="3" t="str">
        <f>'9A.)HL_RedesignRateSummary'!G3</f>
        <v>RY1</v>
      </c>
    </row>
    <row r="36" spans="1:14" x14ac:dyDescent="0.35">
      <c r="A36" s="334" t="s">
        <v>1541</v>
      </c>
    </row>
    <row r="37" spans="1:14" x14ac:dyDescent="0.35">
      <c r="A37" s="334"/>
    </row>
    <row r="38" spans="1:14" x14ac:dyDescent="0.35">
      <c r="A38" s="838" t="s">
        <v>378</v>
      </c>
      <c r="E38" s="198"/>
      <c r="K38" s="3" t="s">
        <v>1082</v>
      </c>
    </row>
    <row r="39" spans="1:14" ht="15" thickBot="1" x14ac:dyDescent="0.4">
      <c r="A39" s="197"/>
      <c r="E39" s="198"/>
    </row>
    <row r="40" spans="1:14" ht="15.5" thickTop="1" thickBot="1" x14ac:dyDescent="0.4">
      <c r="B40" s="199"/>
      <c r="C40" s="199"/>
      <c r="D40" s="199"/>
      <c r="E40" s="1316" t="s">
        <v>168</v>
      </c>
      <c r="F40" s="1317"/>
      <c r="G40" s="1317"/>
      <c r="H40" s="1318"/>
      <c r="J40" s="1316" t="s">
        <v>169</v>
      </c>
      <c r="K40" s="1317"/>
      <c r="L40" s="1317"/>
      <c r="M40" s="1317"/>
      <c r="N40" s="1318"/>
    </row>
    <row r="41" spans="1:14" ht="15" thickTop="1" x14ac:dyDescent="0.35">
      <c r="E41" s="1333" t="s">
        <v>171</v>
      </c>
      <c r="F41" s="1333"/>
      <c r="G41" s="30" t="s">
        <v>173</v>
      </c>
      <c r="H41" s="30" t="s">
        <v>174</v>
      </c>
      <c r="J41" s="1334" t="s">
        <v>176</v>
      </c>
      <c r="K41" s="1334"/>
      <c r="L41" s="30" t="s">
        <v>173</v>
      </c>
      <c r="M41" s="30" t="s">
        <v>174</v>
      </c>
      <c r="N41" s="30" t="s">
        <v>1</v>
      </c>
    </row>
    <row r="42" spans="1:14" x14ac:dyDescent="0.35">
      <c r="A42" s="199">
        <f>$G$3</f>
        <v>2017</v>
      </c>
      <c r="E42" s="118" t="s">
        <v>8</v>
      </c>
      <c r="F42" s="118" t="s">
        <v>9</v>
      </c>
      <c r="G42" s="30" t="s">
        <v>172</v>
      </c>
      <c r="H42" s="30" t="s">
        <v>175</v>
      </c>
      <c r="J42" s="118" t="s">
        <v>8</v>
      </c>
      <c r="K42" s="118" t="s">
        <v>9</v>
      </c>
      <c r="L42" s="30" t="s">
        <v>172</v>
      </c>
      <c r="M42" s="30" t="s">
        <v>175</v>
      </c>
    </row>
    <row r="43" spans="1:14" x14ac:dyDescent="0.35">
      <c r="E43" s="200" t="s">
        <v>79</v>
      </c>
      <c r="F43" s="200" t="s">
        <v>78</v>
      </c>
      <c r="G43" s="200" t="s">
        <v>181</v>
      </c>
      <c r="H43" s="200" t="s">
        <v>180</v>
      </c>
      <c r="J43" s="200" t="s">
        <v>177</v>
      </c>
      <c r="K43" s="200" t="s">
        <v>178</v>
      </c>
      <c r="L43" s="200" t="s">
        <v>179</v>
      </c>
      <c r="M43" s="200" t="s">
        <v>182</v>
      </c>
      <c r="N43" s="200" t="s">
        <v>183</v>
      </c>
    </row>
    <row r="44" spans="1:14" x14ac:dyDescent="0.35">
      <c r="A44" s="3" t="str">
        <f>CONCATENATE($A$2," NTD")</f>
        <v>SC9 NTD</v>
      </c>
      <c r="E44" s="27">
        <f>G7</f>
        <v>21.76</v>
      </c>
      <c r="F44" s="27">
        <f>G6</f>
        <v>33.65</v>
      </c>
      <c r="G44" s="35">
        <f>F44-E44</f>
        <v>11.889999999999997</v>
      </c>
      <c r="H44" s="871">
        <f>E44/F44</f>
        <v>0.64665676077265977</v>
      </c>
      <c r="J44" s="27">
        <f>G9</f>
        <v>15.96</v>
      </c>
      <c r="K44" s="27">
        <f>G8</f>
        <v>22.21</v>
      </c>
      <c r="L44" s="228">
        <f>K44-J44</f>
        <v>6.25</v>
      </c>
      <c r="M44" s="871">
        <f>ROUND(J44/K44,2)</f>
        <v>0.72</v>
      </c>
      <c r="N44" s="201">
        <f>M44-H44</f>
        <v>7.3343239227340207E-2</v>
      </c>
    </row>
    <row r="46" spans="1:14" x14ac:dyDescent="0.35">
      <c r="J46" s="33" t="s">
        <v>520</v>
      </c>
      <c r="K46" s="40">
        <f>'9C.)HL_RedgnRate_SC5_I'!$K$46</f>
        <v>3</v>
      </c>
      <c r="L46" s="136" t="s">
        <v>165</v>
      </c>
    </row>
    <row r="47" spans="1:14" ht="15" thickBot="1" x14ac:dyDescent="0.4">
      <c r="A47" s="838" t="s">
        <v>379</v>
      </c>
      <c r="J47" s="33" t="s">
        <v>294</v>
      </c>
      <c r="K47" s="40">
        <f>'9C.)HL_RedgnRate_SC5_I'!$K$47</f>
        <v>3</v>
      </c>
      <c r="L47" s="136" t="s">
        <v>166</v>
      </c>
    </row>
    <row r="48" spans="1:14" ht="15.5" thickTop="1" thickBot="1" x14ac:dyDescent="0.4">
      <c r="B48" s="197"/>
      <c r="C48" s="197"/>
      <c r="D48" s="197"/>
      <c r="H48" s="1327" t="s">
        <v>293</v>
      </c>
      <c r="I48" s="1047" t="s">
        <v>293</v>
      </c>
      <c r="J48" s="1327" t="s">
        <v>168</v>
      </c>
      <c r="K48" s="1047" t="s">
        <v>190</v>
      </c>
      <c r="L48" s="1047" t="s">
        <v>261</v>
      </c>
      <c r="M48" s="1063" t="s">
        <v>2060</v>
      </c>
    </row>
    <row r="49" spans="1:16" ht="15.5" thickTop="1" thickBot="1" x14ac:dyDescent="0.4">
      <c r="B49" s="197"/>
      <c r="C49" s="197"/>
      <c r="D49" s="197"/>
      <c r="E49" s="1335" t="s">
        <v>250</v>
      </c>
      <c r="F49" s="1336"/>
      <c r="G49" s="1337"/>
      <c r="H49" s="1328"/>
      <c r="I49" s="1048" t="s">
        <v>187</v>
      </c>
      <c r="J49" s="1328"/>
      <c r="K49" s="1048" t="s">
        <v>191</v>
      </c>
      <c r="L49" s="1048" t="s">
        <v>187</v>
      </c>
      <c r="M49" s="1064" t="s">
        <v>2061</v>
      </c>
    </row>
    <row r="50" spans="1:16" ht="17" thickTop="1" x14ac:dyDescent="0.35">
      <c r="B50" s="197"/>
      <c r="C50" s="197"/>
      <c r="D50" s="197"/>
      <c r="E50" s="30" t="s">
        <v>42</v>
      </c>
      <c r="F50" s="30" t="s">
        <v>40</v>
      </c>
      <c r="G50" s="30" t="s">
        <v>208</v>
      </c>
      <c r="H50" s="1049" t="s">
        <v>258</v>
      </c>
      <c r="I50" s="1049" t="s">
        <v>257</v>
      </c>
      <c r="J50" s="265" t="s">
        <v>292</v>
      </c>
      <c r="K50" s="199" t="s">
        <v>389</v>
      </c>
      <c r="L50" s="199" t="s">
        <v>390</v>
      </c>
      <c r="M50" s="199"/>
    </row>
    <row r="51" spans="1:16" x14ac:dyDescent="0.35">
      <c r="B51" s="197"/>
      <c r="C51" s="197"/>
      <c r="D51" s="197"/>
      <c r="E51" s="200" t="s">
        <v>109</v>
      </c>
      <c r="F51" s="200" t="s">
        <v>108</v>
      </c>
      <c r="G51" s="671" t="s">
        <v>2054</v>
      </c>
      <c r="H51" s="200" t="s">
        <v>2055</v>
      </c>
      <c r="I51" s="200" t="s">
        <v>2056</v>
      </c>
      <c r="J51" s="200" t="s">
        <v>2057</v>
      </c>
      <c r="K51" s="671" t="s">
        <v>2058</v>
      </c>
      <c r="L51" s="671" t="s">
        <v>2059</v>
      </c>
    </row>
    <row r="52" spans="1:16" ht="15" thickBot="1" x14ac:dyDescent="0.4">
      <c r="A52" s="3" t="s">
        <v>255</v>
      </c>
      <c r="B52" s="829" t="s">
        <v>251</v>
      </c>
      <c r="C52" s="829" t="s">
        <v>143</v>
      </c>
      <c r="D52" s="567">
        <v>5</v>
      </c>
      <c r="E52" s="27">
        <f>ROUND(G12/$D52,2)</f>
        <v>35.35</v>
      </c>
      <c r="F52" s="27">
        <f>ROUND(G14/$D52,2)</f>
        <v>28.24</v>
      </c>
      <c r="G52" s="27">
        <f>ROUND((E52*4+F52*8)/12,2)</f>
        <v>30.61</v>
      </c>
    </row>
    <row r="53" spans="1:16" ht="15" thickBot="1" x14ac:dyDescent="0.4">
      <c r="A53" s="3" t="s">
        <v>256</v>
      </c>
      <c r="B53" s="108"/>
      <c r="C53" s="829" t="s">
        <v>141</v>
      </c>
      <c r="D53" s="567">
        <f>D52</f>
        <v>5</v>
      </c>
      <c r="E53" s="268">
        <f>G13</f>
        <v>25.83</v>
      </c>
      <c r="F53" s="269">
        <f>G15</f>
        <v>20.399999999999999</v>
      </c>
      <c r="G53" s="27">
        <f>ROUND((E53*4+F53*8)/12,2)</f>
        <v>22.21</v>
      </c>
      <c r="I53" s="3"/>
      <c r="J53" s="30"/>
      <c r="K53" s="30"/>
    </row>
    <row r="54" spans="1:16" x14ac:dyDescent="0.35">
      <c r="C54" s="123"/>
      <c r="D54" s="36"/>
      <c r="E54" s="198"/>
      <c r="I54" s="30"/>
      <c r="K54" s="30"/>
    </row>
    <row r="55" spans="1:16" ht="15" thickBot="1" x14ac:dyDescent="0.4">
      <c r="A55" s="3" t="s">
        <v>259</v>
      </c>
      <c r="B55" s="123" t="str">
        <f>$B$52</f>
        <v>0</v>
      </c>
      <c r="C55" s="123" t="str">
        <f>$C$52</f>
        <v>-</v>
      </c>
      <c r="D55" s="123">
        <f>$D$52</f>
        <v>5</v>
      </c>
      <c r="E55" s="27">
        <f>ROUND(G16/$D55,2)</f>
        <v>27.33</v>
      </c>
      <c r="F55" s="27">
        <f>ROUND(G18/$D55,2)</f>
        <v>20.23</v>
      </c>
      <c r="G55" s="27">
        <f>ROUND((E55*4+F55*8)/12,2)</f>
        <v>22.6</v>
      </c>
      <c r="H55" s="521">
        <f>G52-G55</f>
        <v>8.009999999999998</v>
      </c>
      <c r="I55" s="81">
        <f>ROUND(G55/G52,2)</f>
        <v>0.74</v>
      </c>
      <c r="J55" s="203">
        <f>H44</f>
        <v>0.64665676077265977</v>
      </c>
      <c r="K55" s="870">
        <f>ROUND(I55-ROUND((I55-J55)*(K46/$K$47),4),2)</f>
        <v>0.65</v>
      </c>
      <c r="L55" s="314">
        <f>ROUND(H55/(1-I55)*(1-K55),2)</f>
        <v>10.78</v>
      </c>
      <c r="M55" s="35">
        <f>ROUND((L55-H55)*D55,2)</f>
        <v>13.85</v>
      </c>
      <c r="N55" s="3" t="s">
        <v>298</v>
      </c>
      <c r="O55" s="136" t="s">
        <v>262</v>
      </c>
    </row>
    <row r="56" spans="1:16" ht="15" thickBot="1" x14ac:dyDescent="0.4">
      <c r="A56" s="3" t="s">
        <v>260</v>
      </c>
      <c r="C56" s="123" t="str">
        <f>$C$53</f>
        <v>&gt;</v>
      </c>
      <c r="D56" s="123">
        <f>$D$53</f>
        <v>5</v>
      </c>
      <c r="E56" s="268">
        <f>G17</f>
        <v>19.59</v>
      </c>
      <c r="F56" s="269">
        <f>G19</f>
        <v>14.139999999999999</v>
      </c>
      <c r="G56" s="27">
        <f>ROUND((E56*4+F56*8)/12,2)</f>
        <v>15.96</v>
      </c>
      <c r="H56" s="521">
        <f>G53-G56</f>
        <v>6.25</v>
      </c>
      <c r="I56" s="81">
        <f>ROUND(G56/G53,2)</f>
        <v>0.72</v>
      </c>
      <c r="J56" s="203">
        <f>H44</f>
        <v>0.64665676077265977</v>
      </c>
      <c r="K56" s="870">
        <f>ROUND(I56-ROUND((I56-J56)*(K46/$K$47),4),2)</f>
        <v>0.65</v>
      </c>
      <c r="L56" s="314">
        <f>ROUND(H56/(1-I56)*(1-K56),2)</f>
        <v>7.81</v>
      </c>
      <c r="M56" s="35">
        <f>ROUND((L56-H56),2)</f>
        <v>1.56</v>
      </c>
      <c r="N56" s="3" t="s">
        <v>188</v>
      </c>
      <c r="O56" s="136" t="s">
        <v>263</v>
      </c>
    </row>
    <row r="57" spans="1:16" x14ac:dyDescent="0.35">
      <c r="A57" s="197"/>
      <c r="B57" s="197"/>
      <c r="C57" s="197"/>
      <c r="D57" s="197"/>
      <c r="E57" s="198"/>
    </row>
    <row r="58" spans="1:16" x14ac:dyDescent="0.35">
      <c r="A58" s="197"/>
      <c r="B58" s="197"/>
      <c r="C58" s="197"/>
      <c r="D58" s="197"/>
      <c r="E58" s="198"/>
      <c r="L58" s="592"/>
      <c r="M58" s="27"/>
    </row>
    <row r="59" spans="1:16" x14ac:dyDescent="0.35">
      <c r="A59" s="838" t="s">
        <v>380</v>
      </c>
      <c r="B59" s="197"/>
      <c r="C59" s="197"/>
      <c r="D59" s="197"/>
      <c r="E59" s="198"/>
      <c r="M59" s="593"/>
    </row>
    <row r="60" spans="1:16" ht="15" thickBot="1" x14ac:dyDescent="0.4">
      <c r="A60" s="197"/>
      <c r="B60" s="197"/>
      <c r="C60" s="197"/>
      <c r="D60" s="197"/>
      <c r="E60" s="198"/>
      <c r="M60" s="203"/>
      <c r="N60" s="33" t="s">
        <v>382</v>
      </c>
      <c r="O60" s="83">
        <f>F65</f>
        <v>141.21</v>
      </c>
      <c r="P60" s="136" t="s">
        <v>2064</v>
      </c>
    </row>
    <row r="61" spans="1:16" ht="15.5" thickTop="1" thickBot="1" x14ac:dyDescent="0.4">
      <c r="E61" s="1338" t="s">
        <v>397</v>
      </c>
      <c r="F61" s="1339"/>
      <c r="H61" s="1329" t="s">
        <v>377</v>
      </c>
      <c r="I61" s="1330"/>
      <c r="J61" s="1330"/>
      <c r="K61" s="1330"/>
      <c r="L61" s="1330"/>
      <c r="M61" s="1330"/>
      <c r="N61" s="1330"/>
      <c r="O61" s="1331"/>
    </row>
    <row r="62" spans="1:16" ht="15.5" thickTop="1" thickBot="1" x14ac:dyDescent="0.4">
      <c r="A62" s="197" t="str">
        <f>CONCATENATE($A$2," ",$A$3)</f>
        <v>SC9 Rate I</v>
      </c>
      <c r="B62" s="197"/>
      <c r="C62" s="197"/>
      <c r="D62" s="197"/>
      <c r="E62" s="1307" t="s">
        <v>250</v>
      </c>
      <c r="F62" s="1309"/>
      <c r="H62" s="1307" t="s">
        <v>254</v>
      </c>
      <c r="I62" s="1309"/>
      <c r="J62" s="1307" t="s">
        <v>299</v>
      </c>
      <c r="K62" s="1309"/>
      <c r="L62" s="1307" t="s">
        <v>77</v>
      </c>
      <c r="M62" s="1309"/>
      <c r="N62" s="1307" t="s">
        <v>381</v>
      </c>
      <c r="O62" s="1309"/>
    </row>
    <row r="63" spans="1:16" ht="15" thickTop="1" x14ac:dyDescent="0.35">
      <c r="A63" s="197"/>
      <c r="B63" s="197"/>
      <c r="C63" s="197"/>
      <c r="D63" s="197"/>
      <c r="E63" s="30" t="s">
        <v>42</v>
      </c>
      <c r="F63" s="30" t="s">
        <v>40</v>
      </c>
      <c r="G63" s="33"/>
      <c r="H63" s="30" t="s">
        <v>42</v>
      </c>
      <c r="I63" s="30" t="s">
        <v>40</v>
      </c>
      <c r="J63" s="30" t="s">
        <v>42</v>
      </c>
      <c r="K63" s="30" t="s">
        <v>40</v>
      </c>
      <c r="L63" s="30" t="s">
        <v>42</v>
      </c>
      <c r="M63" s="30" t="s">
        <v>40</v>
      </c>
      <c r="N63" s="30" t="s">
        <v>42</v>
      </c>
      <c r="O63" s="30" t="s">
        <v>40</v>
      </c>
    </row>
    <row r="64" spans="1:16" ht="15" thickBot="1" x14ac:dyDescent="0.4">
      <c r="A64" s="197"/>
      <c r="B64" s="197"/>
      <c r="C64" s="197"/>
      <c r="D64" s="197"/>
      <c r="E64" s="200" t="s">
        <v>50</v>
      </c>
      <c r="F64" s="200" t="s">
        <v>49</v>
      </c>
      <c r="G64" s="33" t="s">
        <v>388</v>
      </c>
      <c r="H64" s="200" t="s">
        <v>2066</v>
      </c>
      <c r="I64" s="30"/>
      <c r="J64" s="330">
        <f>M55</f>
        <v>13.85</v>
      </c>
      <c r="K64" s="136" t="s">
        <v>1733</v>
      </c>
      <c r="L64" s="30"/>
      <c r="M64" s="30"/>
      <c r="N64" s="30"/>
      <c r="O64" s="30"/>
    </row>
    <row r="65" spans="1:16" ht="15" thickBot="1" x14ac:dyDescent="0.4">
      <c r="A65" s="3" t="s">
        <v>252</v>
      </c>
      <c r="B65" s="123" t="str">
        <f>$B$52</f>
        <v>0</v>
      </c>
      <c r="C65" s="123" t="str">
        <f>$C$52</f>
        <v>-</v>
      </c>
      <c r="D65" s="123">
        <f>$D$52</f>
        <v>5</v>
      </c>
      <c r="E65" s="312">
        <f>G12</f>
        <v>176.77</v>
      </c>
      <c r="F65" s="312">
        <f>G14</f>
        <v>141.21</v>
      </c>
      <c r="G65" s="33" t="s">
        <v>384</v>
      </c>
      <c r="H65" s="313">
        <f>E65-$F$65</f>
        <v>35.56</v>
      </c>
      <c r="I65" s="314"/>
      <c r="J65" s="313">
        <f>H65</f>
        <v>35.56</v>
      </c>
      <c r="K65" s="314"/>
      <c r="L65" s="315" t="str">
        <f>CONCATENATE($M$65," + ",J65)</f>
        <v>X + 35.56</v>
      </c>
      <c r="M65" s="316" t="s">
        <v>32</v>
      </c>
      <c r="N65" s="315">
        <f>$O$60+J65</f>
        <v>176.77</v>
      </c>
      <c r="O65" s="316">
        <f>$O$60+K65</f>
        <v>141.21</v>
      </c>
    </row>
    <row r="66" spans="1:16" ht="15" thickBot="1" x14ac:dyDescent="0.4">
      <c r="C66" s="123" t="str">
        <f>$C$53</f>
        <v>&gt;</v>
      </c>
      <c r="D66" s="123">
        <f>$D$53</f>
        <v>5</v>
      </c>
      <c r="E66" s="321">
        <f>G13</f>
        <v>25.83</v>
      </c>
      <c r="F66" s="322">
        <f>G15</f>
        <v>20.399999999999999</v>
      </c>
      <c r="G66" s="33"/>
      <c r="H66" s="313"/>
      <c r="I66" s="314"/>
      <c r="J66" s="313"/>
      <c r="K66" s="314"/>
      <c r="L66" s="317"/>
      <c r="M66" s="318"/>
      <c r="N66" s="317"/>
      <c r="O66" s="318"/>
    </row>
    <row r="67" spans="1:16" x14ac:dyDescent="0.35">
      <c r="C67" s="123"/>
      <c r="D67" s="36"/>
      <c r="E67" s="200" t="s">
        <v>48</v>
      </c>
      <c r="F67" s="200" t="s">
        <v>47</v>
      </c>
      <c r="H67" s="200" t="s">
        <v>2067</v>
      </c>
      <c r="I67" s="200" t="s">
        <v>2068</v>
      </c>
      <c r="J67" s="200" t="s">
        <v>2069</v>
      </c>
      <c r="K67" s="200" t="s">
        <v>2070</v>
      </c>
      <c r="L67" s="337"/>
      <c r="M67" s="338"/>
      <c r="N67" s="337"/>
      <c r="O67" s="338"/>
    </row>
    <row r="68" spans="1:16" ht="15" thickBot="1" x14ac:dyDescent="0.4">
      <c r="A68" s="3" t="s">
        <v>253</v>
      </c>
      <c r="B68" s="123" t="str">
        <f>$B$52</f>
        <v>0</v>
      </c>
      <c r="C68" s="123" t="str">
        <f>$C$52</f>
        <v>-</v>
      </c>
      <c r="D68" s="123">
        <f>$D$52</f>
        <v>5</v>
      </c>
      <c r="E68" s="312">
        <f>G16</f>
        <v>136.66</v>
      </c>
      <c r="F68" s="312">
        <f>G18</f>
        <v>101.15</v>
      </c>
      <c r="G68" s="33" t="s">
        <v>385</v>
      </c>
      <c r="H68" s="313">
        <f>E68-$F$65</f>
        <v>-4.5500000000000114</v>
      </c>
      <c r="I68" s="313">
        <f>F68-$F$65</f>
        <v>-40.06</v>
      </c>
      <c r="J68" s="313">
        <f>H68-$J$64</f>
        <v>-18.400000000000013</v>
      </c>
      <c r="K68" s="313">
        <f>I68-$J$64</f>
        <v>-53.910000000000004</v>
      </c>
      <c r="L68" s="319" t="str">
        <f>CONCATENATE($M$65," + ",FIXED(J68,2))</f>
        <v>X + -18.40</v>
      </c>
      <c r="M68" s="320" t="str">
        <f>CONCATENATE($M$65," + ",K68)</f>
        <v>X + -53.91</v>
      </c>
      <c r="N68" s="319">
        <f>$O$60+J68</f>
        <v>122.81</v>
      </c>
      <c r="O68" s="320">
        <f>$O$60+K68</f>
        <v>87.300000000000011</v>
      </c>
    </row>
    <row r="69" spans="1:16" ht="15" thickBot="1" x14ac:dyDescent="0.4">
      <c r="C69" s="123" t="str">
        <f>$C$53</f>
        <v>&gt;</v>
      </c>
      <c r="D69" s="123">
        <f>$D$53</f>
        <v>5</v>
      </c>
      <c r="E69" s="321">
        <f>G17</f>
        <v>19.59</v>
      </c>
      <c r="F69" s="322">
        <f>G19</f>
        <v>14.139999999999999</v>
      </c>
      <c r="G69" s="33"/>
    </row>
    <row r="70" spans="1:16" ht="15" thickBot="1" x14ac:dyDescent="0.4">
      <c r="A70" s="197"/>
      <c r="B70" s="197"/>
      <c r="C70" s="197"/>
      <c r="D70" s="197"/>
      <c r="E70" s="198"/>
      <c r="G70" s="33"/>
      <c r="N70" s="33" t="s">
        <v>383</v>
      </c>
      <c r="O70" s="83">
        <f>F66</f>
        <v>20.399999999999999</v>
      </c>
      <c r="P70" s="136" t="s">
        <v>2065</v>
      </c>
    </row>
    <row r="71" spans="1:16" ht="15.5" thickTop="1" thickBot="1" x14ac:dyDescent="0.4">
      <c r="A71" s="197"/>
      <c r="B71" s="197"/>
      <c r="C71" s="197"/>
      <c r="D71" s="197"/>
      <c r="E71" s="198"/>
      <c r="G71" s="33"/>
      <c r="H71" s="1329" t="s">
        <v>376</v>
      </c>
      <c r="I71" s="1330"/>
      <c r="J71" s="1330"/>
      <c r="K71" s="1330"/>
      <c r="L71" s="1330"/>
      <c r="M71" s="1330"/>
      <c r="N71" s="1330"/>
      <c r="O71" s="1331"/>
    </row>
    <row r="72" spans="1:16" ht="15.5" thickTop="1" thickBot="1" x14ac:dyDescent="0.4">
      <c r="A72" s="197"/>
      <c r="B72" s="197"/>
      <c r="C72" s="197"/>
      <c r="D72" s="197"/>
      <c r="E72" s="198"/>
      <c r="G72" s="33"/>
      <c r="H72" s="1307" t="s">
        <v>254</v>
      </c>
      <c r="I72" s="1309"/>
      <c r="J72" s="1307" t="s">
        <v>299</v>
      </c>
      <c r="K72" s="1309"/>
      <c r="L72" s="1307" t="s">
        <v>77</v>
      </c>
      <c r="M72" s="1309"/>
      <c r="N72" s="1307" t="s">
        <v>381</v>
      </c>
      <c r="O72" s="1309"/>
    </row>
    <row r="73" spans="1:16" ht="15" thickTop="1" x14ac:dyDescent="0.35">
      <c r="A73" s="197"/>
      <c r="B73" s="197"/>
      <c r="C73" s="197"/>
      <c r="D73" s="197"/>
      <c r="E73" s="198"/>
      <c r="G73" s="33"/>
      <c r="H73" s="30" t="s">
        <v>42</v>
      </c>
      <c r="I73" s="30" t="s">
        <v>40</v>
      </c>
      <c r="J73" s="30" t="s">
        <v>42</v>
      </c>
      <c r="K73" s="30" t="s">
        <v>40</v>
      </c>
      <c r="L73" s="30" t="s">
        <v>42</v>
      </c>
      <c r="M73" s="30" t="s">
        <v>40</v>
      </c>
      <c r="N73" s="30" t="s">
        <v>42</v>
      </c>
      <c r="O73" s="30" t="s">
        <v>40</v>
      </c>
    </row>
    <row r="74" spans="1:16" ht="15" thickBot="1" x14ac:dyDescent="0.4">
      <c r="A74" s="197"/>
      <c r="B74" s="197"/>
      <c r="C74" s="197"/>
      <c r="D74" s="197"/>
      <c r="E74" s="198"/>
      <c r="G74" s="33" t="s">
        <v>388</v>
      </c>
      <c r="H74" s="200" t="s">
        <v>2066</v>
      </c>
      <c r="I74" s="30"/>
      <c r="J74" s="330">
        <f>M56</f>
        <v>1.56</v>
      </c>
      <c r="K74" s="136" t="s">
        <v>1734</v>
      </c>
      <c r="L74" s="30"/>
      <c r="M74" s="30"/>
      <c r="N74" s="30"/>
      <c r="O74" s="30"/>
    </row>
    <row r="75" spans="1:16" x14ac:dyDescent="0.35">
      <c r="A75" s="197"/>
      <c r="B75" s="197"/>
      <c r="C75" s="197"/>
      <c r="D75" s="197"/>
      <c r="E75" s="198"/>
      <c r="G75" s="33" t="s">
        <v>386</v>
      </c>
      <c r="H75" s="323">
        <f>E66-$F$66</f>
        <v>5.43</v>
      </c>
      <c r="I75" s="323"/>
      <c r="J75" s="340">
        <f>H75</f>
        <v>5.43</v>
      </c>
      <c r="K75" s="340"/>
      <c r="L75" s="324" t="str">
        <f>CONCATENATE($M$75," + ",J75)</f>
        <v>X + 5.43</v>
      </c>
      <c r="M75" s="325" t="s">
        <v>32</v>
      </c>
      <c r="N75" s="324">
        <f>$O$70+J75</f>
        <v>25.83</v>
      </c>
      <c r="O75" s="325">
        <f>O70</f>
        <v>20.399999999999999</v>
      </c>
    </row>
    <row r="76" spans="1:16" x14ac:dyDescent="0.35">
      <c r="A76" s="197"/>
      <c r="B76" s="197"/>
      <c r="C76" s="197"/>
      <c r="D76" s="197"/>
      <c r="E76" s="198"/>
      <c r="G76" s="33"/>
      <c r="H76" s="200" t="s">
        <v>2067</v>
      </c>
      <c r="I76" s="200" t="s">
        <v>2068</v>
      </c>
      <c r="J76" s="200" t="s">
        <v>2071</v>
      </c>
      <c r="K76" s="200" t="s">
        <v>2072</v>
      </c>
      <c r="L76" s="326"/>
      <c r="M76" s="327"/>
      <c r="N76" s="326"/>
      <c r="O76" s="327"/>
    </row>
    <row r="77" spans="1:16" ht="15" thickBot="1" x14ac:dyDescent="0.4">
      <c r="A77" s="197"/>
      <c r="B77" s="197"/>
      <c r="C77" s="197"/>
      <c r="D77" s="197"/>
      <c r="E77" s="198"/>
      <c r="G77" s="33" t="s">
        <v>387</v>
      </c>
      <c r="H77" s="323">
        <f>E69-$F$66</f>
        <v>-0.80999999999999872</v>
      </c>
      <c r="I77" s="323">
        <f>F69-$F$66</f>
        <v>-6.26</v>
      </c>
      <c r="J77" s="340">
        <f>H77-$J$74</f>
        <v>-2.3699999999999988</v>
      </c>
      <c r="K77" s="340">
        <f>I77-$J$74</f>
        <v>-7.82</v>
      </c>
      <c r="L77" s="328" t="str">
        <f>CONCATENATE($M$75," + ",J77)</f>
        <v>X + -2.37</v>
      </c>
      <c r="M77" s="329" t="str">
        <f>CONCATENATE($M$75," + ",K77)</f>
        <v>X + -7.82</v>
      </c>
      <c r="N77" s="328">
        <f>$O$70+J77</f>
        <v>18.03</v>
      </c>
      <c r="O77" s="329">
        <f>$O$70+K77</f>
        <v>12.579999999999998</v>
      </c>
    </row>
    <row r="78" spans="1:16" x14ac:dyDescent="0.35">
      <c r="A78" s="197"/>
      <c r="B78" s="197"/>
      <c r="C78" s="197"/>
      <c r="D78" s="197"/>
      <c r="E78" s="198"/>
      <c r="G78" s="33"/>
    </row>
    <row r="79" spans="1:16" x14ac:dyDescent="0.35">
      <c r="A79" s="407" t="s">
        <v>1543</v>
      </c>
      <c r="B79" s="197"/>
      <c r="C79" s="197"/>
      <c r="D79" s="197"/>
      <c r="E79" s="198"/>
    </row>
    <row r="80" spans="1:16" x14ac:dyDescent="0.35">
      <c r="A80"/>
      <c r="B80"/>
      <c r="C80"/>
      <c r="D80"/>
      <c r="F80" s="135" t="s">
        <v>26</v>
      </c>
      <c r="G80" s="135" t="s">
        <v>116</v>
      </c>
      <c r="H80" s="135" t="s">
        <v>115</v>
      </c>
      <c r="L80" s="35"/>
      <c r="M80" s="35"/>
      <c r="N80" s="35"/>
      <c r="O80" s="35"/>
    </row>
    <row r="81" spans="1:13" x14ac:dyDescent="0.35">
      <c r="A81" t="s">
        <v>114</v>
      </c>
      <c r="B81" s="296">
        <f>$L$7</f>
        <v>0</v>
      </c>
      <c r="C81" s="296" t="str">
        <f>$M$7</f>
        <v>-</v>
      </c>
      <c r="D81" s="296">
        <f>$N$7</f>
        <v>5</v>
      </c>
      <c r="E81" s="3" t="s">
        <v>25</v>
      </c>
      <c r="F81" s="484">
        <f>O10</f>
        <v>515026.99999999994</v>
      </c>
      <c r="G81" s="752">
        <f>G12</f>
        <v>176.77</v>
      </c>
      <c r="H81" s="134">
        <f>ROUND(F81*G81,0)</f>
        <v>91041323</v>
      </c>
      <c r="I81" s="136" t="s">
        <v>2073</v>
      </c>
    </row>
    <row r="82" spans="1:13" x14ac:dyDescent="0.35">
      <c r="A82" t="s">
        <v>113</v>
      </c>
      <c r="B82" s="296">
        <f>$L$12</f>
        <v>0</v>
      </c>
      <c r="C82" s="296" t="str">
        <f>$M$12</f>
        <v>-</v>
      </c>
      <c r="D82" s="296">
        <f>$N$12</f>
        <v>5</v>
      </c>
      <c r="E82" s="3" t="s">
        <v>25</v>
      </c>
      <c r="F82" s="484">
        <f>O15</f>
        <v>1029407</v>
      </c>
      <c r="G82" s="752">
        <f>G14</f>
        <v>141.21</v>
      </c>
      <c r="H82" s="134">
        <f>ROUND(F82*G82,0)</f>
        <v>145362562</v>
      </c>
      <c r="I82" s="136" t="s">
        <v>2074</v>
      </c>
      <c r="L82" s="35"/>
      <c r="M82" s="35"/>
    </row>
    <row r="83" spans="1:13" x14ac:dyDescent="0.35">
      <c r="A83" t="s">
        <v>112</v>
      </c>
      <c r="B83" s="296">
        <f>$L$17</f>
        <v>0</v>
      </c>
      <c r="C83" s="296" t="str">
        <f>$M$17</f>
        <v>-</v>
      </c>
      <c r="D83" s="296">
        <f>$N$17</f>
        <v>5</v>
      </c>
      <c r="E83" s="3" t="s">
        <v>25</v>
      </c>
      <c r="F83" s="484">
        <f>O20</f>
        <v>180</v>
      </c>
      <c r="G83" s="752">
        <f>N68</f>
        <v>122.81</v>
      </c>
      <c r="H83" s="134">
        <f>ROUND(F83*G83,0)</f>
        <v>22106</v>
      </c>
      <c r="I83" s="136" t="s">
        <v>2075</v>
      </c>
    </row>
    <row r="84" spans="1:13" x14ac:dyDescent="0.35">
      <c r="A84" t="s">
        <v>111</v>
      </c>
      <c r="B84" s="296">
        <f>$L$22</f>
        <v>0</v>
      </c>
      <c r="C84" s="296" t="str">
        <f>$M$22</f>
        <v>-</v>
      </c>
      <c r="D84" s="296">
        <f>$N$22</f>
        <v>5</v>
      </c>
      <c r="E84" s="3" t="s">
        <v>25</v>
      </c>
      <c r="F84" s="484">
        <f>O25</f>
        <v>344</v>
      </c>
      <c r="G84" s="752">
        <f>O68</f>
        <v>87.300000000000011</v>
      </c>
      <c r="H84" s="134">
        <f>ROUND(F84*G84,0)</f>
        <v>30031</v>
      </c>
      <c r="I84" s="136" t="s">
        <v>2076</v>
      </c>
    </row>
    <row r="85" spans="1:13" x14ac:dyDescent="0.35">
      <c r="A85" t="s">
        <v>110</v>
      </c>
      <c r="B85"/>
      <c r="C85"/>
      <c r="D85"/>
      <c r="F85"/>
      <c r="G85"/>
      <c r="H85" s="140">
        <f>SUM(H81:H84)</f>
        <v>236456022</v>
      </c>
      <c r="I85" s="136" t="s">
        <v>2077</v>
      </c>
    </row>
    <row r="86" spans="1:13" ht="15" thickBot="1" x14ac:dyDescent="0.4">
      <c r="A86" t="s">
        <v>391</v>
      </c>
      <c r="B86"/>
      <c r="C86"/>
      <c r="D86"/>
      <c r="F86"/>
      <c r="G86"/>
      <c r="H86" s="280"/>
      <c r="I86" s="136" t="s">
        <v>2078</v>
      </c>
    </row>
    <row r="87" spans="1:13" ht="15.5" thickTop="1" thickBot="1" x14ac:dyDescent="0.4">
      <c r="A87" t="s">
        <v>392</v>
      </c>
      <c r="B87"/>
      <c r="C87"/>
      <c r="D87"/>
      <c r="F87"/>
      <c r="G87"/>
      <c r="H87" s="138">
        <f>ROUND(H85*(1+H86),0)</f>
        <v>236456022</v>
      </c>
      <c r="I87" s="136" t="s">
        <v>2079</v>
      </c>
    </row>
    <row r="88" spans="1:13" ht="15" thickTop="1" x14ac:dyDescent="0.35">
      <c r="A88" s="197"/>
      <c r="B88" s="197"/>
      <c r="C88" s="197"/>
      <c r="D88" s="197"/>
      <c r="E88" s="198"/>
    </row>
    <row r="89" spans="1:13" x14ac:dyDescent="0.35">
      <c r="A89" s="197"/>
      <c r="B89" s="197"/>
      <c r="C89" s="197"/>
      <c r="D89" s="197"/>
      <c r="E89" s="198"/>
    </row>
    <row r="90" spans="1:13" x14ac:dyDescent="0.35">
      <c r="A90" s="407" t="s">
        <v>1542</v>
      </c>
      <c r="B90" s="197"/>
      <c r="C90" s="197"/>
      <c r="D90" s="197"/>
      <c r="E90" s="198"/>
    </row>
    <row r="91" spans="1:13" x14ac:dyDescent="0.35">
      <c r="A91" s="197" t="str">
        <f>CONCATENATE($A$2," ",$A$3)</f>
        <v>SC9 Rate I</v>
      </c>
      <c r="B91" s="197"/>
      <c r="C91" s="197"/>
      <c r="D91" s="197"/>
      <c r="E91" s="198"/>
    </row>
    <row r="92" spans="1:13" x14ac:dyDescent="0.35">
      <c r="A92" s="226" t="s">
        <v>301</v>
      </c>
      <c r="B92" s="197"/>
      <c r="C92" s="197"/>
      <c r="D92" s="197"/>
      <c r="E92" s="198"/>
      <c r="H92" s="278">
        <f>H27</f>
        <v>1099703098</v>
      </c>
      <c r="J92" s="136" t="s">
        <v>1694</v>
      </c>
    </row>
    <row r="93" spans="1:13" x14ac:dyDescent="0.35">
      <c r="A93" s="226" t="s">
        <v>303</v>
      </c>
      <c r="B93" s="197"/>
      <c r="C93" s="197"/>
      <c r="D93" s="197"/>
      <c r="E93" s="198"/>
      <c r="H93" s="279">
        <f>H28</f>
        <v>17852859</v>
      </c>
      <c r="J93" s="136" t="s">
        <v>1695</v>
      </c>
    </row>
    <row r="94" spans="1:13" x14ac:dyDescent="0.35">
      <c r="B94" s="197"/>
      <c r="C94" s="197"/>
      <c r="D94" s="197"/>
      <c r="E94" s="198"/>
      <c r="I94" s="277">
        <f>H92+H93</f>
        <v>1117555957</v>
      </c>
      <c r="J94" s="136" t="s">
        <v>2080</v>
      </c>
    </row>
    <row r="95" spans="1:13" ht="15" thickBot="1" x14ac:dyDescent="0.4">
      <c r="A95" s="226" t="s">
        <v>393</v>
      </c>
      <c r="B95" s="197"/>
      <c r="C95" s="197"/>
      <c r="D95" s="197"/>
      <c r="E95" s="198"/>
      <c r="I95" s="278">
        <f>H87</f>
        <v>236456022</v>
      </c>
      <c r="J95" s="136" t="s">
        <v>2081</v>
      </c>
    </row>
    <row r="96" spans="1:13" ht="15.5" thickTop="1" thickBot="1" x14ac:dyDescent="0.4">
      <c r="A96" s="75" t="s">
        <v>394</v>
      </c>
      <c r="B96" s="197"/>
      <c r="C96" s="197"/>
      <c r="D96" s="197"/>
      <c r="E96" s="198"/>
      <c r="I96" s="333">
        <f>I94-I95</f>
        <v>881099935</v>
      </c>
      <c r="J96" s="136" t="s">
        <v>2082</v>
      </c>
    </row>
    <row r="97" spans="1:11" ht="15" thickTop="1" x14ac:dyDescent="0.35">
      <c r="A97" s="197"/>
      <c r="B97" s="197"/>
      <c r="C97" s="197"/>
      <c r="D97" s="197"/>
      <c r="E97" s="198"/>
    </row>
    <row r="98" spans="1:11" x14ac:dyDescent="0.35">
      <c r="A98" s="197"/>
      <c r="B98" s="197"/>
      <c r="C98" s="197"/>
      <c r="D98" s="197"/>
      <c r="E98" s="198"/>
    </row>
    <row r="99" spans="1:11" x14ac:dyDescent="0.35">
      <c r="A99" s="334" t="s">
        <v>395</v>
      </c>
      <c r="B99" s="197"/>
      <c r="C99" s="197"/>
      <c r="D99" s="197"/>
      <c r="E99" s="198"/>
    </row>
    <row r="100" spans="1:11" x14ac:dyDescent="0.35">
      <c r="A100" s="197" t="str">
        <f>CONCATENATE($A$2," ",$A$3)</f>
        <v>SC9 Rate I</v>
      </c>
      <c r="B100" s="197"/>
      <c r="C100" s="197"/>
      <c r="D100" s="197"/>
      <c r="E100" s="198"/>
    </row>
    <row r="101" spans="1:11" ht="15" thickBot="1" x14ac:dyDescent="0.4">
      <c r="A101" s="86" t="s">
        <v>300</v>
      </c>
      <c r="B101" s="197"/>
      <c r="C101" s="197"/>
      <c r="D101" s="197"/>
      <c r="E101" s="30"/>
      <c r="G101" s="30" t="s">
        <v>25</v>
      </c>
    </row>
    <row r="102" spans="1:11" x14ac:dyDescent="0.35">
      <c r="A102" s="3" t="s">
        <v>114</v>
      </c>
      <c r="B102" s="197"/>
      <c r="C102" s="271" t="str">
        <f>C66</f>
        <v>&gt;</v>
      </c>
      <c r="D102" s="271">
        <f>D66</f>
        <v>5</v>
      </c>
      <c r="E102" s="3" t="s">
        <v>25</v>
      </c>
      <c r="G102" s="1065">
        <f>P8+P9</f>
        <v>14620386</v>
      </c>
      <c r="H102" s="74" t="str">
        <f>CONCATENATE("* [",$L$75,"]")</f>
        <v>* [X + 5.43]</v>
      </c>
      <c r="I102" s="136" t="s">
        <v>2091</v>
      </c>
    </row>
    <row r="103" spans="1:11" x14ac:dyDescent="0.35">
      <c r="A103" s="3" t="s">
        <v>113</v>
      </c>
      <c r="B103" s="197"/>
      <c r="C103" s="272" t="str">
        <f>$C$102</f>
        <v>&gt;</v>
      </c>
      <c r="D103" s="272">
        <f>$D$102</f>
        <v>5</v>
      </c>
      <c r="E103" s="3" t="s">
        <v>25</v>
      </c>
      <c r="G103" s="1065">
        <f>P13+P14</f>
        <v>24578036</v>
      </c>
      <c r="H103" s="107" t="str">
        <f>CONCATENATE("* [",$M$75,"]")</f>
        <v>* [X]</v>
      </c>
      <c r="I103" s="136" t="s">
        <v>1763</v>
      </c>
    </row>
    <row r="104" spans="1:11" x14ac:dyDescent="0.35">
      <c r="A104" s="3" t="s">
        <v>112</v>
      </c>
      <c r="B104" s="197"/>
      <c r="C104" s="272" t="str">
        <f t="shared" ref="C104:C105" si="0">$C$102</f>
        <v>&gt;</v>
      </c>
      <c r="D104" s="272">
        <f t="shared" ref="D104:D105" si="1">$D$102</f>
        <v>5</v>
      </c>
      <c r="E104" s="3" t="s">
        <v>25</v>
      </c>
      <c r="G104" s="1065">
        <f>P18+P19</f>
        <v>49529.874701306158</v>
      </c>
      <c r="H104" s="107" t="str">
        <f>CONCATENATE("* [",$L$77,"]")</f>
        <v>* [X + -2.37]</v>
      </c>
      <c r="I104" s="136" t="s">
        <v>2092</v>
      </c>
    </row>
    <row r="105" spans="1:11" ht="15" thickBot="1" x14ac:dyDescent="0.4">
      <c r="A105" s="3" t="s">
        <v>111</v>
      </c>
      <c r="B105" s="197"/>
      <c r="C105" s="272" t="str">
        <f t="shared" si="0"/>
        <v>&gt;</v>
      </c>
      <c r="D105" s="272">
        <f t="shared" si="1"/>
        <v>5</v>
      </c>
      <c r="E105" s="3" t="s">
        <v>25</v>
      </c>
      <c r="G105" s="1066">
        <f>P23+P24</f>
        <v>92338.481099661338</v>
      </c>
      <c r="H105" s="275" t="str">
        <f>CONCATENATE("* [",$M$77,"]")</f>
        <v>* [X + -7.82]</v>
      </c>
      <c r="I105" s="136" t="s">
        <v>2093</v>
      </c>
    </row>
    <row r="106" spans="1:11" x14ac:dyDescent="0.35">
      <c r="B106" s="197"/>
      <c r="C106" s="197"/>
      <c r="D106" s="197"/>
      <c r="E106" s="273"/>
      <c r="F106" s="273"/>
      <c r="G106" s="28">
        <f>SUM(G102:G105)</f>
        <v>39340290.355800964</v>
      </c>
      <c r="H106" s="136" t="s">
        <v>1708</v>
      </c>
    </row>
    <row r="107" spans="1:11" x14ac:dyDescent="0.35">
      <c r="A107" s="70" t="s">
        <v>38</v>
      </c>
    </row>
    <row r="108" spans="1:11" x14ac:dyDescent="0.35">
      <c r="A108" s="197" t="str">
        <f>CONCATENATE($A$2," ",$A$3)</f>
        <v>SC9 Rate I</v>
      </c>
    </row>
    <row r="109" spans="1:11" x14ac:dyDescent="0.35">
      <c r="A109" s="3" t="s">
        <v>114</v>
      </c>
      <c r="B109" s="271" t="str">
        <f>C102</f>
        <v>&gt;</v>
      </c>
      <c r="C109" s="271">
        <f>D102</f>
        <v>5</v>
      </c>
      <c r="D109" s="3" t="s">
        <v>25</v>
      </c>
      <c r="E109" s="34">
        <f>I96</f>
        <v>881099935</v>
      </c>
      <c r="F109" s="36" t="s">
        <v>31</v>
      </c>
      <c r="G109" s="28">
        <f>G102</f>
        <v>14620386</v>
      </c>
      <c r="H109" s="3" t="s">
        <v>396</v>
      </c>
      <c r="I109" s="308">
        <f>ROUND(G109*$J$75,0)</f>
        <v>79388696</v>
      </c>
      <c r="J109" s="3" t="s">
        <v>62</v>
      </c>
      <c r="K109" s="136" t="s">
        <v>2083</v>
      </c>
    </row>
    <row r="110" spans="1:11" x14ac:dyDescent="0.35">
      <c r="A110" s="3" t="s">
        <v>113</v>
      </c>
      <c r="B110" s="272" t="str">
        <f>$C$102</f>
        <v>&gt;</v>
      </c>
      <c r="C110" s="272">
        <f>$D$102</f>
        <v>5</v>
      </c>
      <c r="D110" s="3" t="s">
        <v>25</v>
      </c>
      <c r="G110" s="28">
        <f>G103</f>
        <v>24578036</v>
      </c>
      <c r="H110" s="3" t="s">
        <v>396</v>
      </c>
      <c r="I110" s="308">
        <f>ROUND(G110*$K$75,0)</f>
        <v>0</v>
      </c>
      <c r="J110" s="3" t="s">
        <v>62</v>
      </c>
      <c r="K110" s="136" t="s">
        <v>1763</v>
      </c>
    </row>
    <row r="111" spans="1:11" x14ac:dyDescent="0.35">
      <c r="A111" s="3" t="s">
        <v>112</v>
      </c>
      <c r="B111" s="272" t="str">
        <f t="shared" ref="B111:B112" si="2">$C$102</f>
        <v>&gt;</v>
      </c>
      <c r="C111" s="272">
        <f t="shared" ref="C111:C112" si="3">$D$102</f>
        <v>5</v>
      </c>
      <c r="D111" s="3" t="s">
        <v>25</v>
      </c>
      <c r="G111" s="28">
        <f>G104</f>
        <v>49529.874701306158</v>
      </c>
      <c r="H111" s="3" t="s">
        <v>396</v>
      </c>
      <c r="I111" s="308">
        <f>ROUND(G111*$J$77,0)</f>
        <v>-117386</v>
      </c>
      <c r="J111" s="3" t="s">
        <v>62</v>
      </c>
      <c r="K111" s="136" t="s">
        <v>2084</v>
      </c>
    </row>
    <row r="112" spans="1:11" x14ac:dyDescent="0.35">
      <c r="A112" s="3" t="s">
        <v>111</v>
      </c>
      <c r="B112" s="272" t="str">
        <f t="shared" si="2"/>
        <v>&gt;</v>
      </c>
      <c r="C112" s="272">
        <f t="shared" si="3"/>
        <v>5</v>
      </c>
      <c r="D112" s="3" t="s">
        <v>25</v>
      </c>
      <c r="G112" s="38">
        <f>G105</f>
        <v>92338.481099661338</v>
      </c>
      <c r="H112" s="3" t="s">
        <v>396</v>
      </c>
      <c r="I112" s="335">
        <f>ROUND(G112*$K$77,0)</f>
        <v>-722087</v>
      </c>
      <c r="J112" s="3" t="s">
        <v>62</v>
      </c>
      <c r="K112" s="136" t="s">
        <v>2085</v>
      </c>
    </row>
    <row r="113" spans="1:11" x14ac:dyDescent="0.35">
      <c r="E113" s="34">
        <f>E109</f>
        <v>881099935</v>
      </c>
      <c r="F113" s="36" t="s">
        <v>31</v>
      </c>
      <c r="G113" s="28">
        <f>SUM(G109:G112)</f>
        <v>39340290.355800964</v>
      </c>
      <c r="H113" s="3" t="s">
        <v>396</v>
      </c>
      <c r="I113" s="103">
        <f>SUM(I109:I112)</f>
        <v>78549223</v>
      </c>
      <c r="J113" s="136" t="s">
        <v>2134</v>
      </c>
      <c r="K113" s="136" t="s">
        <v>2087</v>
      </c>
    </row>
    <row r="114" spans="1:11" x14ac:dyDescent="0.35">
      <c r="E114" s="34"/>
      <c r="F114" s="36"/>
      <c r="G114" s="28"/>
      <c r="I114" s="103"/>
      <c r="K114" s="136" t="s">
        <v>2088</v>
      </c>
    </row>
    <row r="115" spans="1:11" x14ac:dyDescent="0.35">
      <c r="E115" s="34">
        <f>E113-I113</f>
        <v>802550712</v>
      </c>
      <c r="F115" s="36" t="s">
        <v>31</v>
      </c>
      <c r="G115" s="28">
        <f>G113</f>
        <v>39340290.355800964</v>
      </c>
      <c r="H115" s="3" t="s">
        <v>32</v>
      </c>
      <c r="I115" s="103"/>
      <c r="K115" s="136" t="s">
        <v>2089</v>
      </c>
    </row>
    <row r="116" spans="1:11" ht="15" thickBot="1" x14ac:dyDescent="0.4">
      <c r="G116" s="28"/>
      <c r="I116" s="103"/>
      <c r="K116" s="136"/>
    </row>
    <row r="117" spans="1:11" ht="15.5" thickTop="1" thickBot="1" x14ac:dyDescent="0.4">
      <c r="E117" s="33" t="s">
        <v>32</v>
      </c>
      <c r="F117" s="36" t="s">
        <v>31</v>
      </c>
      <c r="G117" s="336">
        <f>ROUND(E115/G115,2)</f>
        <v>20.399999999999999</v>
      </c>
      <c r="H117" s="136" t="s">
        <v>2094</v>
      </c>
      <c r="I117" s="103"/>
      <c r="K117" s="136" t="s">
        <v>2090</v>
      </c>
    </row>
    <row r="118" spans="1:11" ht="15" thickTop="1" x14ac:dyDescent="0.35"/>
    <row r="119" spans="1:11" x14ac:dyDescent="0.35">
      <c r="A119" s="407" t="s">
        <v>1544</v>
      </c>
      <c r="B119" s="70"/>
      <c r="C119" s="70"/>
      <c r="D119" s="70"/>
    </row>
    <row r="120" spans="1:11" x14ac:dyDescent="0.35">
      <c r="A120" s="197" t="str">
        <f>CONCATENATE($A$2," ",$A$3)</f>
        <v>SC9 Rate I</v>
      </c>
      <c r="B120" s="70"/>
      <c r="C120" s="70"/>
      <c r="D120" s="70"/>
    </row>
    <row r="121" spans="1:11" x14ac:dyDescent="0.35">
      <c r="A121" s="75" t="s">
        <v>374</v>
      </c>
      <c r="B121" s="1332">
        <f>$F$33</f>
        <v>2019</v>
      </c>
      <c r="C121" s="1332"/>
      <c r="D121" s="1332"/>
    </row>
    <row r="122" spans="1:11" x14ac:dyDescent="0.35">
      <c r="A122" s="75" t="s">
        <v>297</v>
      </c>
      <c r="B122" s="1332">
        <f>$F$34</f>
        <v>2017</v>
      </c>
      <c r="C122" s="1332"/>
      <c r="D122" s="1332"/>
    </row>
    <row r="123" spans="1:11" x14ac:dyDescent="0.35">
      <c r="A123" s="190"/>
      <c r="B123" s="190"/>
      <c r="C123" s="190"/>
      <c r="D123" s="190"/>
    </row>
    <row r="124" spans="1:11" x14ac:dyDescent="0.35">
      <c r="A124" s="334" t="str">
        <f>CONCATENATE($A$33," at Proposed Demand Rates")</f>
        <v>SC9 Rate I at Proposed Demand Rates</v>
      </c>
      <c r="B124" s="190"/>
      <c r="C124" s="190"/>
      <c r="D124" s="190"/>
    </row>
    <row r="125" spans="1:11" ht="15" thickBot="1" x14ac:dyDescent="0.4">
      <c r="A125" s="42"/>
      <c r="B125" s="190"/>
      <c r="C125" s="190"/>
      <c r="D125" s="190"/>
    </row>
    <row r="126" spans="1:11" ht="15.5" thickTop="1" thickBot="1" x14ac:dyDescent="0.4">
      <c r="A126" s="190"/>
      <c r="B126" s="190"/>
      <c r="C126" s="190"/>
      <c r="D126" s="190"/>
      <c r="E126" s="1338" t="s">
        <v>398</v>
      </c>
      <c r="F126" s="1339"/>
    </row>
    <row r="127" spans="1:11" ht="15.5" thickTop="1" thickBot="1" x14ac:dyDescent="0.4">
      <c r="A127" s="197" t="str">
        <f>CONCATENATE($A$2," ",$A$3)</f>
        <v>SC9 Rate I</v>
      </c>
      <c r="B127" s="197"/>
      <c r="C127" s="197"/>
      <c r="D127" s="197"/>
      <c r="E127" s="1307" t="s">
        <v>235</v>
      </c>
      <c r="F127" s="1309"/>
      <c r="H127" s="1307" t="s">
        <v>399</v>
      </c>
      <c r="I127" s="1309"/>
    </row>
    <row r="128" spans="1:11" ht="15" thickTop="1" x14ac:dyDescent="0.35">
      <c r="A128" s="197"/>
      <c r="B128" s="197"/>
      <c r="C128" s="197"/>
      <c r="D128" s="197"/>
      <c r="E128" s="30" t="s">
        <v>42</v>
      </c>
      <c r="F128" s="30" t="s">
        <v>40</v>
      </c>
      <c r="H128" s="30" t="s">
        <v>42</v>
      </c>
      <c r="I128" s="30" t="s">
        <v>40</v>
      </c>
    </row>
    <row r="129" spans="1:11" x14ac:dyDescent="0.35">
      <c r="A129" s="197"/>
      <c r="B129" s="197"/>
      <c r="C129" s="197"/>
      <c r="D129" s="197"/>
      <c r="E129" s="30"/>
      <c r="F129" s="30"/>
    </row>
    <row r="130" spans="1:11" ht="15" thickBot="1" x14ac:dyDescent="0.4">
      <c r="A130" s="3" t="s">
        <v>252</v>
      </c>
      <c r="B130" s="123" t="str">
        <f>$B$52</f>
        <v>0</v>
      </c>
      <c r="C130" s="123" t="str">
        <f>$C$52</f>
        <v>-</v>
      </c>
      <c r="D130" s="123">
        <f>$D$52</f>
        <v>5</v>
      </c>
      <c r="E130" s="339">
        <f>G81</f>
        <v>176.77</v>
      </c>
      <c r="F130" s="339">
        <f>G82</f>
        <v>141.21</v>
      </c>
      <c r="G130" s="136" t="s">
        <v>2095</v>
      </c>
    </row>
    <row r="131" spans="1:11" ht="15" thickBot="1" x14ac:dyDescent="0.4">
      <c r="C131" s="123" t="str">
        <f>$C$53</f>
        <v>&gt;</v>
      </c>
      <c r="D131" s="123">
        <f>$D$53</f>
        <v>5</v>
      </c>
      <c r="E131" s="321">
        <f>J75+$G$117</f>
        <v>25.83</v>
      </c>
      <c r="F131" s="322">
        <f>K75+$G$117</f>
        <v>20.399999999999999</v>
      </c>
      <c r="G131" s="136" t="s">
        <v>2096</v>
      </c>
      <c r="H131" s="35"/>
    </row>
    <row r="132" spans="1:11" x14ac:dyDescent="0.35">
      <c r="C132" s="123"/>
      <c r="D132" s="36"/>
      <c r="E132" s="27"/>
      <c r="F132" s="27"/>
      <c r="G132" s="136"/>
    </row>
    <row r="133" spans="1:11" ht="15" thickBot="1" x14ac:dyDescent="0.4">
      <c r="A133" s="3" t="s">
        <v>253</v>
      </c>
      <c r="B133" s="123" t="str">
        <f>$B$52</f>
        <v>0</v>
      </c>
      <c r="C133" s="123" t="str">
        <f>$C$52</f>
        <v>-</v>
      </c>
      <c r="D133" s="123">
        <f>$D$52</f>
        <v>5</v>
      </c>
      <c r="E133" s="339">
        <f>G83</f>
        <v>122.81</v>
      </c>
      <c r="F133" s="339">
        <f>G84</f>
        <v>87.300000000000011</v>
      </c>
      <c r="G133" s="136" t="s">
        <v>2097</v>
      </c>
      <c r="H133" s="27">
        <f>E130-E133</f>
        <v>53.960000000000008</v>
      </c>
      <c r="I133" s="27">
        <f>F130-F133</f>
        <v>53.91</v>
      </c>
      <c r="J133" s="136" t="s">
        <v>2099</v>
      </c>
      <c r="K133" s="136" t="s">
        <v>2100</v>
      </c>
    </row>
    <row r="134" spans="1:11" ht="15" thickBot="1" x14ac:dyDescent="0.4">
      <c r="C134" s="123" t="str">
        <f>$C$53</f>
        <v>&gt;</v>
      </c>
      <c r="D134" s="123">
        <f>$D$53</f>
        <v>5</v>
      </c>
      <c r="E134" s="321">
        <f>J77+$G$117</f>
        <v>18.03</v>
      </c>
      <c r="F134" s="322">
        <f>K77+$G$117</f>
        <v>12.579999999999998</v>
      </c>
      <c r="G134" s="136" t="s">
        <v>2098</v>
      </c>
      <c r="H134" s="27">
        <f>E131-E134</f>
        <v>7.7999999999999972</v>
      </c>
      <c r="I134" s="27">
        <f>F131-F134</f>
        <v>7.82</v>
      </c>
      <c r="J134" s="136" t="s">
        <v>2101</v>
      </c>
      <c r="K134" s="136" t="s">
        <v>2102</v>
      </c>
    </row>
    <row r="135" spans="1:11" x14ac:dyDescent="0.35">
      <c r="A135" s="190"/>
      <c r="B135" s="190"/>
      <c r="C135" s="190"/>
      <c r="D135" s="190"/>
    </row>
    <row r="136" spans="1:11" x14ac:dyDescent="0.35">
      <c r="A136" s="190"/>
      <c r="B136" s="190"/>
      <c r="C136" s="190"/>
      <c r="D136" s="190"/>
    </row>
    <row r="137" spans="1:11" x14ac:dyDescent="0.35">
      <c r="A137" s="407" t="s">
        <v>1545</v>
      </c>
      <c r="B137" s="190"/>
      <c r="C137" s="190"/>
      <c r="D137" s="190"/>
    </row>
    <row r="138" spans="1:11" x14ac:dyDescent="0.35">
      <c r="A138" s="75" t="s">
        <v>402</v>
      </c>
      <c r="B138" s="1332">
        <f>$F$33</f>
        <v>2019</v>
      </c>
      <c r="C138" s="1332"/>
      <c r="D138" s="1332"/>
    </row>
    <row r="139" spans="1:11" x14ac:dyDescent="0.35">
      <c r="A139" s="190"/>
      <c r="B139" s="190"/>
      <c r="C139" s="190"/>
      <c r="D139" s="190"/>
    </row>
    <row r="140" spans="1:11" x14ac:dyDescent="0.35">
      <c r="A140" s="190"/>
      <c r="B140" s="190"/>
      <c r="C140" s="190"/>
      <c r="D140" s="190"/>
      <c r="G140" s="30"/>
      <c r="I140" s="30" t="s">
        <v>14</v>
      </c>
    </row>
    <row r="141" spans="1:11" x14ac:dyDescent="0.35">
      <c r="A141" s="835" t="s">
        <v>27</v>
      </c>
      <c r="E141" s="30" t="s">
        <v>26</v>
      </c>
      <c r="F141" s="30" t="s">
        <v>25</v>
      </c>
      <c r="G141" s="30" t="s">
        <v>235</v>
      </c>
      <c r="I141" s="30" t="s">
        <v>6</v>
      </c>
    </row>
    <row r="142" spans="1:11" x14ac:dyDescent="0.35">
      <c r="A142" s="410" t="s">
        <v>9</v>
      </c>
      <c r="B142" s="123">
        <f>L7</f>
        <v>0</v>
      </c>
      <c r="C142" s="123" t="str">
        <f>$C$52</f>
        <v>-</v>
      </c>
      <c r="D142" s="123">
        <f>N7</f>
        <v>5</v>
      </c>
      <c r="E142" s="29">
        <f>O7</f>
        <v>24283.037279249718</v>
      </c>
      <c r="F142" s="29">
        <f>P7</f>
        <v>2575135</v>
      </c>
      <c r="G142" s="35">
        <f>E130</f>
        <v>176.77</v>
      </c>
      <c r="H142" s="136" t="s">
        <v>1690</v>
      </c>
      <c r="I142" s="39">
        <f>ROUND(G142*(F142/D142),0)</f>
        <v>91041323</v>
      </c>
    </row>
    <row r="143" spans="1:11" x14ac:dyDescent="0.35">
      <c r="A143" s="410"/>
      <c r="B143" s="123">
        <f>L8</f>
        <v>5</v>
      </c>
      <c r="C143" s="123" t="str">
        <f>$C$52</f>
        <v>-</v>
      </c>
      <c r="D143" s="123">
        <f>N8</f>
        <v>100</v>
      </c>
      <c r="E143" s="29">
        <f>O8</f>
        <v>463127.78306230035</v>
      </c>
      <c r="F143" s="29">
        <f t="shared" ref="F143:F144" si="4">P8</f>
        <v>10355085</v>
      </c>
      <c r="G143" s="35">
        <f>E131</f>
        <v>25.83</v>
      </c>
      <c r="H143" s="136" t="s">
        <v>1710</v>
      </c>
      <c r="I143" s="26">
        <f>ROUND(G143*F143,0)</f>
        <v>267471846</v>
      </c>
    </row>
    <row r="144" spans="1:11" x14ac:dyDescent="0.35">
      <c r="A144" s="410"/>
      <c r="B144" s="123"/>
      <c r="C144" s="123" t="s">
        <v>141</v>
      </c>
      <c r="D144" s="123">
        <f>N9</f>
        <v>100</v>
      </c>
      <c r="E144" s="38">
        <f>O9</f>
        <v>27616.179658449917</v>
      </c>
      <c r="F144" s="38">
        <f t="shared" si="4"/>
        <v>4265301</v>
      </c>
      <c r="G144" s="35">
        <f>G143</f>
        <v>25.83</v>
      </c>
      <c r="H144" s="136" t="s">
        <v>1710</v>
      </c>
      <c r="I144" s="37">
        <f>ROUND(G144*F144,0)</f>
        <v>110172725</v>
      </c>
    </row>
    <row r="145" spans="1:11" x14ac:dyDescent="0.35">
      <c r="A145" s="410"/>
      <c r="B145" s="36"/>
      <c r="C145" s="36"/>
      <c r="D145" s="36"/>
      <c r="E145" s="28">
        <f>E142+E143+E144</f>
        <v>515026.99999999994</v>
      </c>
      <c r="F145" s="28">
        <f>F142+F143+F144</f>
        <v>17195521</v>
      </c>
      <c r="G145" s="35"/>
      <c r="I145" s="34">
        <f>I142+I143+I144</f>
        <v>468685894</v>
      </c>
      <c r="J145" s="34"/>
      <c r="K145" s="36" t="s">
        <v>10</v>
      </c>
    </row>
    <row r="146" spans="1:11" x14ac:dyDescent="0.35">
      <c r="A146" s="410"/>
      <c r="B146" s="36"/>
      <c r="C146" s="36"/>
      <c r="D146" s="36"/>
      <c r="E146" s="28"/>
      <c r="F146" s="28"/>
      <c r="G146" s="35"/>
      <c r="H146" s="33" t="s">
        <v>22</v>
      </c>
      <c r="I146" s="34">
        <f>ROUND(I145*(K146-1),0)</f>
        <v>5586736</v>
      </c>
      <c r="J146" s="33" t="s">
        <v>23</v>
      </c>
      <c r="K146" s="40">
        <f>$G$22</f>
        <v>1.0119199999999999</v>
      </c>
    </row>
    <row r="147" spans="1:11" x14ac:dyDescent="0.35">
      <c r="A147" s="410"/>
      <c r="B147" s="36"/>
      <c r="C147" s="36"/>
      <c r="D147" s="36"/>
      <c r="E147" s="28"/>
      <c r="F147" s="28"/>
      <c r="G147" s="35"/>
      <c r="H147" s="33" t="s">
        <v>21</v>
      </c>
      <c r="I147" s="32">
        <f>I145+I146</f>
        <v>474272630</v>
      </c>
      <c r="J147" s="8"/>
    </row>
    <row r="148" spans="1:11" x14ac:dyDescent="0.35">
      <c r="A148" s="410"/>
      <c r="I148" s="3"/>
    </row>
    <row r="149" spans="1:11" x14ac:dyDescent="0.35">
      <c r="A149" s="410" t="s">
        <v>8</v>
      </c>
      <c r="B149" s="123">
        <f t="shared" ref="B149:D150" si="5">B142</f>
        <v>0</v>
      </c>
      <c r="C149" s="123" t="str">
        <f t="shared" si="5"/>
        <v>-</v>
      </c>
      <c r="D149" s="123">
        <f t="shared" si="5"/>
        <v>5</v>
      </c>
      <c r="E149" s="29">
        <f>O17</f>
        <v>0</v>
      </c>
      <c r="F149" s="29">
        <f>P17</f>
        <v>808.3252986938445</v>
      </c>
      <c r="G149" s="35">
        <f>E133</f>
        <v>122.81</v>
      </c>
      <c r="H149" s="136" t="s">
        <v>1692</v>
      </c>
      <c r="I149" s="39">
        <f>ROUND(G149*(F149/D149),0)</f>
        <v>19854</v>
      </c>
    </row>
    <row r="150" spans="1:11" x14ac:dyDescent="0.35">
      <c r="A150" s="410"/>
      <c r="B150" s="3">
        <f t="shared" si="5"/>
        <v>5</v>
      </c>
      <c r="C150" s="123" t="str">
        <f t="shared" si="5"/>
        <v>-</v>
      </c>
      <c r="D150" s="123">
        <f t="shared" si="5"/>
        <v>100</v>
      </c>
      <c r="E150" s="29">
        <f t="shared" ref="E150:F151" si="6">O18</f>
        <v>60.319148936170215</v>
      </c>
      <c r="F150" s="29">
        <f t="shared" si="6"/>
        <v>12986.519851994084</v>
      </c>
      <c r="G150" s="35">
        <f>E134</f>
        <v>18.03</v>
      </c>
      <c r="H150" s="136" t="s">
        <v>1712</v>
      </c>
      <c r="I150" s="26">
        <f>ROUND(G150*F150,0)</f>
        <v>234147</v>
      </c>
    </row>
    <row r="151" spans="1:11" x14ac:dyDescent="0.35">
      <c r="A151" s="410"/>
      <c r="B151" s="36"/>
      <c r="C151" s="36" t="str">
        <f>C144</f>
        <v>&gt;</v>
      </c>
      <c r="D151" s="123">
        <f>D144</f>
        <v>100</v>
      </c>
      <c r="E151" s="38">
        <f t="shared" si="6"/>
        <v>119.68085106382979</v>
      </c>
      <c r="F151" s="38">
        <f t="shared" si="6"/>
        <v>36543.354849312076</v>
      </c>
      <c r="G151" s="35">
        <f>G150</f>
        <v>18.03</v>
      </c>
      <c r="H151" s="136" t="s">
        <v>1712</v>
      </c>
      <c r="I151" s="37">
        <f>ROUND(G151*F151,0)</f>
        <v>658877</v>
      </c>
    </row>
    <row r="152" spans="1:11" x14ac:dyDescent="0.35">
      <c r="A152" s="410"/>
      <c r="E152" s="28">
        <f>E149+E150+E151</f>
        <v>180</v>
      </c>
      <c r="F152" s="28">
        <f>F149+F150+F151</f>
        <v>50338.200000000004</v>
      </c>
      <c r="G152" s="35"/>
      <c r="I152" s="34">
        <f>I149+I150+I151</f>
        <v>912878</v>
      </c>
    </row>
    <row r="153" spans="1:11" x14ac:dyDescent="0.35">
      <c r="A153" s="410"/>
      <c r="E153" s="28"/>
      <c r="F153" s="28"/>
      <c r="G153" s="35"/>
      <c r="H153" s="33" t="s">
        <v>22</v>
      </c>
      <c r="I153" s="34">
        <f>ROUND(I152*(K146-1),0)</f>
        <v>10882</v>
      </c>
    </row>
    <row r="154" spans="1:11" x14ac:dyDescent="0.35">
      <c r="A154" s="410"/>
      <c r="E154" s="28"/>
      <c r="F154" s="28"/>
      <c r="G154" s="35"/>
      <c r="H154" s="33" t="s">
        <v>21</v>
      </c>
      <c r="I154" s="32">
        <f>I152+I153</f>
        <v>923760</v>
      </c>
    </row>
    <row r="155" spans="1:11" x14ac:dyDescent="0.35">
      <c r="A155" s="410"/>
      <c r="E155" s="28"/>
      <c r="F155" s="28"/>
      <c r="G155" s="35"/>
      <c r="H155" s="33"/>
      <c r="I155" s="34"/>
    </row>
    <row r="156" spans="1:11" x14ac:dyDescent="0.35">
      <c r="A156" s="835" t="s">
        <v>24</v>
      </c>
      <c r="G156" s="30" t="s">
        <v>235</v>
      </c>
      <c r="I156" s="30" t="s">
        <v>6</v>
      </c>
      <c r="J156" s="17"/>
    </row>
    <row r="157" spans="1:11" x14ac:dyDescent="0.35">
      <c r="A157" s="410" t="s">
        <v>9</v>
      </c>
      <c r="B157" s="123">
        <f>B142</f>
        <v>0</v>
      </c>
      <c r="C157" s="123" t="str">
        <f t="shared" ref="C157:D157" si="7">C142</f>
        <v>-</v>
      </c>
      <c r="D157" s="123">
        <f t="shared" si="7"/>
        <v>5</v>
      </c>
      <c r="E157" s="29">
        <f t="shared" ref="E157:F159" si="8">O12</f>
        <v>68583.997485784668</v>
      </c>
      <c r="F157" s="29">
        <f t="shared" si="8"/>
        <v>5147035</v>
      </c>
      <c r="G157" s="35">
        <f>F130</f>
        <v>141.21</v>
      </c>
      <c r="H157" s="136" t="s">
        <v>1691</v>
      </c>
      <c r="I157" s="39">
        <f>ROUND(G157*(F157/D157),0)</f>
        <v>145362562</v>
      </c>
      <c r="J157" s="17"/>
    </row>
    <row r="158" spans="1:11" x14ac:dyDescent="0.35">
      <c r="A158" s="410"/>
      <c r="C158" s="123" t="str">
        <f t="shared" ref="C158:D158" si="9">C143</f>
        <v>-</v>
      </c>
      <c r="D158" s="123">
        <f t="shared" si="9"/>
        <v>100</v>
      </c>
      <c r="E158" s="29">
        <f t="shared" si="8"/>
        <v>914598.30826242268</v>
      </c>
      <c r="F158" s="29">
        <f t="shared" si="8"/>
        <v>18151598</v>
      </c>
      <c r="G158" s="35">
        <f>F131</f>
        <v>20.399999999999999</v>
      </c>
      <c r="H158" s="136" t="s">
        <v>1711</v>
      </c>
      <c r="I158" s="26">
        <f>ROUND(G158*F158,0)</f>
        <v>370292599</v>
      </c>
      <c r="J158" s="17"/>
    </row>
    <row r="159" spans="1:11" x14ac:dyDescent="0.35">
      <c r="B159" s="36"/>
      <c r="C159" s="123" t="str">
        <f t="shared" ref="C159:D159" si="10">C144</f>
        <v>&gt;</v>
      </c>
      <c r="D159" s="123">
        <f t="shared" si="10"/>
        <v>100</v>
      </c>
      <c r="E159" s="38">
        <f t="shared" si="8"/>
        <v>46224.694251792644</v>
      </c>
      <c r="F159" s="38">
        <f t="shared" si="8"/>
        <v>6426438</v>
      </c>
      <c r="G159" s="35">
        <f>G158</f>
        <v>20.399999999999999</v>
      </c>
      <c r="H159" s="136" t="s">
        <v>1711</v>
      </c>
      <c r="I159" s="37">
        <f>ROUND(G159*F159,0)</f>
        <v>131099335</v>
      </c>
      <c r="J159" s="17"/>
    </row>
    <row r="160" spans="1:11" x14ac:dyDescent="0.35">
      <c r="B160" s="36"/>
      <c r="C160" s="36"/>
      <c r="D160" s="36"/>
      <c r="E160" s="28">
        <f>E157+E158+E159</f>
        <v>1029407</v>
      </c>
      <c r="F160" s="28">
        <f>F157+F158+F159</f>
        <v>29725071</v>
      </c>
      <c r="G160" s="35"/>
      <c r="I160" s="34">
        <f>I157+I158+I159</f>
        <v>646754496</v>
      </c>
      <c r="K160" s="36" t="s">
        <v>7</v>
      </c>
    </row>
    <row r="161" spans="1:13" x14ac:dyDescent="0.35">
      <c r="B161" s="36"/>
      <c r="C161" s="36"/>
      <c r="D161" s="36"/>
      <c r="E161" s="28"/>
      <c r="F161" s="28"/>
      <c r="G161" s="35"/>
      <c r="H161" s="33" t="s">
        <v>22</v>
      </c>
      <c r="I161" s="34">
        <f>ROUND(I160*(K161-1),0)</f>
        <v>6900870</v>
      </c>
      <c r="J161" s="33" t="s">
        <v>23</v>
      </c>
      <c r="K161" s="40">
        <f>$G$23</f>
        <v>1.01067</v>
      </c>
    </row>
    <row r="162" spans="1:13" x14ac:dyDescent="0.35">
      <c r="B162" s="36"/>
      <c r="C162" s="36"/>
      <c r="D162" s="36"/>
      <c r="E162" s="28"/>
      <c r="F162" s="28"/>
      <c r="G162" s="35"/>
      <c r="H162" s="33" t="s">
        <v>21</v>
      </c>
      <c r="I162" s="32">
        <f>I160+I161</f>
        <v>653655366</v>
      </c>
      <c r="J162" s="8"/>
    </row>
    <row r="163" spans="1:13" x14ac:dyDescent="0.35">
      <c r="I163" s="3"/>
    </row>
    <row r="164" spans="1:13" x14ac:dyDescent="0.35">
      <c r="A164" s="3" t="s">
        <v>8</v>
      </c>
      <c r="B164" s="123">
        <f>B142</f>
        <v>0</v>
      </c>
      <c r="C164" s="123" t="str">
        <f t="shared" ref="C164:D164" si="11">C142</f>
        <v>-</v>
      </c>
      <c r="D164" s="123">
        <f t="shared" si="11"/>
        <v>5</v>
      </c>
      <c r="E164" s="29">
        <f t="shared" ref="E164:F166" si="12">O22</f>
        <v>1.9111111111111112</v>
      </c>
      <c r="F164" s="29">
        <f t="shared" si="12"/>
        <v>1525.4389003386507</v>
      </c>
      <c r="G164" s="35">
        <f>F133</f>
        <v>87.300000000000011</v>
      </c>
      <c r="H164" s="136" t="s">
        <v>2103</v>
      </c>
      <c r="I164" s="39">
        <f>ROUND(G164*(F164/D164),0)</f>
        <v>26634</v>
      </c>
      <c r="J164" s="17"/>
    </row>
    <row r="165" spans="1:13" x14ac:dyDescent="0.35">
      <c r="C165" s="123" t="str">
        <f t="shared" ref="C165:D165" si="13">C143</f>
        <v>-</v>
      </c>
      <c r="D165" s="123">
        <f t="shared" si="13"/>
        <v>100</v>
      </c>
      <c r="E165" s="29">
        <f t="shared" si="12"/>
        <v>114.66666666666666</v>
      </c>
      <c r="F165" s="29">
        <f t="shared" si="12"/>
        <v>24810.113243329124</v>
      </c>
      <c r="G165" s="35">
        <f>F134</f>
        <v>12.579999999999998</v>
      </c>
      <c r="H165" s="136" t="s">
        <v>1713</v>
      </c>
      <c r="I165" s="26">
        <f>ROUND(G165*F165,0)</f>
        <v>312111</v>
      </c>
      <c r="J165" s="17"/>
    </row>
    <row r="166" spans="1:13" x14ac:dyDescent="0.35">
      <c r="B166" s="36"/>
      <c r="C166" s="123" t="str">
        <f t="shared" ref="C166:D166" si="14">C144</f>
        <v>&gt;</v>
      </c>
      <c r="D166" s="123">
        <f t="shared" si="14"/>
        <v>100</v>
      </c>
      <c r="E166" s="38">
        <f t="shared" si="12"/>
        <v>227.42222222222222</v>
      </c>
      <c r="F166" s="38">
        <f t="shared" si="12"/>
        <v>67528.367856332217</v>
      </c>
      <c r="G166" s="35">
        <f>G165</f>
        <v>12.579999999999998</v>
      </c>
      <c r="H166" s="136" t="s">
        <v>1713</v>
      </c>
      <c r="I166" s="37">
        <f>ROUND(G166*F166,0)</f>
        <v>849507</v>
      </c>
      <c r="J166" s="17"/>
    </row>
    <row r="167" spans="1:13" x14ac:dyDescent="0.35">
      <c r="B167" s="36"/>
      <c r="C167" s="36"/>
      <c r="D167" s="36"/>
      <c r="E167" s="28">
        <f>E164+E165+E166</f>
        <v>344</v>
      </c>
      <c r="F167" s="28">
        <f>F164+F165+F166</f>
        <v>93863.919999999984</v>
      </c>
      <c r="G167" s="35"/>
      <c r="I167" s="34">
        <f>I164+I165+I166</f>
        <v>1188252</v>
      </c>
      <c r="J167" s="17"/>
    </row>
    <row r="168" spans="1:13" x14ac:dyDescent="0.35">
      <c r="H168" s="33" t="s">
        <v>22</v>
      </c>
      <c r="I168" s="34">
        <f>ROUND(I167*(K161-1),0)</f>
        <v>12679</v>
      </c>
      <c r="J168" s="17"/>
    </row>
    <row r="169" spans="1:13" x14ac:dyDescent="0.35">
      <c r="H169" s="33" t="s">
        <v>21</v>
      </c>
      <c r="I169" s="32">
        <f>I167+I168</f>
        <v>1200931</v>
      </c>
      <c r="J169" s="8"/>
    </row>
    <row r="170" spans="1:13" ht="15" thickBot="1" x14ac:dyDescent="0.4">
      <c r="I170" s="3"/>
    </row>
    <row r="171" spans="1:13" ht="15.5" thickTop="1" thickBot="1" x14ac:dyDescent="0.4">
      <c r="I171" s="24">
        <f>I147+I154+I162+I169</f>
        <v>1130052687</v>
      </c>
      <c r="J171" s="8"/>
    </row>
    <row r="172" spans="1:13" ht="15.5" thickTop="1" thickBot="1" x14ac:dyDescent="0.4">
      <c r="I172" s="3"/>
      <c r="L172" s="17"/>
    </row>
    <row r="173" spans="1:13" x14ac:dyDescent="0.35">
      <c r="A173" s="882" t="str">
        <f>$A$33</f>
        <v>SC9 Rate I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1" t="s">
        <v>6</v>
      </c>
      <c r="M173" s="2"/>
    </row>
    <row r="174" spans="1:13" x14ac:dyDescent="0.35">
      <c r="A174" s="11" t="s">
        <v>402</v>
      </c>
      <c r="B174" s="1306">
        <f>$F$33</f>
        <v>2019</v>
      </c>
      <c r="C174" s="1306"/>
      <c r="D174" s="1306"/>
      <c r="E174" s="10"/>
      <c r="F174" s="10"/>
      <c r="G174" s="10"/>
      <c r="H174" s="10"/>
      <c r="I174" s="10"/>
      <c r="J174" s="10"/>
      <c r="K174" s="13"/>
      <c r="L174" s="17"/>
      <c r="M174" s="2"/>
    </row>
    <row r="175" spans="1:13" x14ac:dyDescent="0.35">
      <c r="A175" s="699" t="s">
        <v>403</v>
      </c>
      <c r="B175" s="883"/>
      <c r="C175" s="883"/>
      <c r="D175" s="883"/>
      <c r="E175" s="884"/>
      <c r="F175" s="10"/>
      <c r="G175" s="10"/>
      <c r="H175" s="10"/>
      <c r="I175" s="10"/>
      <c r="J175" s="10"/>
      <c r="K175" s="12">
        <f>I171</f>
        <v>1130052687</v>
      </c>
      <c r="L175" s="288"/>
      <c r="M175" s="2"/>
    </row>
    <row r="176" spans="1:13" x14ac:dyDescent="0.35">
      <c r="A176" s="20"/>
      <c r="B176" s="1046"/>
      <c r="C176" s="1046"/>
      <c r="D176" s="1046"/>
      <c r="E176" s="10"/>
      <c r="F176" s="10"/>
      <c r="G176" s="10"/>
      <c r="H176" s="10"/>
      <c r="I176" s="10"/>
      <c r="J176" s="10"/>
      <c r="K176" s="470"/>
      <c r="L176" s="17"/>
      <c r="M176" s="2"/>
    </row>
    <row r="177" spans="1:13" x14ac:dyDescent="0.3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471"/>
      <c r="L177" s="8"/>
      <c r="M177" s="2"/>
    </row>
    <row r="178" spans="1:13" x14ac:dyDescent="0.35">
      <c r="A178" s="11" t="s">
        <v>404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2">
        <f>K175+K176+K177</f>
        <v>1130052687</v>
      </c>
      <c r="L178" s="288"/>
    </row>
    <row r="179" spans="1:13" x14ac:dyDescent="0.35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3"/>
      <c r="L179" s="288"/>
    </row>
    <row r="180" spans="1:13" x14ac:dyDescent="0.35">
      <c r="A180" s="11"/>
      <c r="B180" s="10" t="s">
        <v>405</v>
      </c>
      <c r="C180" s="10"/>
      <c r="D180" s="10"/>
      <c r="E180" s="10"/>
      <c r="F180" s="10"/>
      <c r="G180" s="10"/>
      <c r="H180" s="10"/>
      <c r="I180" s="10"/>
      <c r="J180" s="10"/>
      <c r="K180" s="828">
        <f>G29</f>
        <v>1130065186</v>
      </c>
      <c r="L180" s="288"/>
    </row>
    <row r="181" spans="1:13" x14ac:dyDescent="0.35">
      <c r="A181" s="11"/>
      <c r="B181" s="10" t="s">
        <v>1</v>
      </c>
      <c r="C181" s="10"/>
      <c r="D181" s="10"/>
      <c r="E181" s="10"/>
      <c r="F181" s="10"/>
      <c r="G181" s="10"/>
      <c r="H181" s="10"/>
      <c r="I181" s="10"/>
      <c r="J181" s="10"/>
      <c r="K181" s="12">
        <f>K178-K180</f>
        <v>-12499</v>
      </c>
      <c r="L181" s="288"/>
    </row>
    <row r="182" spans="1:13" x14ac:dyDescent="0.35">
      <c r="A182" s="11"/>
      <c r="B182" s="10" t="s">
        <v>0</v>
      </c>
      <c r="C182" s="10"/>
      <c r="D182" s="10"/>
      <c r="E182" s="10"/>
      <c r="F182" s="10"/>
      <c r="G182" s="10"/>
      <c r="H182" s="10"/>
      <c r="I182" s="10"/>
      <c r="J182" s="10"/>
      <c r="K182" s="9">
        <f>K178/K180-1</f>
        <v>-1.1060423907305328E-5</v>
      </c>
      <c r="L182" s="288"/>
    </row>
    <row r="183" spans="1:13" ht="15" thickBot="1" x14ac:dyDescent="0.4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88"/>
    </row>
  </sheetData>
  <mergeCells count="26">
    <mergeCell ref="E40:H40"/>
    <mergeCell ref="J40:N40"/>
    <mergeCell ref="E41:F41"/>
    <mergeCell ref="J41:K41"/>
    <mergeCell ref="H48:H49"/>
    <mergeCell ref="J48:J49"/>
    <mergeCell ref="E49:G49"/>
    <mergeCell ref="E61:F61"/>
    <mergeCell ref="H61:O61"/>
    <mergeCell ref="E62:F62"/>
    <mergeCell ref="H62:I62"/>
    <mergeCell ref="J62:K62"/>
    <mergeCell ref="L62:M62"/>
    <mergeCell ref="N62:O62"/>
    <mergeCell ref="B174:D174"/>
    <mergeCell ref="H71:O71"/>
    <mergeCell ref="H72:I72"/>
    <mergeCell ref="J72:K72"/>
    <mergeCell ref="L72:M72"/>
    <mergeCell ref="N72:O72"/>
    <mergeCell ref="B121:D121"/>
    <mergeCell ref="B122:D122"/>
    <mergeCell ref="E126:F126"/>
    <mergeCell ref="E127:F127"/>
    <mergeCell ref="H127:I127"/>
    <mergeCell ref="B138:D138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3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68">
    <tabColor rgb="FFFFC000"/>
  </sheetPr>
  <dimension ref="A1:Q171"/>
  <sheetViews>
    <sheetView workbookViewId="0">
      <selection activeCell="G6" sqref="G6"/>
    </sheetView>
  </sheetViews>
  <sheetFormatPr defaultColWidth="8.81640625" defaultRowHeight="14.5" x14ac:dyDescent="0.35"/>
  <cols>
    <col min="1" max="1" width="15.7265625" style="3" customWidth="1"/>
    <col min="2" max="3" width="13.81640625" style="3" customWidth="1"/>
    <col min="4" max="4" width="10.453125" style="3" customWidth="1"/>
    <col min="5" max="5" width="16.7265625" style="3" customWidth="1"/>
    <col min="6" max="6" width="14.7265625" style="2" customWidth="1"/>
    <col min="7" max="7" width="13.453125" style="3" customWidth="1"/>
    <col min="8" max="8" width="12.1796875" style="3" customWidth="1"/>
    <col min="9" max="9" width="25.7265625" style="3" customWidth="1"/>
    <col min="10" max="10" width="24.1796875" style="3" customWidth="1"/>
    <col min="11" max="11" width="16.1796875" style="3" customWidth="1"/>
    <col min="12" max="12" width="14.26953125" style="3" customWidth="1"/>
    <col min="13" max="13" width="13.81640625" style="3" customWidth="1"/>
    <col min="14" max="14" width="14.7265625" style="3" customWidth="1"/>
    <col min="15" max="15" width="13" style="3" customWidth="1"/>
    <col min="16" max="17" width="14.7265625" style="3" customWidth="1"/>
    <col min="18" max="18" width="14.54296875" style="3" customWidth="1"/>
    <col min="19" max="19" width="8.81640625" style="3"/>
    <col min="20" max="20" width="10.54296875" style="3" bestFit="1" customWidth="1"/>
    <col min="21" max="21" width="13.81640625" style="3" customWidth="1"/>
    <col min="22" max="16384" width="8.81640625" style="3"/>
  </cols>
  <sheetData>
    <row r="1" spans="1:14" ht="18.5" x14ac:dyDescent="0.35">
      <c r="A1" s="238" t="s">
        <v>2297</v>
      </c>
      <c r="G1" s="2"/>
    </row>
    <row r="2" spans="1:14" x14ac:dyDescent="0.35">
      <c r="A2" s="182" t="s">
        <v>761</v>
      </c>
      <c r="B2" s="180"/>
      <c r="G2" s="2"/>
    </row>
    <row r="3" spans="1:14" x14ac:dyDescent="0.35">
      <c r="A3" s="182" t="s">
        <v>204</v>
      </c>
      <c r="B3" s="180"/>
      <c r="D3" s="33" t="s">
        <v>1428</v>
      </c>
      <c r="E3" s="1251">
        <f>'[1]A1.)RatesInput'!$G$3</f>
        <v>2017</v>
      </c>
      <c r="G3" s="2"/>
    </row>
    <row r="4" spans="1:14" x14ac:dyDescent="0.35">
      <c r="A4" s="182" t="s">
        <v>195</v>
      </c>
      <c r="B4" s="180"/>
      <c r="C4" s="180"/>
      <c r="D4" s="33" t="s">
        <v>1075</v>
      </c>
      <c r="E4" s="231" t="str">
        <f>'9A.)HL_RedesignRateSummary'!D9</f>
        <v>Current</v>
      </c>
      <c r="F4" s="231"/>
      <c r="G4" s="231"/>
      <c r="H4" s="180"/>
      <c r="I4" s="180"/>
      <c r="J4" s="197" t="str">
        <f>$A$2</f>
        <v>NYPA</v>
      </c>
      <c r="K4" s="30"/>
      <c r="L4" s="30"/>
      <c r="M4" s="30"/>
      <c r="N4" s="30"/>
    </row>
    <row r="5" spans="1:14" x14ac:dyDescent="0.35">
      <c r="D5" s="33" t="s">
        <v>1076</v>
      </c>
      <c r="E5" s="231" t="s">
        <v>1074</v>
      </c>
      <c r="F5" s="232"/>
      <c r="G5" s="232"/>
      <c r="J5" s="197" t="str">
        <f>A4</f>
        <v>TODL</v>
      </c>
      <c r="K5" s="30" t="s">
        <v>42</v>
      </c>
      <c r="L5" s="30" t="s">
        <v>40</v>
      </c>
      <c r="M5" s="30"/>
      <c r="N5" s="30"/>
    </row>
    <row r="6" spans="1:14" x14ac:dyDescent="0.35">
      <c r="E6" s="194"/>
      <c r="F6" s="230"/>
      <c r="G6" s="230"/>
      <c r="I6" s="190" t="s">
        <v>196</v>
      </c>
      <c r="J6" s="3" t="str">
        <f>CONCATENATE($A$2,"(FS)kW pd 1 LT")</f>
        <v>NYPA(FS)kW pd 1 LT</v>
      </c>
      <c r="K6" s="1084"/>
      <c r="L6" s="1084"/>
    </row>
    <row r="7" spans="1:14" x14ac:dyDescent="0.35">
      <c r="A7" s="3" t="str">
        <f>CONCATENATE($A$2," TOD (LT)")</f>
        <v>NYPA TOD (LT)</v>
      </c>
      <c r="B7" s="3" t="s">
        <v>168</v>
      </c>
      <c r="E7" s="195">
        <f>IF(ISNUMBER(VLOOKUP($A7,'[1]A1.)RatesInput'!$B$287:$J$310,HLOOKUP(E$4,'[1]A1.)RatesInput'!$B$287:$J$310,2,0),0)),VLOOKUP($A7,'[1]A1.)RatesInput'!$B$287:$J$310,HLOOKUP(E$4,'[1]A1.)RatesInput'!$B$287:$J$310,2,0),0),0)</f>
        <v>27.75</v>
      </c>
      <c r="F7" s="230"/>
      <c r="G7" s="230"/>
      <c r="I7" s="190"/>
      <c r="J7" s="3" t="str">
        <f>CONCATENATE($A$2,"(FS)kW pd 1 HT")</f>
        <v>NYPA(FS)kW pd 1 HT</v>
      </c>
      <c r="K7" s="1085"/>
      <c r="L7" s="1085"/>
    </row>
    <row r="8" spans="1:14" x14ac:dyDescent="0.35">
      <c r="E8" s="195"/>
      <c r="F8" s="230"/>
      <c r="G8" s="230"/>
      <c r="I8" s="190" t="s">
        <v>197</v>
      </c>
      <c r="J8" s="3" t="str">
        <f>CONCATENATE($A$2,"(FS)kW pd 2 LT")</f>
        <v>NYPA(FS)kW pd 2 LT</v>
      </c>
      <c r="K8" s="1085"/>
      <c r="L8" s="1085"/>
    </row>
    <row r="9" spans="1:14" x14ac:dyDescent="0.35">
      <c r="A9" s="3" t="str">
        <f>CONCATENATE($A$2," TOD (HT)")</f>
        <v>NYPA TOD (HT)</v>
      </c>
      <c r="B9" s="3" t="s">
        <v>168</v>
      </c>
      <c r="E9" s="195">
        <f>IF(ISNUMBER(VLOOKUP($A9,'[1]A1.)RatesInput'!$B$287:$J$310,HLOOKUP(E$4,'[1]A1.)RatesInput'!$B$287:$J$310,2,0),0)),VLOOKUP($A9,'[1]A1.)RatesInput'!$B$287:$J$310,HLOOKUP(E$4,'[1]A1.)RatesInput'!$B$287:$J$310,2,0),0),0)</f>
        <v>18.27</v>
      </c>
      <c r="F9" s="230"/>
      <c r="G9" s="230"/>
      <c r="I9" s="190"/>
      <c r="J9" s="3" t="str">
        <f>CONCATENATE($A$2,"(FS)kW pd 2 HT")</f>
        <v>NYPA(FS)kW pd 2 HT</v>
      </c>
      <c r="K9" s="1085"/>
      <c r="L9" s="1085"/>
    </row>
    <row r="10" spans="1:14" x14ac:dyDescent="0.35">
      <c r="E10" s="195"/>
      <c r="F10" s="230"/>
      <c r="G10" s="230"/>
      <c r="I10" s="190" t="s">
        <v>198</v>
      </c>
      <c r="J10" s="3" t="str">
        <f>CONCATENATE($A$2,"(FS)kW Secondary")</f>
        <v>NYPA(FS)kW Secondary</v>
      </c>
      <c r="K10" s="1085"/>
      <c r="L10" s="1085"/>
    </row>
    <row r="11" spans="1:14" x14ac:dyDescent="0.35">
      <c r="A11" s="3" t="str">
        <f>CONCATENATE($A$2," TOD (LT)")</f>
        <v>NYPA TOD (LT)</v>
      </c>
      <c r="B11" s="3" t="s">
        <v>169</v>
      </c>
      <c r="E11" s="195">
        <f>IF(ISNUMBER(VLOOKUP($A11,'[1]A1.)RatesInput'!$B$315:$J$340,HLOOKUP(E$5,'[1]A1.)RatesInput'!$B$315:$J$340,3,0),0)),VLOOKUP($A11,'[1]A1.)RatesInput'!$B$315:$J$340,HLOOKUP(E$5,'[1]A1.)RatesInput'!$B$315:$J$340,3,0),0),0)</f>
        <v>29.44</v>
      </c>
      <c r="F11" s="230"/>
      <c r="G11" s="230"/>
      <c r="J11" s="3" t="str">
        <f>CONCATENATE($A$2,"(FS)kWh LT")</f>
        <v>NYPA(FS)kWh LT</v>
      </c>
      <c r="K11" s="1085"/>
      <c r="L11" s="1085"/>
    </row>
    <row r="12" spans="1:14" x14ac:dyDescent="0.35">
      <c r="E12" s="195"/>
      <c r="F12" s="230"/>
      <c r="J12" s="3" t="str">
        <f>CONCATENATE($A$2,"(FS)kWh HT")</f>
        <v>NYPA(FS)kWh HT</v>
      </c>
      <c r="K12" s="1085"/>
      <c r="L12" s="1085"/>
    </row>
    <row r="13" spans="1:14" x14ac:dyDescent="0.35">
      <c r="A13" s="3" t="str">
        <f>CONCATENATE($A$2," TOD (HT)")</f>
        <v>NYPA TOD (HT)</v>
      </c>
      <c r="B13" s="3" t="s">
        <v>169</v>
      </c>
      <c r="E13" s="196">
        <f>IF(ISNUMBER(VLOOKUP($A13,'[1]A1.)RatesInput'!$B$315:$J$340,HLOOKUP(E$5,'[1]A1.)RatesInput'!$B$315:$J$340,3,0),0)),VLOOKUP($A13,'[1]A1.)RatesInput'!$B$315:$J$340,HLOOKUP(E$5,'[1]A1.)RatesInput'!$B$315:$J$340,3,0),0),0)</f>
        <v>17.21</v>
      </c>
      <c r="F13" s="230"/>
      <c r="G13" s="230"/>
      <c r="J13" s="3" t="str">
        <f>CONCATENATE($A$2,"(FS)kWh OnPk LT")</f>
        <v>NYPA(FS)kWh OnPk LT</v>
      </c>
      <c r="K13" s="1085"/>
      <c r="L13" s="1085"/>
    </row>
    <row r="14" spans="1:14" ht="15" thickBot="1" x14ac:dyDescent="0.4">
      <c r="J14" s="3" t="str">
        <f>CONCATENATE($A$2,"(FS)kWh OnPk HT")</f>
        <v>NYPA(FS)kWh OnPk HT</v>
      </c>
      <c r="K14" s="1085"/>
      <c r="L14" s="1085"/>
    </row>
    <row r="15" spans="1:14" ht="15.5" thickTop="1" thickBot="1" x14ac:dyDescent="0.4">
      <c r="E15" s="527" t="str">
        <f>E$5</f>
        <v>ED Shifting</v>
      </c>
      <c r="G15" s="423" t="s">
        <v>142</v>
      </c>
      <c r="J15" s="3" t="str">
        <f>CONCATENATE($A$2,"(FS)kWh OffPk LT")</f>
        <v>NYPA(FS)kWh OffPk LT</v>
      </c>
      <c r="K15" s="1085"/>
      <c r="L15" s="1086"/>
      <c r="M15" s="1307" t="s">
        <v>246</v>
      </c>
      <c r="N15" s="1309"/>
    </row>
    <row r="16" spans="1:14" ht="15" thickTop="1" x14ac:dyDescent="0.35">
      <c r="A16" s="3" t="s">
        <v>920</v>
      </c>
      <c r="E16" s="1105">
        <f>'9A.)HL_RedesignRateSummary'!D220</f>
        <v>0</v>
      </c>
      <c r="F16" s="233">
        <f>(E16*8+E19*4)/12</f>
        <v>2.4666666666666668</v>
      </c>
      <c r="G16" s="874">
        <f>C117</f>
        <v>0</v>
      </c>
      <c r="H16" s="233">
        <f>(G16*8+G19*4)/12</f>
        <v>2.4666666666666668</v>
      </c>
      <c r="J16" s="3" t="str">
        <f>CONCATENATE($A$2,"(FS)kWh OffPk HT")</f>
        <v>NYPA(FS)kWh OffPk HT</v>
      </c>
      <c r="K16" s="1087"/>
      <c r="L16" s="1087"/>
      <c r="M16" s="30" t="s">
        <v>42</v>
      </c>
      <c r="N16" s="30" t="s">
        <v>40</v>
      </c>
    </row>
    <row r="17" spans="1:14" x14ac:dyDescent="0.35">
      <c r="A17" s="3" t="s">
        <v>921</v>
      </c>
      <c r="E17" s="1106">
        <f>'9A.)HL_RedesignRateSummary'!D221</f>
        <v>11.89</v>
      </c>
      <c r="F17" s="233">
        <f>(E17*8+E20*4)/12</f>
        <v>14.746666666666668</v>
      </c>
      <c r="G17" s="875">
        <f>C118</f>
        <v>13.2</v>
      </c>
      <c r="H17" s="233">
        <f>(G17*8+G20*4)/12</f>
        <v>16.056666666666668</v>
      </c>
      <c r="I17" s="190" t="s">
        <v>196</v>
      </c>
      <c r="J17" s="3" t="str">
        <f>CONCATENATE($A$2,"(RA)kW pd 1 LT")</f>
        <v>NYPA(RA)kW pd 1 LT</v>
      </c>
      <c r="K17" s="205">
        <f>'12G.)TODL_RateDesign_NYPA_II'!S6</f>
        <v>1512915.5700000003</v>
      </c>
      <c r="L17" s="205">
        <f>'12G.)TODL_RateDesign_NYPA_II'!S11</f>
        <v>0</v>
      </c>
      <c r="M17" s="205">
        <f>K6+K17</f>
        <v>1512915.5700000003</v>
      </c>
      <c r="N17" s="205">
        <f t="shared" ref="N17:N21" si="0">L6+L17</f>
        <v>0</v>
      </c>
    </row>
    <row r="18" spans="1:14" x14ac:dyDescent="0.35">
      <c r="A18" s="3" t="s">
        <v>922</v>
      </c>
      <c r="E18" s="1106">
        <f>'9A.)HL_RedesignRateSummary'!D222</f>
        <v>7.11</v>
      </c>
      <c r="F18" s="233">
        <f>(E18*8+E21*4)/12</f>
        <v>12.229999999999999</v>
      </c>
      <c r="G18" s="875">
        <f>C119</f>
        <v>4.7300000000000004</v>
      </c>
      <c r="H18" s="233">
        <f>(G18*8+G21*4)/12</f>
        <v>9.85</v>
      </c>
      <c r="I18" s="190"/>
      <c r="J18" s="3" t="str">
        <f>CONCATENATE($A$2,"(RA)kW pd 1 HT")</f>
        <v>NYPA(RA)kW pd 1 HT</v>
      </c>
      <c r="K18" s="206">
        <f>'12G.)TODL_RateDesign_NYPA_II'!S16</f>
        <v>1108655.23</v>
      </c>
      <c r="L18" s="206">
        <f>'12G.)TODL_RateDesign_NYPA_II'!S21</f>
        <v>0</v>
      </c>
      <c r="M18" s="206">
        <f t="shared" ref="M18:M21" si="1">K7+K18</f>
        <v>1108655.23</v>
      </c>
      <c r="N18" s="206">
        <f t="shared" si="0"/>
        <v>0</v>
      </c>
    </row>
    <row r="19" spans="1:14" x14ac:dyDescent="0.35">
      <c r="A19" s="3" t="s">
        <v>923</v>
      </c>
      <c r="E19" s="1106">
        <f>'9A.)HL_RedesignRateSummary'!D223</f>
        <v>7.4</v>
      </c>
      <c r="F19" s="233"/>
      <c r="G19" s="875">
        <f>B117</f>
        <v>7.4</v>
      </c>
      <c r="H19" s="233"/>
      <c r="I19" s="190" t="s">
        <v>197</v>
      </c>
      <c r="J19" s="3" t="str">
        <f>CONCATENATE($A$2,"(RA)kW pd 2 LT")</f>
        <v>NYPA(RA)kW pd 2 LT</v>
      </c>
      <c r="K19" s="206">
        <f>'12G.)TODL_RateDesign_NYPA_II'!S7</f>
        <v>1546332.9900000002</v>
      </c>
      <c r="L19" s="206">
        <f>'12G.)TODL_RateDesign_NYPA_II'!S12</f>
        <v>2391948.4691000003</v>
      </c>
      <c r="M19" s="206">
        <f t="shared" si="1"/>
        <v>1546332.9900000002</v>
      </c>
      <c r="N19" s="206">
        <f t="shared" si="0"/>
        <v>2391948.4691000003</v>
      </c>
    </row>
    <row r="20" spans="1:14" x14ac:dyDescent="0.35">
      <c r="A20" s="3" t="s">
        <v>924</v>
      </c>
      <c r="E20" s="1106">
        <f>'9A.)HL_RedesignRateSummary'!D224</f>
        <v>20.46</v>
      </c>
      <c r="F20" s="233"/>
      <c r="G20" s="875">
        <f>B118</f>
        <v>21.77</v>
      </c>
      <c r="H20" s="233"/>
      <c r="I20" s="190"/>
      <c r="J20" s="3" t="str">
        <f>CONCATENATE($A$2,"(RA)kW pd 2 HT")</f>
        <v>NYPA(RA)kW pd 2 HT</v>
      </c>
      <c r="K20" s="206">
        <f>'12G.)TODL_RateDesign_NYPA_II'!S17</f>
        <v>1117067.23</v>
      </c>
      <c r="L20" s="206">
        <f>'12G.)TODL_RateDesign_NYPA_II'!S22</f>
        <v>2123122.56</v>
      </c>
      <c r="M20" s="206">
        <f t="shared" si="1"/>
        <v>1117067.23</v>
      </c>
      <c r="N20" s="206">
        <f t="shared" si="0"/>
        <v>2123122.56</v>
      </c>
    </row>
    <row r="21" spans="1:14" x14ac:dyDescent="0.35">
      <c r="A21" s="3" t="s">
        <v>925</v>
      </c>
      <c r="E21" s="1107">
        <f>'9A.)HL_RedesignRateSummary'!D225</f>
        <v>22.47</v>
      </c>
      <c r="F21" s="233"/>
      <c r="G21" s="876">
        <f>B119</f>
        <v>20.09</v>
      </c>
      <c r="H21" s="233"/>
      <c r="I21" s="190" t="s">
        <v>198</v>
      </c>
      <c r="J21" s="3" t="str">
        <f>CONCATENATE($A$2,"(RA)kW Secondary")</f>
        <v>NYPA(RA)kW Secondary</v>
      </c>
      <c r="K21" s="206">
        <f>'12G.)TODL_RateDesign_NYPA_II'!S8</f>
        <v>1548344.4000000001</v>
      </c>
      <c r="L21" s="206">
        <f>'12G.)TODL_RateDesign_NYPA_II'!S13</f>
        <v>2406738.2999999998</v>
      </c>
      <c r="M21" s="206">
        <f t="shared" si="1"/>
        <v>1548344.4000000001</v>
      </c>
      <c r="N21" s="206">
        <f t="shared" si="0"/>
        <v>2406738.2999999998</v>
      </c>
    </row>
    <row r="22" spans="1:14" x14ac:dyDescent="0.35">
      <c r="F22" s="1070">
        <f>(F16+F17)/(F16+F17+F18)</f>
        <v>0.58462583493716747</v>
      </c>
      <c r="G22" s="2"/>
      <c r="H22" s="1070">
        <f>(H16+H17)/(H16+H17+H18)</f>
        <v>0.65284304511278191</v>
      </c>
      <c r="J22" s="3" t="str">
        <f>CONCATENATE($A$2,"(RA)kWh LT")</f>
        <v>NYPA(RA)kWh LT</v>
      </c>
      <c r="K22" s="1085"/>
      <c r="L22" s="1085"/>
      <c r="M22" s="1085"/>
      <c r="N22" s="1085"/>
    </row>
    <row r="23" spans="1:14" x14ac:dyDescent="0.35">
      <c r="A23" s="17" t="s">
        <v>139</v>
      </c>
      <c r="C23" s="17"/>
      <c r="E23" s="689">
        <f>HLOOKUP($E$3,'[1]A1.)RatesInput'!$D$63:$J$83,'[1]A1.)RatesInput'!$A$80,0)</f>
        <v>1.01108</v>
      </c>
      <c r="G23" s="2"/>
      <c r="H23" s="2"/>
      <c r="I23" s="2"/>
      <c r="J23" s="3" t="str">
        <f>CONCATENATE($A$2,"(RA)kWh HT")</f>
        <v>NYPA(RA)kWh HT</v>
      </c>
      <c r="K23" s="1085"/>
      <c r="L23" s="1085"/>
      <c r="M23" s="1085"/>
      <c r="N23" s="1085"/>
    </row>
    <row r="24" spans="1:14" x14ac:dyDescent="0.35">
      <c r="A24" s="17" t="s">
        <v>137</v>
      </c>
      <c r="C24" s="17"/>
      <c r="E24" s="689">
        <f>HLOOKUP($E$3,'[1]A1.)RatesInput'!$D$63:$J$83,'[1]A1.)RatesInput'!$A$81,0)</f>
        <v>1.0119199999999999</v>
      </c>
      <c r="G24" s="2"/>
      <c r="H24" s="2"/>
      <c r="I24" s="2"/>
      <c r="J24" s="3" t="str">
        <f>CONCATENATE($A$2,"(RA)kWh OnPk LT")</f>
        <v>NYPA(RA)kWh OnPk LT</v>
      </c>
      <c r="K24" s="1085"/>
      <c r="L24" s="1085"/>
      <c r="M24" s="1085"/>
      <c r="N24" s="1085"/>
    </row>
    <row r="25" spans="1:14" x14ac:dyDescent="0.35">
      <c r="A25" s="17" t="s">
        <v>136</v>
      </c>
      <c r="C25" s="17"/>
      <c r="E25" s="689">
        <f>HLOOKUP($E$3,'[1]A1.)RatesInput'!$D$63:$J$83,'[1]A1.)RatesInput'!$A$82,0)</f>
        <v>1.01067</v>
      </c>
      <c r="G25" s="2"/>
      <c r="H25" s="2"/>
      <c r="I25" s="2"/>
      <c r="J25" s="3" t="str">
        <f>CONCATENATE($A$2,"(RA)kWh OnPk HT")</f>
        <v>NYPA(RA)kWh OnPk HT</v>
      </c>
      <c r="K25" s="1085"/>
      <c r="L25" s="1085"/>
      <c r="M25" s="1085"/>
      <c r="N25" s="1085"/>
    </row>
    <row r="26" spans="1:14" x14ac:dyDescent="0.35">
      <c r="G26" s="2"/>
      <c r="H26" s="2"/>
      <c r="I26" s="2"/>
      <c r="J26" s="3" t="str">
        <f>CONCATENATE($A$2,"(RA)kWh OffPk LT")</f>
        <v>NYPA(RA)kWh OffPk LT</v>
      </c>
      <c r="K26" s="1085"/>
      <c r="L26" s="1085"/>
      <c r="M26" s="1085"/>
      <c r="N26" s="1085"/>
    </row>
    <row r="27" spans="1:14" x14ac:dyDescent="0.35">
      <c r="A27" s="3" t="s">
        <v>200</v>
      </c>
      <c r="E27" s="245">
        <f>'[2]4D-7.)HY_TODLRatePxOut(NYPA)'!$W$22+'[2]4D-7.)HY_TODLRatePxOut(NYPA)'!$W$42+'[2]4D-8.)HY_TODLRatePxOut(KIAC)'!$W$22+'[2]4D-8.)HY_TODLRatePxOut(KIAC)'!$W$42</f>
        <v>179480193</v>
      </c>
      <c r="G27" s="2"/>
      <c r="H27" s="2"/>
      <c r="I27" s="2"/>
      <c r="J27" s="3" t="str">
        <f>CONCATENATE($A$2,"(RA)kWh OffPk HT")</f>
        <v>NYPA(RA)kWh OffPk HT</v>
      </c>
      <c r="K27" s="1087"/>
      <c r="L27" s="1087"/>
      <c r="M27" s="1087"/>
      <c r="N27" s="1087"/>
    </row>
    <row r="28" spans="1:14" x14ac:dyDescent="0.35">
      <c r="A28" s="3" t="s">
        <v>201</v>
      </c>
      <c r="E28" s="245">
        <f>'[2]4D-7.)HY_TODLRatePxOut(NYPA)'!$W$21+'[2]4D-7.)HY_TODLRatePxOut(NYPA)'!$W$41+'[2]4D-8.)HY_TODLRatePxOut(KIAC)'!$W$21+'[2]4D-8.)HY_TODLRatePxOut(KIAC)'!$W$41</f>
        <v>51903208</v>
      </c>
      <c r="G28" s="2"/>
      <c r="H28" s="2"/>
      <c r="I28" s="2"/>
    </row>
    <row r="29" spans="1:14" x14ac:dyDescent="0.35">
      <c r="A29" s="3" t="s">
        <v>247</v>
      </c>
      <c r="E29" s="245">
        <f>'[2]4D-7.)HY_TODLRatePxOut(NYPA)'!$Y$44+'[2]4D-8.)HY_TODLRatePxOut(KIAC)'!$Y$44</f>
        <v>181531102</v>
      </c>
      <c r="F29" s="277"/>
      <c r="G29" s="2"/>
      <c r="H29" s="2"/>
      <c r="I29" s="2"/>
    </row>
    <row r="30" spans="1:14" x14ac:dyDescent="0.35">
      <c r="E30" s="2"/>
      <c r="G30" s="2"/>
      <c r="H30" s="2"/>
      <c r="I30" s="2"/>
    </row>
    <row r="31" spans="1:14" x14ac:dyDescent="0.35">
      <c r="G31" s="2"/>
      <c r="H31" s="2"/>
      <c r="I31" s="2"/>
      <c r="K31" s="218"/>
      <c r="L31" s="218"/>
    </row>
    <row r="32" spans="1:14" s="88" customFormat="1" x14ac:dyDescent="0.35"/>
    <row r="33" spans="1:13" x14ac:dyDescent="0.35">
      <c r="A33" s="70" t="str">
        <f>'9F.)HL_RedgnRate_SC5_II'!$A$33</f>
        <v>Development of High Tension / Low Tension Differentials to be used in Revenue Neutral Rate Redesign - 3/3</v>
      </c>
      <c r="I33" s="100" t="s">
        <v>296</v>
      </c>
      <c r="J33" s="808">
        <f>'9A.)HL_RedesignRateSummary'!$F$4</f>
        <v>2019</v>
      </c>
    </row>
    <row r="34" spans="1:13" x14ac:dyDescent="0.35">
      <c r="A34" s="197" t="str">
        <f>$A$2</f>
        <v>NYPA</v>
      </c>
      <c r="I34" s="100" t="s">
        <v>297</v>
      </c>
      <c r="J34" s="808">
        <f>'9A.)HL_RedesignRateSummary'!$F$5</f>
        <v>2017</v>
      </c>
    </row>
    <row r="35" spans="1:13" ht="15" thickBot="1" x14ac:dyDescent="0.4">
      <c r="A35" s="197" t="str">
        <f>$A$3</f>
        <v>Rate II</v>
      </c>
      <c r="B35" s="198"/>
      <c r="I35" s="100" t="s">
        <v>2150</v>
      </c>
      <c r="J35" s="808">
        <f>'9A.)HL_RedesignRateSummary'!$F$3</f>
        <v>2020</v>
      </c>
      <c r="K35" s="3" t="str">
        <f>'9A.)HL_RedesignRateSummary'!$G$3</f>
        <v>RY1</v>
      </c>
    </row>
    <row r="36" spans="1:13" ht="15.5" thickTop="1" thickBot="1" x14ac:dyDescent="0.4">
      <c r="A36" s="199">
        <f>$E$3</f>
        <v>2017</v>
      </c>
      <c r="B36" s="1316" t="s">
        <v>168</v>
      </c>
      <c r="C36" s="1317"/>
      <c r="D36" s="1317"/>
      <c r="E36" s="1317"/>
      <c r="F36" s="1317"/>
      <c r="G36" s="1318"/>
      <c r="I36" s="1316" t="s">
        <v>169</v>
      </c>
      <c r="J36" s="1317"/>
      <c r="K36" s="1317"/>
      <c r="L36" s="1318"/>
    </row>
    <row r="37" spans="1:13" ht="15" thickTop="1" x14ac:dyDescent="0.35">
      <c r="B37" s="1340" t="s">
        <v>171</v>
      </c>
      <c r="C37" s="1340"/>
      <c r="E37" s="30" t="s">
        <v>173</v>
      </c>
      <c r="F37" s="219"/>
      <c r="G37" s="30" t="s">
        <v>174</v>
      </c>
      <c r="I37" s="1340" t="s">
        <v>176</v>
      </c>
      <c r="J37" s="1340"/>
      <c r="K37" s="30" t="s">
        <v>173</v>
      </c>
      <c r="L37" s="30" t="s">
        <v>174</v>
      </c>
      <c r="M37" s="30" t="s">
        <v>1</v>
      </c>
    </row>
    <row r="38" spans="1:13" x14ac:dyDescent="0.35">
      <c r="B38" s="118" t="s">
        <v>8</v>
      </c>
      <c r="C38" s="118" t="s">
        <v>9</v>
      </c>
      <c r="E38" s="30" t="s">
        <v>172</v>
      </c>
      <c r="F38" s="219"/>
      <c r="G38" s="30" t="s">
        <v>175</v>
      </c>
      <c r="I38" s="118" t="s">
        <v>8</v>
      </c>
      <c r="J38" s="118" t="s">
        <v>9</v>
      </c>
      <c r="K38" s="30" t="s">
        <v>172</v>
      </c>
      <c r="L38" s="30" t="s">
        <v>175</v>
      </c>
    </row>
    <row r="39" spans="1:13" x14ac:dyDescent="0.35">
      <c r="B39" s="200" t="s">
        <v>79</v>
      </c>
      <c r="C39" s="200" t="s">
        <v>78</v>
      </c>
      <c r="E39" s="200" t="s">
        <v>181</v>
      </c>
      <c r="F39" s="234"/>
      <c r="G39" s="200" t="s">
        <v>180</v>
      </c>
      <c r="I39" s="200" t="s">
        <v>177</v>
      </c>
      <c r="J39" s="200" t="s">
        <v>178</v>
      </c>
      <c r="K39" s="200" t="s">
        <v>179</v>
      </c>
      <c r="L39" s="200" t="s">
        <v>182</v>
      </c>
      <c r="M39" s="200" t="s">
        <v>183</v>
      </c>
    </row>
    <row r="40" spans="1:13" x14ac:dyDescent="0.35">
      <c r="A40" s="3" t="str">
        <f>CONCATENATE($A$2," TOD")</f>
        <v>NYPA TOD</v>
      </c>
      <c r="B40" s="27">
        <f>E9</f>
        <v>18.27</v>
      </c>
      <c r="C40" s="27">
        <f>E7</f>
        <v>27.75</v>
      </c>
      <c r="E40" s="35">
        <f>C40-B40</f>
        <v>9.48</v>
      </c>
      <c r="F40" s="228"/>
      <c r="G40" s="202">
        <f>B40/C40</f>
        <v>0.65837837837837832</v>
      </c>
      <c r="I40" s="27">
        <f>E13</f>
        <v>17.21</v>
      </c>
      <c r="J40" s="270">
        <f>E11</f>
        <v>29.44</v>
      </c>
      <c r="K40" s="35">
        <f>J40-I40</f>
        <v>12.23</v>
      </c>
      <c r="L40" s="202">
        <f>ROUND(I40/J40,2)</f>
        <v>0.57999999999999996</v>
      </c>
      <c r="M40" s="201">
        <f>L40-G40</f>
        <v>-7.8378378378378355E-2</v>
      </c>
    </row>
    <row r="42" spans="1:13" x14ac:dyDescent="0.35">
      <c r="A42" s="199"/>
    </row>
    <row r="43" spans="1:13" x14ac:dyDescent="0.35">
      <c r="A43" s="70" t="s">
        <v>184</v>
      </c>
      <c r="H43" s="33" t="s">
        <v>520</v>
      </c>
      <c r="I43" s="40">
        <f>'9C.)HL_RedgnRate_SC5_I'!$K$46</f>
        <v>3</v>
      </c>
      <c r="J43" s="136" t="s">
        <v>165</v>
      </c>
    </row>
    <row r="44" spans="1:13" ht="15" thickBot="1" x14ac:dyDescent="0.4">
      <c r="G44" s="30"/>
      <c r="H44" s="33" t="s">
        <v>294</v>
      </c>
      <c r="I44" s="40">
        <f>'9C.)HL_RedgnRate_SC5_I'!$K$47</f>
        <v>3</v>
      </c>
      <c r="J44" s="136" t="s">
        <v>166</v>
      </c>
    </row>
    <row r="45" spans="1:13" ht="15" thickTop="1" x14ac:dyDescent="0.35">
      <c r="C45" s="1327" t="s">
        <v>293</v>
      </c>
      <c r="E45" s="1081" t="s">
        <v>293</v>
      </c>
      <c r="G45" s="1327" t="s">
        <v>168</v>
      </c>
      <c r="I45" s="1081" t="s">
        <v>190</v>
      </c>
    </row>
    <row r="46" spans="1:13" s="30" customFormat="1" ht="15" thickBot="1" x14ac:dyDescent="0.4">
      <c r="C46" s="1328"/>
      <c r="E46" s="1082" t="s">
        <v>187</v>
      </c>
      <c r="F46" s="219"/>
      <c r="G46" s="1328"/>
      <c r="I46" s="1082" t="s">
        <v>191</v>
      </c>
    </row>
    <row r="47" spans="1:13" s="30" customFormat="1" ht="15" thickTop="1" x14ac:dyDescent="0.35">
      <c r="B47" s="30" t="s">
        <v>25</v>
      </c>
      <c r="C47" s="30" t="s">
        <v>185</v>
      </c>
      <c r="E47" s="30" t="s">
        <v>186</v>
      </c>
      <c r="F47" s="219"/>
      <c r="G47" s="30" t="s">
        <v>189</v>
      </c>
      <c r="I47" s="199" t="s">
        <v>295</v>
      </c>
    </row>
    <row r="48" spans="1:13" s="30" customFormat="1" x14ac:dyDescent="0.35">
      <c r="E48" s="30" t="s">
        <v>188</v>
      </c>
      <c r="F48" s="219"/>
    </row>
    <row r="49" spans="1:13" s="30" customFormat="1" ht="15" thickBot="1" x14ac:dyDescent="0.4">
      <c r="C49" s="200" t="s">
        <v>1583</v>
      </c>
      <c r="E49" s="200" t="s">
        <v>1778</v>
      </c>
      <c r="F49" s="234"/>
      <c r="G49" s="200" t="s">
        <v>1173</v>
      </c>
      <c r="I49" s="200" t="s">
        <v>2106</v>
      </c>
      <c r="L49" s="216" t="s">
        <v>214</v>
      </c>
    </row>
    <row r="50" spans="1:13" x14ac:dyDescent="0.35">
      <c r="K50" s="3" t="s">
        <v>193</v>
      </c>
      <c r="L50" s="214">
        <f>1-L51</f>
        <v>0.33999999999999997</v>
      </c>
      <c r="M50" s="136" t="s">
        <v>2105</v>
      </c>
    </row>
    <row r="51" spans="1:13" ht="15" thickBot="1" x14ac:dyDescent="0.4">
      <c r="A51" s="3" t="str">
        <f>CONCATENATE($A$2," TOD")</f>
        <v>NYPA TOD</v>
      </c>
      <c r="C51" s="203">
        <f>L40</f>
        <v>0.57999999999999996</v>
      </c>
      <c r="E51" s="35">
        <f>K40</f>
        <v>12.23</v>
      </c>
      <c r="F51" s="228"/>
      <c r="G51" s="203">
        <f>G40</f>
        <v>0.65837837837837832</v>
      </c>
      <c r="I51" s="870">
        <f>ROUND(C51-ROUND((C51-G51)*(I43/I44),4),2)</f>
        <v>0.66</v>
      </c>
      <c r="K51" s="3" t="s">
        <v>194</v>
      </c>
      <c r="L51" s="215">
        <f>I51</f>
        <v>0.66</v>
      </c>
      <c r="M51" s="136" t="s">
        <v>1111</v>
      </c>
    </row>
    <row r="52" spans="1:13" x14ac:dyDescent="0.35">
      <c r="I52" s="248"/>
    </row>
    <row r="54" spans="1:13" x14ac:dyDescent="0.35">
      <c r="A54" s="70" t="s">
        <v>192</v>
      </c>
    </row>
    <row r="55" spans="1:13" x14ac:dyDescent="0.35">
      <c r="A55" s="190" t="s">
        <v>210</v>
      </c>
    </row>
    <row r="56" spans="1:13" x14ac:dyDescent="0.35">
      <c r="A56" s="190"/>
    </row>
    <row r="57" spans="1:13" x14ac:dyDescent="0.35">
      <c r="A57" s="334" t="s">
        <v>1549</v>
      </c>
    </row>
    <row r="58" spans="1:13" ht="15" thickBot="1" x14ac:dyDescent="0.4">
      <c r="G58" s="30" t="s">
        <v>207</v>
      </c>
    </row>
    <row r="59" spans="1:13" ht="15.5" thickTop="1" thickBot="1" x14ac:dyDescent="0.4">
      <c r="B59" s="1307" t="s">
        <v>203</v>
      </c>
      <c r="C59" s="1309"/>
      <c r="E59" s="30" t="s">
        <v>206</v>
      </c>
      <c r="F59" s="219"/>
      <c r="G59" s="30" t="s">
        <v>208</v>
      </c>
    </row>
    <row r="60" spans="1:13" ht="15" thickTop="1" x14ac:dyDescent="0.35">
      <c r="B60" s="30" t="s">
        <v>42</v>
      </c>
      <c r="C60" s="30" t="s">
        <v>40</v>
      </c>
      <c r="E60" s="30" t="s">
        <v>187</v>
      </c>
      <c r="F60" s="219"/>
      <c r="G60" s="30" t="s">
        <v>209</v>
      </c>
    </row>
    <row r="61" spans="1:13" x14ac:dyDescent="0.35">
      <c r="A61" s="3" t="s">
        <v>196</v>
      </c>
      <c r="B61" s="27">
        <f>E19</f>
        <v>7.4</v>
      </c>
      <c r="C61" s="27">
        <f>E16</f>
        <v>0</v>
      </c>
      <c r="D61" s="136" t="s">
        <v>165</v>
      </c>
      <c r="G61" s="208">
        <f>ROUND(B61*4/12,2)</f>
        <v>2.4700000000000002</v>
      </c>
      <c r="H61" s="136" t="s">
        <v>2112</v>
      </c>
    </row>
    <row r="62" spans="1:13" ht="15" thickBot="1" x14ac:dyDescent="0.4">
      <c r="A62" s="3" t="s">
        <v>197</v>
      </c>
      <c r="B62" s="27">
        <f>E20</f>
        <v>20.46</v>
      </c>
      <c r="C62" s="27">
        <f>E17</f>
        <v>11.89</v>
      </c>
      <c r="D62" s="136" t="s">
        <v>2107</v>
      </c>
      <c r="E62" s="27">
        <f>ROUND(B62-C62,2)</f>
        <v>8.57</v>
      </c>
      <c r="F62" s="136" t="s">
        <v>2110</v>
      </c>
      <c r="G62" s="208">
        <f>ROUND((B62*4+C62*8)/12,2)</f>
        <v>14.75</v>
      </c>
      <c r="H62" s="136" t="s">
        <v>2113</v>
      </c>
      <c r="J62" s="216" t="s">
        <v>203</v>
      </c>
    </row>
    <row r="63" spans="1:13" x14ac:dyDescent="0.35">
      <c r="A63" s="3" t="s">
        <v>198</v>
      </c>
      <c r="B63" s="209">
        <f>E21</f>
        <v>22.47</v>
      </c>
      <c r="C63" s="209">
        <f>E18</f>
        <v>7.11</v>
      </c>
      <c r="D63" s="136" t="s">
        <v>2108</v>
      </c>
      <c r="E63" s="27">
        <f>ROUND(B63-C63,2)</f>
        <v>15.36</v>
      </c>
      <c r="F63" s="136" t="s">
        <v>2111</v>
      </c>
      <c r="G63" s="210">
        <f>ROUND((B63*4+C63*8)/12,2)</f>
        <v>12.23</v>
      </c>
      <c r="H63" s="136" t="s">
        <v>2114</v>
      </c>
      <c r="I63" s="33" t="s">
        <v>211</v>
      </c>
      <c r="J63" s="212">
        <f>ROUND(G63/G64,4)</f>
        <v>0.4153</v>
      </c>
      <c r="K63" s="136" t="s">
        <v>2117</v>
      </c>
    </row>
    <row r="64" spans="1:13" ht="15" thickBot="1" x14ac:dyDescent="0.4">
      <c r="A64" s="3" t="s">
        <v>205</v>
      </c>
      <c r="B64" s="27">
        <f>SUM(B61:B63)</f>
        <v>50.33</v>
      </c>
      <c r="C64" s="27">
        <f>SUM(C61:C63)</f>
        <v>19</v>
      </c>
      <c r="D64" s="136" t="s">
        <v>2109</v>
      </c>
      <c r="G64" s="27">
        <f>SUM(G61:G63)</f>
        <v>29.45</v>
      </c>
      <c r="H64" s="136" t="s">
        <v>2115</v>
      </c>
      <c r="I64" s="33" t="s">
        <v>212</v>
      </c>
      <c r="J64" s="213">
        <f>1-J63</f>
        <v>0.5847</v>
      </c>
      <c r="K64" s="136" t="s">
        <v>2118</v>
      </c>
    </row>
    <row r="65" spans="1:8" x14ac:dyDescent="0.35">
      <c r="H65" s="200"/>
    </row>
    <row r="68" spans="1:8" x14ac:dyDescent="0.35">
      <c r="A68" s="3" t="s">
        <v>200</v>
      </c>
      <c r="G68" s="245">
        <f>E27</f>
        <v>179480193</v>
      </c>
      <c r="H68" s="136" t="s">
        <v>109</v>
      </c>
    </row>
    <row r="69" spans="1:8" ht="15" thickBot="1" x14ac:dyDescent="0.4">
      <c r="A69" s="3" t="s">
        <v>201</v>
      </c>
      <c r="G69" s="245">
        <f>E28</f>
        <v>51903208</v>
      </c>
      <c r="H69" s="136" t="s">
        <v>108</v>
      </c>
    </row>
    <row r="70" spans="1:8" ht="15.5" thickTop="1" thickBot="1" x14ac:dyDescent="0.4">
      <c r="A70" s="3" t="s">
        <v>199</v>
      </c>
      <c r="G70" s="217">
        <f>G69/J63*L50</f>
        <v>42492392.776306279</v>
      </c>
      <c r="H70" s="136" t="s">
        <v>2116</v>
      </c>
    </row>
    <row r="71" spans="1:8" ht="15" thickTop="1" x14ac:dyDescent="0.35">
      <c r="G71" s="8"/>
    </row>
    <row r="73" spans="1:8" x14ac:dyDescent="0.35">
      <c r="A73" s="2"/>
      <c r="B73" s="219" t="s">
        <v>42</v>
      </c>
      <c r="C73" s="219" t="s">
        <v>40</v>
      </c>
      <c r="D73" s="2"/>
      <c r="E73" s="2"/>
      <c r="G73" s="2"/>
    </row>
    <row r="74" spans="1:8" x14ac:dyDescent="0.35">
      <c r="A74" s="2" t="s">
        <v>196</v>
      </c>
      <c r="B74" s="72">
        <f>$M$17+$M$18</f>
        <v>2621570.8000000003</v>
      </c>
      <c r="C74" s="582">
        <f>$N$17+$N$18</f>
        <v>0</v>
      </c>
      <c r="D74" s="581"/>
      <c r="E74" s="2"/>
      <c r="G74" s="2"/>
    </row>
    <row r="75" spans="1:8" x14ac:dyDescent="0.35">
      <c r="A75" s="2" t="s">
        <v>197</v>
      </c>
      <c r="B75" s="72">
        <f>$M$19+$M$20</f>
        <v>2663400.2200000002</v>
      </c>
      <c r="C75" s="72">
        <f>$N$19+$N$20</f>
        <v>4515071.0291000009</v>
      </c>
      <c r="D75" s="581"/>
      <c r="E75" s="2"/>
      <c r="G75" s="2"/>
    </row>
    <row r="76" spans="1:8" x14ac:dyDescent="0.35">
      <c r="A76" s="2" t="s">
        <v>198</v>
      </c>
      <c r="B76" s="72">
        <f>$M$21</f>
        <v>1548344.4000000001</v>
      </c>
      <c r="C76" s="72">
        <f>$N$21</f>
        <v>2406738.2999999998</v>
      </c>
      <c r="D76" s="2"/>
      <c r="E76" s="2"/>
      <c r="G76" s="2"/>
    </row>
    <row r="77" spans="1:8" x14ac:dyDescent="0.35">
      <c r="A77" s="2"/>
      <c r="B77" s="2"/>
      <c r="C77" s="2"/>
      <c r="D77" s="2"/>
      <c r="E77" s="2"/>
      <c r="G77" s="2"/>
    </row>
    <row r="78" spans="1:8" x14ac:dyDescent="0.35">
      <c r="A78" s="221" t="s">
        <v>222</v>
      </c>
      <c r="B78" s="2"/>
      <c r="C78" s="2"/>
      <c r="D78" s="2"/>
      <c r="E78" s="2"/>
      <c r="G78" s="227">
        <f>E63</f>
        <v>15.36</v>
      </c>
      <c r="H78" s="136" t="s">
        <v>1556</v>
      </c>
    </row>
    <row r="79" spans="1:8" x14ac:dyDescent="0.35">
      <c r="B79" s="2"/>
      <c r="C79" s="2"/>
      <c r="D79" s="2"/>
      <c r="E79" s="2"/>
      <c r="G79" s="2"/>
      <c r="H79" s="2"/>
    </row>
    <row r="80" spans="1:8" x14ac:dyDescent="0.35">
      <c r="B80" s="2"/>
      <c r="C80" s="219" t="s">
        <v>25</v>
      </c>
      <c r="D80" s="219"/>
      <c r="E80" s="219"/>
      <c r="F80" s="219"/>
      <c r="G80" s="2"/>
      <c r="H80" s="2"/>
    </row>
    <row r="81" spans="1:8" x14ac:dyDescent="0.35">
      <c r="B81" s="222" t="s">
        <v>215</v>
      </c>
      <c r="C81" s="224">
        <f>B76</f>
        <v>1548344.4000000001</v>
      </c>
      <c r="D81" s="2" t="s">
        <v>217</v>
      </c>
      <c r="E81" s="228">
        <f>G78</f>
        <v>15.36</v>
      </c>
      <c r="F81" s="228"/>
      <c r="G81" s="2"/>
      <c r="H81" s="136" t="s">
        <v>2119</v>
      </c>
    </row>
    <row r="82" spans="1:8" x14ac:dyDescent="0.35">
      <c r="B82" s="222" t="s">
        <v>216</v>
      </c>
      <c r="C82" s="225">
        <f>C76</f>
        <v>2406738.2999999998</v>
      </c>
      <c r="D82" s="2" t="s">
        <v>32</v>
      </c>
      <c r="E82" s="2"/>
      <c r="G82" s="2"/>
      <c r="H82" s="136" t="s">
        <v>2120</v>
      </c>
    </row>
    <row r="83" spans="1:8" x14ac:dyDescent="0.35">
      <c r="C83" s="28">
        <f>C81+C82</f>
        <v>3955082.7</v>
      </c>
      <c r="D83" s="136" t="s">
        <v>1638</v>
      </c>
    </row>
    <row r="85" spans="1:8" x14ac:dyDescent="0.35">
      <c r="B85" s="222" t="s">
        <v>218</v>
      </c>
      <c r="C85" s="34">
        <f>G70</f>
        <v>42492392.776306279</v>
      </c>
      <c r="D85" s="226" t="s">
        <v>31</v>
      </c>
      <c r="E85" s="28">
        <f>C83</f>
        <v>3955082.7</v>
      </c>
      <c r="F85" s="2" t="s">
        <v>217</v>
      </c>
      <c r="G85" s="34">
        <f>ROUND(C81*E81,0)</f>
        <v>23782570</v>
      </c>
      <c r="H85" s="136" t="s">
        <v>2121</v>
      </c>
    </row>
    <row r="86" spans="1:8" x14ac:dyDescent="0.35">
      <c r="C86" s="34">
        <f>C85-G85</f>
        <v>18709822.776306279</v>
      </c>
      <c r="D86" s="226" t="s">
        <v>31</v>
      </c>
      <c r="E86" s="28">
        <f>E85</f>
        <v>3955082.7</v>
      </c>
      <c r="F86" s="2" t="s">
        <v>32</v>
      </c>
      <c r="H86" s="136" t="s">
        <v>2122</v>
      </c>
    </row>
    <row r="87" spans="1:8" x14ac:dyDescent="0.35">
      <c r="B87" s="222" t="s">
        <v>219</v>
      </c>
      <c r="C87" s="222" t="s">
        <v>32</v>
      </c>
      <c r="D87" s="226" t="s">
        <v>31</v>
      </c>
      <c r="E87" s="229">
        <f>ROUND(C86/E86,2)</f>
        <v>4.7300000000000004</v>
      </c>
      <c r="F87" s="228"/>
      <c r="H87" s="136" t="s">
        <v>2123</v>
      </c>
    </row>
    <row r="88" spans="1:8" x14ac:dyDescent="0.35">
      <c r="B88" s="222" t="s">
        <v>220</v>
      </c>
      <c r="D88" s="226" t="s">
        <v>31</v>
      </c>
      <c r="E88" s="229">
        <f>E87+E81</f>
        <v>20.09</v>
      </c>
      <c r="F88" s="228"/>
      <c r="H88" s="136" t="s">
        <v>2124</v>
      </c>
    </row>
    <row r="91" spans="1:8" x14ac:dyDescent="0.35">
      <c r="A91" s="221" t="s">
        <v>223</v>
      </c>
      <c r="G91" s="227">
        <f>B61</f>
        <v>7.4</v>
      </c>
      <c r="H91" s="136" t="s">
        <v>165</v>
      </c>
    </row>
    <row r="93" spans="1:8" x14ac:dyDescent="0.35">
      <c r="B93" s="222" t="s">
        <v>224</v>
      </c>
      <c r="C93" s="28">
        <f>B74</f>
        <v>2621570.8000000003</v>
      </c>
      <c r="D93" s="3" t="s">
        <v>39</v>
      </c>
      <c r="E93" s="27">
        <f>G91</f>
        <v>7.4</v>
      </c>
      <c r="F93" s="226" t="s">
        <v>31</v>
      </c>
      <c r="G93" s="34">
        <f>ROUND(C93*E93,0)</f>
        <v>19399624</v>
      </c>
      <c r="H93" s="136" t="s">
        <v>2125</v>
      </c>
    </row>
    <row r="96" spans="1:8" x14ac:dyDescent="0.35">
      <c r="A96" s="221" t="s">
        <v>234</v>
      </c>
      <c r="G96" s="227">
        <f>E62</f>
        <v>8.57</v>
      </c>
      <c r="H96" s="136" t="s">
        <v>1091</v>
      </c>
    </row>
    <row r="98" spans="2:8" x14ac:dyDescent="0.35">
      <c r="B98" s="3" t="s">
        <v>225</v>
      </c>
      <c r="E98" s="26">
        <f>G68</f>
        <v>179480193</v>
      </c>
      <c r="F98" s="136" t="s">
        <v>109</v>
      </c>
    </row>
    <row r="99" spans="2:8" x14ac:dyDescent="0.35">
      <c r="B99" s="3" t="s">
        <v>226</v>
      </c>
      <c r="E99" s="26">
        <f>G70</f>
        <v>42492392.776306279</v>
      </c>
      <c r="F99" s="136" t="s">
        <v>1574</v>
      </c>
    </row>
    <row r="100" spans="2:8" x14ac:dyDescent="0.35">
      <c r="B100" s="3" t="s">
        <v>227</v>
      </c>
      <c r="E100" s="37">
        <f>G93</f>
        <v>19399624</v>
      </c>
      <c r="F100" s="136" t="s">
        <v>229</v>
      </c>
    </row>
    <row r="101" spans="2:8" x14ac:dyDescent="0.35">
      <c r="B101" s="3" t="s">
        <v>228</v>
      </c>
      <c r="E101" s="34">
        <f>E98-E99-E100</f>
        <v>117588176.22369373</v>
      </c>
      <c r="F101" s="136" t="s">
        <v>2131</v>
      </c>
    </row>
    <row r="104" spans="2:8" x14ac:dyDescent="0.35">
      <c r="B104" s="222" t="s">
        <v>230</v>
      </c>
      <c r="C104" s="224">
        <f>B75</f>
        <v>2663400.2200000002</v>
      </c>
      <c r="D104" s="2" t="s">
        <v>217</v>
      </c>
      <c r="E104" s="27">
        <f>G96</f>
        <v>8.57</v>
      </c>
      <c r="H104" s="136" t="s">
        <v>2126</v>
      </c>
    </row>
    <row r="105" spans="2:8" x14ac:dyDescent="0.35">
      <c r="B105" s="222" t="s">
        <v>231</v>
      </c>
      <c r="C105" s="225">
        <f>C75</f>
        <v>4515071.0291000009</v>
      </c>
      <c r="D105" s="2" t="s">
        <v>32</v>
      </c>
      <c r="H105" s="136" t="s">
        <v>2120</v>
      </c>
    </row>
    <row r="106" spans="2:8" x14ac:dyDescent="0.35">
      <c r="C106" s="28">
        <f>C104+C105</f>
        <v>7178471.2491000015</v>
      </c>
      <c r="D106" s="136" t="s">
        <v>1604</v>
      </c>
    </row>
    <row r="108" spans="2:8" x14ac:dyDescent="0.35">
      <c r="B108" s="222" t="s">
        <v>218</v>
      </c>
      <c r="C108" s="34">
        <f>E101</f>
        <v>117588176.22369373</v>
      </c>
      <c r="D108" s="226" t="s">
        <v>31</v>
      </c>
      <c r="E108" s="28">
        <f>C106</f>
        <v>7178471.2491000015</v>
      </c>
      <c r="F108" s="2" t="s">
        <v>217</v>
      </c>
      <c r="G108" s="34">
        <f>ROUND(C104*E104,0)</f>
        <v>22825340</v>
      </c>
      <c r="H108" s="136" t="s">
        <v>2127</v>
      </c>
    </row>
    <row r="109" spans="2:8" x14ac:dyDescent="0.35">
      <c r="C109" s="34">
        <f>C108-G108</f>
        <v>94762836.223693728</v>
      </c>
      <c r="D109" s="226" t="s">
        <v>31</v>
      </c>
      <c r="E109" s="28">
        <f>E108</f>
        <v>7178471.2491000015</v>
      </c>
      <c r="F109" s="2" t="s">
        <v>32</v>
      </c>
      <c r="H109" s="136" t="s">
        <v>2128</v>
      </c>
    </row>
    <row r="110" spans="2:8" x14ac:dyDescent="0.35">
      <c r="B110" s="222" t="s">
        <v>232</v>
      </c>
      <c r="C110" s="222" t="s">
        <v>32</v>
      </c>
      <c r="D110" s="226" t="s">
        <v>31</v>
      </c>
      <c r="E110" s="229">
        <f>ROUND(C109/E109,2)</f>
        <v>13.2</v>
      </c>
      <c r="H110" s="136" t="s">
        <v>2129</v>
      </c>
    </row>
    <row r="111" spans="2:8" x14ac:dyDescent="0.35">
      <c r="B111" s="222" t="s">
        <v>233</v>
      </c>
      <c r="D111" s="226" t="s">
        <v>31</v>
      </c>
      <c r="E111" s="229">
        <f>E110+E104</f>
        <v>21.77</v>
      </c>
      <c r="H111" s="136" t="s">
        <v>2130</v>
      </c>
    </row>
    <row r="113" spans="1:16" ht="15" thickBot="1" x14ac:dyDescent="0.4">
      <c r="F113" s="3"/>
    </row>
    <row r="114" spans="1:16" ht="15" thickBot="1" x14ac:dyDescent="0.4">
      <c r="A114" s="60"/>
      <c r="B114" s="59"/>
      <c r="C114" s="59"/>
      <c r="D114" s="98"/>
      <c r="F114" s="3"/>
    </row>
    <row r="115" spans="1:16" ht="15.5" thickTop="1" thickBot="1" x14ac:dyDescent="0.4">
      <c r="A115" s="235" t="str">
        <f>$A$2</f>
        <v>NYPA</v>
      </c>
      <c r="B115" s="1307" t="s">
        <v>235</v>
      </c>
      <c r="C115" s="1309"/>
      <c r="D115" s="94"/>
      <c r="F115" s="3"/>
    </row>
    <row r="116" spans="1:16" ht="15" thickTop="1" x14ac:dyDescent="0.35">
      <c r="A116" s="235" t="str">
        <f>$A$3</f>
        <v>Rate II</v>
      </c>
      <c r="B116" s="1083" t="s">
        <v>42</v>
      </c>
      <c r="C116" s="1083" t="s">
        <v>40</v>
      </c>
      <c r="D116" s="94"/>
      <c r="F116" s="3"/>
    </row>
    <row r="117" spans="1:16" x14ac:dyDescent="0.35">
      <c r="A117" s="96" t="s">
        <v>196</v>
      </c>
      <c r="B117" s="237">
        <f>B61</f>
        <v>7.4</v>
      </c>
      <c r="C117" s="237">
        <f>E72</f>
        <v>0</v>
      </c>
      <c r="D117" s="94"/>
      <c r="E117" s="136" t="s">
        <v>165</v>
      </c>
      <c r="F117" s="3"/>
    </row>
    <row r="118" spans="1:16" x14ac:dyDescent="0.35">
      <c r="A118" s="96" t="s">
        <v>197</v>
      </c>
      <c r="B118" s="237">
        <f>E111</f>
        <v>21.77</v>
      </c>
      <c r="C118" s="237">
        <f>E110</f>
        <v>13.2</v>
      </c>
      <c r="D118" s="94"/>
      <c r="E118" s="136" t="s">
        <v>1734</v>
      </c>
      <c r="F118" s="136" t="s">
        <v>1733</v>
      </c>
    </row>
    <row r="119" spans="1:16" x14ac:dyDescent="0.35">
      <c r="A119" s="96" t="s">
        <v>198</v>
      </c>
      <c r="B119" s="209">
        <f>E88</f>
        <v>20.09</v>
      </c>
      <c r="C119" s="209">
        <f>E87</f>
        <v>4.7300000000000004</v>
      </c>
      <c r="D119" s="94"/>
      <c r="E119" s="136" t="s">
        <v>1640</v>
      </c>
      <c r="F119" s="136" t="s">
        <v>1639</v>
      </c>
    </row>
    <row r="120" spans="1:16" x14ac:dyDescent="0.35">
      <c r="A120" s="96" t="s">
        <v>205</v>
      </c>
      <c r="B120" s="237">
        <f>SUM(B117:B119)</f>
        <v>49.260000000000005</v>
      </c>
      <c r="C120" s="237">
        <f>SUM(C117:C119)</f>
        <v>17.93</v>
      </c>
      <c r="D120" s="94"/>
      <c r="E120" s="136" t="s">
        <v>2132</v>
      </c>
      <c r="F120" s="136" t="s">
        <v>2133</v>
      </c>
    </row>
    <row r="121" spans="1:16" ht="15" thickBot="1" x14ac:dyDescent="0.4">
      <c r="A121" s="93"/>
      <c r="B121" s="46"/>
      <c r="C121" s="46"/>
      <c r="D121" s="91"/>
      <c r="F121" s="3"/>
    </row>
    <row r="124" spans="1:16" s="88" customFormat="1" x14ac:dyDescent="0.35"/>
    <row r="125" spans="1:16" ht="18.5" x14ac:dyDescent="0.35">
      <c r="A125" s="238" t="s">
        <v>241</v>
      </c>
      <c r="F125" s="3"/>
    </row>
    <row r="126" spans="1:16" x14ac:dyDescent="0.35">
      <c r="F126" s="3"/>
    </row>
    <row r="127" spans="1:16" x14ac:dyDescent="0.35">
      <c r="F127" s="3"/>
    </row>
    <row r="128" spans="1:16" ht="15" thickBot="1" x14ac:dyDescent="0.4">
      <c r="G128" s="30" t="s">
        <v>207</v>
      </c>
      <c r="O128" s="2"/>
      <c r="P128" s="30" t="s">
        <v>207</v>
      </c>
    </row>
    <row r="129" spans="1:17" ht="15.5" thickTop="1" thickBot="1" x14ac:dyDescent="0.4">
      <c r="A129" s="239" t="str">
        <f>$A$2</f>
        <v>NYPA</v>
      </c>
      <c r="B129" s="1307" t="s">
        <v>203</v>
      </c>
      <c r="C129" s="1309"/>
      <c r="E129" s="30" t="s">
        <v>206</v>
      </c>
      <c r="F129" s="219"/>
      <c r="G129" s="30" t="s">
        <v>208</v>
      </c>
      <c r="J129" s="239" t="str">
        <f>$A$2</f>
        <v>NYPA</v>
      </c>
      <c r="K129" s="1307" t="s">
        <v>235</v>
      </c>
      <c r="L129" s="1309"/>
      <c r="N129" s="30" t="s">
        <v>206</v>
      </c>
      <c r="O129" s="219"/>
      <c r="P129" s="30" t="s">
        <v>208</v>
      </c>
    </row>
    <row r="130" spans="1:17" ht="15" thickTop="1" x14ac:dyDescent="0.35">
      <c r="A130" s="239" t="str">
        <f>$A$3</f>
        <v>Rate II</v>
      </c>
      <c r="B130" s="30" t="s">
        <v>42</v>
      </c>
      <c r="C130" s="30" t="s">
        <v>40</v>
      </c>
      <c r="E130" s="30" t="s">
        <v>187</v>
      </c>
      <c r="F130" s="219"/>
      <c r="G130" s="30" t="s">
        <v>209</v>
      </c>
      <c r="J130" s="239" t="str">
        <f>$A$3</f>
        <v>Rate II</v>
      </c>
      <c r="K130" s="30" t="s">
        <v>42</v>
      </c>
      <c r="L130" s="30" t="s">
        <v>40</v>
      </c>
      <c r="N130" s="30" t="s">
        <v>187</v>
      </c>
      <c r="O130" s="219"/>
      <c r="P130" s="30" t="s">
        <v>209</v>
      </c>
    </row>
    <row r="131" spans="1:17" x14ac:dyDescent="0.35">
      <c r="A131" s="3" t="s">
        <v>196</v>
      </c>
      <c r="B131" s="27">
        <f>B61</f>
        <v>7.4</v>
      </c>
      <c r="C131" s="27">
        <f t="shared" ref="C131:C133" si="2">C61</f>
        <v>0</v>
      </c>
      <c r="G131" s="208">
        <f>ROUND(B131*4/12,2)</f>
        <v>2.4700000000000002</v>
      </c>
      <c r="J131" s="3" t="s">
        <v>196</v>
      </c>
      <c r="K131" s="27">
        <f>B117</f>
        <v>7.4</v>
      </c>
      <c r="L131" s="27">
        <f>C117</f>
        <v>0</v>
      </c>
      <c r="O131" s="2"/>
      <c r="P131" s="208">
        <f>ROUND(K131*4/12,2)</f>
        <v>2.4700000000000002</v>
      </c>
    </row>
    <row r="132" spans="1:17" x14ac:dyDescent="0.35">
      <c r="A132" s="3" t="s">
        <v>197</v>
      </c>
      <c r="B132" s="27">
        <f t="shared" ref="B132:B133" si="3">B62</f>
        <v>20.46</v>
      </c>
      <c r="C132" s="27">
        <f t="shared" si="2"/>
        <v>11.89</v>
      </c>
      <c r="E132" s="27">
        <f>ROUND(B132-C132,2)</f>
        <v>8.57</v>
      </c>
      <c r="F132" s="223"/>
      <c r="G132" s="208">
        <f>ROUND((B132*4+C132*8)/12,2)</f>
        <v>14.75</v>
      </c>
      <c r="J132" s="3" t="s">
        <v>197</v>
      </c>
      <c r="K132" s="27">
        <f t="shared" ref="K132:L133" si="4">B118</f>
        <v>21.77</v>
      </c>
      <c r="L132" s="27">
        <f t="shared" si="4"/>
        <v>13.2</v>
      </c>
      <c r="N132" s="27">
        <f>ROUND(K132-L132,2)</f>
        <v>8.57</v>
      </c>
      <c r="O132" s="223"/>
      <c r="P132" s="208">
        <f>ROUND((K132*4+L132*8)/12,2)</f>
        <v>16.059999999999999</v>
      </c>
    </row>
    <row r="133" spans="1:17" x14ac:dyDescent="0.35">
      <c r="A133" s="3" t="s">
        <v>198</v>
      </c>
      <c r="B133" s="27">
        <f t="shared" si="3"/>
        <v>22.47</v>
      </c>
      <c r="C133" s="27">
        <f t="shared" si="2"/>
        <v>7.11</v>
      </c>
      <c r="E133" s="27">
        <f>ROUND(B133-C133,2)</f>
        <v>15.36</v>
      </c>
      <c r="F133" s="223"/>
      <c r="G133" s="210">
        <f>ROUND((B133*4+C133*8)/12,2)</f>
        <v>12.23</v>
      </c>
      <c r="J133" s="3" t="s">
        <v>198</v>
      </c>
      <c r="K133" s="27">
        <f t="shared" si="4"/>
        <v>20.09</v>
      </c>
      <c r="L133" s="27">
        <f t="shared" si="4"/>
        <v>4.7300000000000004</v>
      </c>
      <c r="N133" s="27">
        <f>ROUND(K133-L133,2)</f>
        <v>15.36</v>
      </c>
      <c r="O133" s="223"/>
      <c r="P133" s="210">
        <f>ROUND((K133*4+L133*8)/12,2)</f>
        <v>9.85</v>
      </c>
    </row>
    <row r="134" spans="1:17" x14ac:dyDescent="0.35">
      <c r="A134" s="3" t="s">
        <v>205</v>
      </c>
      <c r="B134" s="27">
        <f>SUM(B131:B133)</f>
        <v>50.33</v>
      </c>
      <c r="C134" s="27">
        <f>SUM(C131:C133)</f>
        <v>19</v>
      </c>
      <c r="G134" s="27">
        <f>SUM(G131:G133)</f>
        <v>29.45</v>
      </c>
      <c r="J134" s="3" t="s">
        <v>205</v>
      </c>
      <c r="K134" s="27">
        <f>SUM(K131:K133)</f>
        <v>49.260000000000005</v>
      </c>
      <c r="L134" s="27">
        <f>SUM(L131:L133)</f>
        <v>17.93</v>
      </c>
      <c r="O134" s="2"/>
      <c r="P134" s="27">
        <f>SUM(P131:P133)</f>
        <v>28.379999999999995</v>
      </c>
    </row>
    <row r="135" spans="1:17" x14ac:dyDescent="0.35">
      <c r="O135" s="2"/>
    </row>
    <row r="136" spans="1:17" x14ac:dyDescent="0.35">
      <c r="F136" s="33" t="s">
        <v>193</v>
      </c>
      <c r="G136" s="27">
        <f>G133</f>
        <v>12.23</v>
      </c>
      <c r="H136" s="240">
        <f>ROUND(G136/G137,4)</f>
        <v>0.4153</v>
      </c>
      <c r="O136" s="33" t="s">
        <v>193</v>
      </c>
      <c r="P136" s="27">
        <f>P133</f>
        <v>9.85</v>
      </c>
      <c r="Q136" s="240">
        <f>ROUND(P136/P137,4)</f>
        <v>0.34710000000000002</v>
      </c>
    </row>
    <row r="137" spans="1:17" x14ac:dyDescent="0.35">
      <c r="F137" s="33" t="s">
        <v>194</v>
      </c>
      <c r="G137" s="27">
        <f>G134</f>
        <v>29.45</v>
      </c>
      <c r="H137" s="241">
        <f>1-H136</f>
        <v>0.5847</v>
      </c>
      <c r="O137" s="33" t="s">
        <v>194</v>
      </c>
      <c r="P137" s="27">
        <f>P134</f>
        <v>28.379999999999995</v>
      </c>
      <c r="Q137" s="241">
        <f>1-Q136</f>
        <v>0.65290000000000004</v>
      </c>
    </row>
    <row r="138" spans="1:17" ht="15" thickBot="1" x14ac:dyDescent="0.4">
      <c r="O138" s="2"/>
    </row>
    <row r="139" spans="1:17" ht="15.5" thickTop="1" thickBot="1" x14ac:dyDescent="0.4">
      <c r="B139" s="1307" t="s">
        <v>236</v>
      </c>
      <c r="C139" s="1309"/>
      <c r="K139" s="1307" t="s">
        <v>236</v>
      </c>
      <c r="L139" s="1309"/>
      <c r="O139" s="2"/>
    </row>
    <row r="140" spans="1:17" ht="15" thickTop="1" x14ac:dyDescent="0.35">
      <c r="A140" s="3" t="s">
        <v>196</v>
      </c>
      <c r="B140" s="35">
        <f>B131-$C$132</f>
        <v>-4.49</v>
      </c>
      <c r="J140" s="3" t="s">
        <v>196</v>
      </c>
      <c r="K140" s="35">
        <f>K131-$C$132</f>
        <v>-4.49</v>
      </c>
      <c r="O140" s="2"/>
    </row>
    <row r="141" spans="1:17" x14ac:dyDescent="0.35">
      <c r="A141" s="3" t="s">
        <v>197</v>
      </c>
      <c r="B141" s="35">
        <f>B132-$C$132</f>
        <v>8.57</v>
      </c>
      <c r="C141" s="35">
        <f t="shared" ref="C141:C142" si="5">C132-$C$132</f>
        <v>0</v>
      </c>
      <c r="J141" s="3" t="s">
        <v>197</v>
      </c>
      <c r="K141" s="35">
        <f>K132-$C$132</f>
        <v>9.879999999999999</v>
      </c>
      <c r="L141" s="35">
        <f t="shared" ref="L141:L142" si="6">L132-$C$132</f>
        <v>1.3099999999999987</v>
      </c>
      <c r="O141" s="2"/>
    </row>
    <row r="142" spans="1:17" x14ac:dyDescent="0.35">
      <c r="A142" s="3" t="s">
        <v>198</v>
      </c>
      <c r="B142" s="35">
        <f>B133-$C$132</f>
        <v>10.579999999999998</v>
      </c>
      <c r="C142" s="35">
        <f t="shared" si="5"/>
        <v>-4.78</v>
      </c>
      <c r="J142" s="3" t="s">
        <v>198</v>
      </c>
      <c r="K142" s="35">
        <f>K133-$C$132</f>
        <v>8.1999999999999993</v>
      </c>
      <c r="L142" s="35">
        <f t="shared" si="6"/>
        <v>-7.16</v>
      </c>
      <c r="O142" s="2"/>
    </row>
    <row r="143" spans="1:17" x14ac:dyDescent="0.35">
      <c r="O143" s="2"/>
    </row>
    <row r="144" spans="1:17" ht="15" thickBot="1" x14ac:dyDescent="0.4">
      <c r="F144" s="3"/>
    </row>
    <row r="145" spans="1:14" ht="15.5" thickTop="1" thickBot="1" x14ac:dyDescent="0.4">
      <c r="B145" s="1307" t="s">
        <v>25</v>
      </c>
      <c r="C145" s="1309"/>
      <c r="F145" s="3"/>
      <c r="K145" s="1307" t="s">
        <v>25</v>
      </c>
      <c r="L145" s="1309"/>
    </row>
    <row r="146" spans="1:14" ht="15" thickTop="1" x14ac:dyDescent="0.35">
      <c r="B146" s="30" t="s">
        <v>42</v>
      </c>
      <c r="C146" s="30" t="s">
        <v>40</v>
      </c>
      <c r="F146" s="3"/>
      <c r="K146" s="30" t="s">
        <v>42</v>
      </c>
      <c r="L146" s="30" t="s">
        <v>40</v>
      </c>
    </row>
    <row r="147" spans="1:14" x14ac:dyDescent="0.35">
      <c r="A147" s="3" t="s">
        <v>196</v>
      </c>
      <c r="B147" s="242">
        <f>B74</f>
        <v>2621570.8000000003</v>
      </c>
      <c r="C147" s="242">
        <f>C74</f>
        <v>0</v>
      </c>
      <c r="F147" s="3"/>
      <c r="J147" s="3" t="s">
        <v>196</v>
      </c>
      <c r="K147" s="242">
        <f>B147</f>
        <v>2621570.8000000003</v>
      </c>
      <c r="L147" s="242">
        <f t="shared" ref="L147:L149" si="7">C147</f>
        <v>0</v>
      </c>
    </row>
    <row r="148" spans="1:14" x14ac:dyDescent="0.35">
      <c r="A148" s="3" t="s">
        <v>197</v>
      </c>
      <c r="B148" s="242">
        <f t="shared" ref="B148:C149" si="8">B75</f>
        <v>2663400.2200000002</v>
      </c>
      <c r="C148" s="242">
        <f t="shared" si="8"/>
        <v>4515071.0291000009</v>
      </c>
      <c r="F148" s="3"/>
      <c r="J148" s="3" t="s">
        <v>197</v>
      </c>
      <c r="K148" s="242">
        <f t="shared" ref="K148:K149" si="9">B148</f>
        <v>2663400.2200000002</v>
      </c>
      <c r="L148" s="242">
        <f t="shared" si="7"/>
        <v>4515071.0291000009</v>
      </c>
    </row>
    <row r="149" spans="1:14" x14ac:dyDescent="0.35">
      <c r="A149" s="3" t="s">
        <v>198</v>
      </c>
      <c r="B149" s="242">
        <f t="shared" si="8"/>
        <v>1548344.4000000001</v>
      </c>
      <c r="C149" s="242">
        <f t="shared" si="8"/>
        <v>2406738.2999999998</v>
      </c>
      <c r="F149" s="3"/>
      <c r="J149" s="3" t="s">
        <v>198</v>
      </c>
      <c r="K149" s="242">
        <f t="shared" si="9"/>
        <v>1548344.4000000001</v>
      </c>
      <c r="L149" s="242">
        <f t="shared" si="7"/>
        <v>2406738.2999999998</v>
      </c>
    </row>
    <row r="150" spans="1:14" x14ac:dyDescent="0.35">
      <c r="B150" s="242"/>
      <c r="C150" s="242"/>
      <c r="F150" s="3"/>
      <c r="K150" s="242"/>
      <c r="L150" s="242"/>
    </row>
    <row r="151" spans="1:14" ht="15" thickBot="1" x14ac:dyDescent="0.4">
      <c r="F151" s="3"/>
    </row>
    <row r="152" spans="1:14" ht="15.5" thickTop="1" thickBot="1" x14ac:dyDescent="0.4">
      <c r="B152" s="1307" t="s">
        <v>239</v>
      </c>
      <c r="C152" s="1308"/>
      <c r="D152" s="1308"/>
      <c r="E152" s="1309"/>
      <c r="F152" s="3"/>
      <c r="K152" s="1307" t="s">
        <v>239</v>
      </c>
      <c r="L152" s="1308"/>
      <c r="M152" s="1308"/>
      <c r="N152" s="1309"/>
    </row>
    <row r="153" spans="1:14" ht="15" thickTop="1" x14ac:dyDescent="0.35">
      <c r="B153" s="30" t="s">
        <v>42</v>
      </c>
      <c r="C153" s="30" t="s">
        <v>40</v>
      </c>
      <c r="E153" s="30" t="s">
        <v>237</v>
      </c>
      <c r="F153" s="3"/>
      <c r="K153" s="30" t="s">
        <v>42</v>
      </c>
      <c r="L153" s="30" t="s">
        <v>40</v>
      </c>
      <c r="N153" s="30" t="s">
        <v>237</v>
      </c>
    </row>
    <row r="154" spans="1:14" x14ac:dyDescent="0.35">
      <c r="A154" s="3" t="s">
        <v>196</v>
      </c>
      <c r="B154" s="103">
        <f t="shared" ref="B154:C156" si="10">ROUND(B131*B147,0)</f>
        <v>19399624</v>
      </c>
      <c r="C154" s="103">
        <f t="shared" si="10"/>
        <v>0</v>
      </c>
      <c r="E154" s="34">
        <f>B154+C154</f>
        <v>19399624</v>
      </c>
      <c r="F154" s="3"/>
      <c r="J154" s="3" t="s">
        <v>196</v>
      </c>
      <c r="K154" s="103">
        <f t="shared" ref="K154:L156" si="11">ROUND(K131*K147,0)</f>
        <v>19399624</v>
      </c>
      <c r="L154" s="103">
        <f t="shared" si="11"/>
        <v>0</v>
      </c>
      <c r="N154" s="34">
        <f>K154+L154</f>
        <v>19399624</v>
      </c>
    </row>
    <row r="155" spans="1:14" x14ac:dyDescent="0.35">
      <c r="A155" s="3" t="s">
        <v>197</v>
      </c>
      <c r="B155" s="103">
        <f t="shared" si="10"/>
        <v>54493169</v>
      </c>
      <c r="C155" s="103">
        <f t="shared" si="10"/>
        <v>53684195</v>
      </c>
      <c r="E155" s="34">
        <f t="shared" ref="E155:E156" si="12">B155+C155</f>
        <v>108177364</v>
      </c>
      <c r="F155" s="3"/>
      <c r="J155" s="3" t="s">
        <v>197</v>
      </c>
      <c r="K155" s="103">
        <f t="shared" si="11"/>
        <v>57982223</v>
      </c>
      <c r="L155" s="103">
        <f t="shared" si="11"/>
        <v>59598938</v>
      </c>
      <c r="N155" s="34">
        <f t="shared" ref="N155:N156" si="13">K155+L155</f>
        <v>117581161</v>
      </c>
    </row>
    <row r="156" spans="1:14" ht="15" thickBot="1" x14ac:dyDescent="0.4">
      <c r="A156" s="3" t="s">
        <v>198</v>
      </c>
      <c r="B156" s="103">
        <f t="shared" si="10"/>
        <v>34791299</v>
      </c>
      <c r="C156" s="103">
        <f t="shared" si="10"/>
        <v>17111909</v>
      </c>
      <c r="E156" s="34">
        <f t="shared" si="12"/>
        <v>51903208</v>
      </c>
      <c r="F156" s="3"/>
      <c r="J156" s="3" t="s">
        <v>198</v>
      </c>
      <c r="K156" s="103">
        <f t="shared" si="11"/>
        <v>31106239</v>
      </c>
      <c r="L156" s="103">
        <f t="shared" si="11"/>
        <v>11383872</v>
      </c>
      <c r="N156" s="34">
        <f t="shared" si="13"/>
        <v>42490111</v>
      </c>
    </row>
    <row r="157" spans="1:14" ht="15.5" thickTop="1" thickBot="1" x14ac:dyDescent="0.4">
      <c r="A157" s="3" t="s">
        <v>205</v>
      </c>
      <c r="B157" s="243">
        <f>SUM(B154:B156)</f>
        <v>108684092</v>
      </c>
      <c r="C157" s="243">
        <f>SUM(C154:C156)</f>
        <v>70796104</v>
      </c>
      <c r="E157" s="243">
        <f>SUM(E154:E156)</f>
        <v>179480196</v>
      </c>
      <c r="F157" s="3"/>
      <c r="J157" s="3" t="s">
        <v>205</v>
      </c>
      <c r="K157" s="243">
        <f>SUM(K154:K156)</f>
        <v>108488086</v>
      </c>
      <c r="L157" s="243">
        <f>SUM(L154:L156)</f>
        <v>70982810</v>
      </c>
      <c r="N157" s="243">
        <f>SUM(N154:N156)</f>
        <v>179470896</v>
      </c>
    </row>
    <row r="158" spans="1:14" ht="15" thickTop="1" x14ac:dyDescent="0.35">
      <c r="F158" s="3"/>
    </row>
    <row r="159" spans="1:14" x14ac:dyDescent="0.35">
      <c r="A159" s="3" t="s">
        <v>238</v>
      </c>
      <c r="B159" s="3">
        <f>E24</f>
        <v>1.0119199999999999</v>
      </c>
      <c r="C159" s="3">
        <f>E25</f>
        <v>1.01067</v>
      </c>
      <c r="F159" s="3"/>
      <c r="J159" s="3" t="s">
        <v>238</v>
      </c>
      <c r="K159" s="3">
        <f>B159</f>
        <v>1.0119199999999999</v>
      </c>
      <c r="L159" s="3">
        <f>C159</f>
        <v>1.01067</v>
      </c>
    </row>
    <row r="160" spans="1:14" ht="15" thickBot="1" x14ac:dyDescent="0.4">
      <c r="F160" s="3"/>
    </row>
    <row r="161" spans="1:15" ht="15.5" thickTop="1" thickBot="1" x14ac:dyDescent="0.4">
      <c r="B161" s="1307" t="s">
        <v>240</v>
      </c>
      <c r="C161" s="1308"/>
      <c r="D161" s="1308"/>
      <c r="E161" s="1309"/>
      <c r="F161" s="3"/>
      <c r="K161" s="1307" t="s">
        <v>240</v>
      </c>
      <c r="L161" s="1308"/>
      <c r="M161" s="1308"/>
      <c r="N161" s="1309"/>
    </row>
    <row r="162" spans="1:15" ht="15" thickTop="1" x14ac:dyDescent="0.35">
      <c r="B162" s="30" t="s">
        <v>42</v>
      </c>
      <c r="C162" s="30" t="s">
        <v>40</v>
      </c>
      <c r="E162" s="30" t="s">
        <v>237</v>
      </c>
      <c r="F162" s="3"/>
      <c r="K162" s="30" t="s">
        <v>42</v>
      </c>
      <c r="L162" s="30" t="s">
        <v>40</v>
      </c>
      <c r="N162" s="30" t="s">
        <v>237</v>
      </c>
    </row>
    <row r="163" spans="1:15" x14ac:dyDescent="0.35">
      <c r="A163" s="3" t="s">
        <v>196</v>
      </c>
      <c r="B163" s="103">
        <f>ROUND(B154*$B$159,0)</f>
        <v>19630868</v>
      </c>
      <c r="C163" s="103">
        <f>ROUND(C154*$C$159,0)</f>
        <v>0</v>
      </c>
      <c r="E163" s="34">
        <f>B163+C163</f>
        <v>19630868</v>
      </c>
      <c r="F163" s="3"/>
      <c r="J163" s="3" t="s">
        <v>196</v>
      </c>
      <c r="K163" s="103">
        <f>ROUND(K154*$B$159,0)</f>
        <v>19630868</v>
      </c>
      <c r="L163" s="103">
        <f>ROUND(L154*$C$159,0)</f>
        <v>0</v>
      </c>
      <c r="N163" s="34">
        <f>K163+L163</f>
        <v>19630868</v>
      </c>
    </row>
    <row r="164" spans="1:15" x14ac:dyDescent="0.35">
      <c r="A164" s="3" t="s">
        <v>197</v>
      </c>
      <c r="B164" s="103">
        <f>ROUND(B155*$B$159,0)</f>
        <v>55142728</v>
      </c>
      <c r="C164" s="103">
        <f>ROUND(C155*$C$159,0)</f>
        <v>54257005</v>
      </c>
      <c r="E164" s="34">
        <f t="shared" ref="E164:E165" si="14">B164+C164</f>
        <v>109399733</v>
      </c>
      <c r="F164" s="3"/>
      <c r="J164" s="3" t="s">
        <v>197</v>
      </c>
      <c r="K164" s="103">
        <f>ROUND(K155*$B$159,0)</f>
        <v>58673371</v>
      </c>
      <c r="L164" s="103">
        <f>ROUND(L155*$C$159,0)</f>
        <v>60234859</v>
      </c>
      <c r="N164" s="34">
        <f t="shared" ref="N164:N165" si="15">K164+L164</f>
        <v>118908230</v>
      </c>
      <c r="O164" s="288"/>
    </row>
    <row r="165" spans="1:15" ht="15" thickBot="1" x14ac:dyDescent="0.4">
      <c r="A165" s="3" t="s">
        <v>198</v>
      </c>
      <c r="B165" s="103">
        <f>ROUND(B156*$B$159,0)</f>
        <v>35206011</v>
      </c>
      <c r="C165" s="103">
        <f>ROUND(C156*$C$159,0)</f>
        <v>17294493</v>
      </c>
      <c r="E165" s="34">
        <f t="shared" si="14"/>
        <v>52500504</v>
      </c>
      <c r="F165" s="3"/>
      <c r="J165" s="3" t="s">
        <v>198</v>
      </c>
      <c r="K165" s="103">
        <f>ROUND(K156*$B$159,0)</f>
        <v>31477025</v>
      </c>
      <c r="L165" s="103">
        <f>ROUND(L156*$C$159,0)</f>
        <v>11505338</v>
      </c>
      <c r="N165" s="34">
        <f t="shared" si="15"/>
        <v>42982363</v>
      </c>
      <c r="O165" s="288"/>
    </row>
    <row r="166" spans="1:15" ht="15.5" thickTop="1" thickBot="1" x14ac:dyDescent="0.4">
      <c r="A166" s="3" t="s">
        <v>205</v>
      </c>
      <c r="B166" s="243">
        <f>SUM(B163:B165)</f>
        <v>109979607</v>
      </c>
      <c r="C166" s="243">
        <f>SUM(C163:C165)</f>
        <v>71551498</v>
      </c>
      <c r="E166" s="243">
        <f>SUM(E163:E165)</f>
        <v>181531105</v>
      </c>
      <c r="F166" s="3"/>
      <c r="J166" s="3" t="s">
        <v>205</v>
      </c>
      <c r="K166" s="243">
        <f>SUM(K163:K165)</f>
        <v>109781264</v>
      </c>
      <c r="L166" s="243">
        <f>SUM(L163:L165)</f>
        <v>71740197</v>
      </c>
      <c r="N166" s="243">
        <f>SUM(N163:N165)</f>
        <v>181521461</v>
      </c>
      <c r="O166" s="288"/>
    </row>
    <row r="167" spans="1:15" ht="15.5" thickTop="1" thickBot="1" x14ac:dyDescent="0.4">
      <c r="F167" s="3"/>
      <c r="O167" s="288"/>
    </row>
    <row r="168" spans="1:15" ht="15.5" thickTop="1" thickBot="1" x14ac:dyDescent="0.4">
      <c r="A168" s="3" t="s">
        <v>244</v>
      </c>
      <c r="E168" s="247">
        <f>E29</f>
        <v>181531102</v>
      </c>
      <c r="J168" s="3" t="s">
        <v>244</v>
      </c>
      <c r="N168" s="243">
        <f>E168</f>
        <v>181531102</v>
      </c>
      <c r="O168" s="288"/>
    </row>
    <row r="169" spans="1:15" ht="15" thickTop="1" x14ac:dyDescent="0.35">
      <c r="A169" s="3" t="s">
        <v>243</v>
      </c>
      <c r="E169" s="34">
        <f>E166-E168</f>
        <v>3</v>
      </c>
      <c r="J169" s="3" t="s">
        <v>243</v>
      </c>
      <c r="N169" s="34">
        <f>N166-N168</f>
        <v>-9641</v>
      </c>
      <c r="O169" s="288"/>
    </row>
    <row r="170" spans="1:15" x14ac:dyDescent="0.35">
      <c r="A170" s="3" t="s">
        <v>245</v>
      </c>
      <c r="E170" s="244">
        <f>E166/E168-1</f>
        <v>1.6526093604696257E-8</v>
      </c>
      <c r="J170" s="3" t="s">
        <v>245</v>
      </c>
      <c r="N170" s="244">
        <f>N166/N168-1</f>
        <v>-5.3109356434100086E-5</v>
      </c>
      <c r="O170" s="288"/>
    </row>
    <row r="171" spans="1:15" x14ac:dyDescent="0.35">
      <c r="O171" s="288"/>
    </row>
  </sheetData>
  <mergeCells count="19">
    <mergeCell ref="C45:C46"/>
    <mergeCell ref="G45:G46"/>
    <mergeCell ref="M15:N15"/>
    <mergeCell ref="B36:G36"/>
    <mergeCell ref="I36:L36"/>
    <mergeCell ref="B37:C37"/>
    <mergeCell ref="I37:J37"/>
    <mergeCell ref="B59:C59"/>
    <mergeCell ref="B115:C115"/>
    <mergeCell ref="B129:C129"/>
    <mergeCell ref="K129:L129"/>
    <mergeCell ref="B139:C139"/>
    <mergeCell ref="K139:L139"/>
    <mergeCell ref="B145:C145"/>
    <mergeCell ref="K145:L145"/>
    <mergeCell ref="B152:E152"/>
    <mergeCell ref="K152:N152"/>
    <mergeCell ref="B161:E161"/>
    <mergeCell ref="K161:N161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7" max="16383" man="1"/>
    <brk id="124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4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FFCC"/>
  </sheetPr>
  <dimension ref="A1:E119"/>
  <sheetViews>
    <sheetView workbookViewId="0">
      <selection activeCell="D23" sqref="D23"/>
    </sheetView>
  </sheetViews>
  <sheetFormatPr defaultRowHeight="14.5" x14ac:dyDescent="0.35"/>
  <cols>
    <col min="1" max="1" width="7" style="476" customWidth="1"/>
    <col min="2" max="2" width="12.54296875" customWidth="1"/>
    <col min="3" max="3" width="36.81640625" customWidth="1"/>
    <col min="4" max="4" width="142.54296875" customWidth="1"/>
    <col min="5" max="5" width="15.54296875" customWidth="1"/>
  </cols>
  <sheetData>
    <row r="1" spans="1:5" x14ac:dyDescent="0.35">
      <c r="B1" s="131" t="s">
        <v>560</v>
      </c>
      <c r="C1" s="373" t="s">
        <v>2315</v>
      </c>
    </row>
    <row r="3" spans="1:5" ht="15" thickBot="1" x14ac:dyDescent="0.4"/>
    <row r="4" spans="1:5" ht="15.5" thickTop="1" thickBot="1" x14ac:dyDescent="0.4">
      <c r="B4" s="1299" t="s">
        <v>558</v>
      </c>
      <c r="C4" s="1299"/>
      <c r="D4" s="445" t="s">
        <v>561</v>
      </c>
      <c r="E4" s="1029" t="s">
        <v>2043</v>
      </c>
    </row>
    <row r="5" spans="1:5" ht="15" thickTop="1" x14ac:dyDescent="0.35">
      <c r="A5" s="476">
        <v>1</v>
      </c>
      <c r="B5" s="620" t="s">
        <v>562</v>
      </c>
      <c r="C5" s="1030" t="s">
        <v>815</v>
      </c>
      <c r="D5" s="621" t="s">
        <v>816</v>
      </c>
      <c r="E5" s="1034" t="s">
        <v>2044</v>
      </c>
    </row>
    <row r="6" spans="1:5" x14ac:dyDescent="0.35">
      <c r="B6" s="618"/>
      <c r="C6" s="619"/>
      <c r="D6" s="1032"/>
      <c r="E6" s="1035"/>
    </row>
    <row r="7" spans="1:5" x14ac:dyDescent="0.35">
      <c r="A7" s="476">
        <f>A5+1</f>
        <v>2</v>
      </c>
      <c r="B7" s="618" t="s">
        <v>1175</v>
      </c>
      <c r="C7" s="1031" t="s">
        <v>1176</v>
      </c>
      <c r="D7" s="619" t="s">
        <v>1177</v>
      </c>
      <c r="E7" s="1036" t="s">
        <v>2044</v>
      </c>
    </row>
    <row r="8" spans="1:5" x14ac:dyDescent="0.35">
      <c r="B8" s="618"/>
      <c r="C8" s="619"/>
      <c r="D8" s="1032"/>
      <c r="E8" s="1035"/>
    </row>
    <row r="9" spans="1:5" x14ac:dyDescent="0.35">
      <c r="A9" s="476">
        <f>A7+1</f>
        <v>3</v>
      </c>
      <c r="B9" s="618" t="s">
        <v>1326</v>
      </c>
      <c r="C9" s="1031" t="s">
        <v>2250</v>
      </c>
      <c r="D9" s="1032" t="s">
        <v>2251</v>
      </c>
      <c r="E9" s="1036" t="s">
        <v>2044</v>
      </c>
    </row>
    <row r="10" spans="1:5" x14ac:dyDescent="0.35">
      <c r="B10" s="618"/>
      <c r="C10" s="619"/>
      <c r="D10" s="1032"/>
      <c r="E10" s="1035"/>
    </row>
    <row r="11" spans="1:5" x14ac:dyDescent="0.35">
      <c r="A11" s="476">
        <f>A9+1</f>
        <v>4</v>
      </c>
      <c r="B11" s="618" t="s">
        <v>2249</v>
      </c>
      <c r="C11" s="619" t="s">
        <v>1327</v>
      </c>
      <c r="D11" s="1032" t="s">
        <v>1328</v>
      </c>
      <c r="E11" s="1035"/>
    </row>
    <row r="12" spans="1:5" x14ac:dyDescent="0.35">
      <c r="B12" s="618"/>
      <c r="C12" s="619"/>
      <c r="D12" s="1032"/>
      <c r="E12" s="1035"/>
    </row>
    <row r="13" spans="1:5" x14ac:dyDescent="0.35">
      <c r="A13" s="476">
        <f>A11+1</f>
        <v>5</v>
      </c>
      <c r="B13" s="618" t="s">
        <v>565</v>
      </c>
      <c r="C13" s="1031" t="s">
        <v>563</v>
      </c>
      <c r="D13" s="619" t="s">
        <v>627</v>
      </c>
      <c r="E13" s="1036" t="s">
        <v>2044</v>
      </c>
    </row>
    <row r="14" spans="1:5" x14ac:dyDescent="0.35">
      <c r="B14" s="619"/>
      <c r="C14" s="619"/>
      <c r="D14" s="1032"/>
      <c r="E14" s="1035"/>
    </row>
    <row r="15" spans="1:5" x14ac:dyDescent="0.35">
      <c r="A15" s="476">
        <f>A13+1</f>
        <v>6</v>
      </c>
      <c r="B15" s="618" t="s">
        <v>566</v>
      </c>
      <c r="C15" s="1031" t="s">
        <v>564</v>
      </c>
      <c r="D15" s="1032" t="s">
        <v>626</v>
      </c>
      <c r="E15" s="1036" t="s">
        <v>2044</v>
      </c>
    </row>
    <row r="16" spans="1:5" x14ac:dyDescent="0.35">
      <c r="B16" s="618"/>
      <c r="C16" s="619"/>
      <c r="D16" s="1032"/>
      <c r="E16" s="1035"/>
    </row>
    <row r="17" spans="1:5" x14ac:dyDescent="0.35">
      <c r="A17" s="476">
        <f>A15+1</f>
        <v>7</v>
      </c>
      <c r="B17" s="618" t="s">
        <v>567</v>
      </c>
      <c r="C17" s="1031" t="s">
        <v>588</v>
      </c>
      <c r="D17" s="1032" t="s">
        <v>621</v>
      </c>
      <c r="E17" s="1036" t="s">
        <v>2044</v>
      </c>
    </row>
    <row r="18" spans="1:5" x14ac:dyDescent="0.35">
      <c r="B18" s="618"/>
      <c r="C18" s="619"/>
      <c r="D18" s="1032"/>
      <c r="E18" s="1035"/>
    </row>
    <row r="19" spans="1:5" x14ac:dyDescent="0.35">
      <c r="A19" s="476">
        <f>A17+1</f>
        <v>8</v>
      </c>
      <c r="B19" s="618" t="s">
        <v>572</v>
      </c>
      <c r="C19" s="1031" t="s">
        <v>589</v>
      </c>
      <c r="D19" s="1032" t="s">
        <v>622</v>
      </c>
      <c r="E19" s="1036" t="s">
        <v>2044</v>
      </c>
    </row>
    <row r="20" spans="1:5" x14ac:dyDescent="0.35">
      <c r="B20" s="618"/>
      <c r="C20" s="619"/>
      <c r="D20" s="1032"/>
      <c r="E20" s="1035"/>
    </row>
    <row r="21" spans="1:5" x14ac:dyDescent="0.35">
      <c r="A21" s="476">
        <f>A19+1</f>
        <v>9</v>
      </c>
      <c r="B21" s="618" t="s">
        <v>573</v>
      </c>
      <c r="C21" s="1031" t="s">
        <v>783</v>
      </c>
      <c r="D21" s="1032" t="s">
        <v>623</v>
      </c>
      <c r="E21" s="1036" t="s">
        <v>2044</v>
      </c>
    </row>
    <row r="22" spans="1:5" x14ac:dyDescent="0.35">
      <c r="B22" s="618"/>
      <c r="C22" s="619"/>
      <c r="D22" s="1032"/>
      <c r="E22" s="1035"/>
    </row>
    <row r="23" spans="1:5" x14ac:dyDescent="0.35">
      <c r="A23" s="476">
        <f>A21+1</f>
        <v>10</v>
      </c>
      <c r="B23" s="618" t="s">
        <v>574</v>
      </c>
      <c r="C23" s="1031" t="s">
        <v>625</v>
      </c>
      <c r="D23" s="1032" t="s">
        <v>624</v>
      </c>
      <c r="E23" s="1036" t="s">
        <v>2044</v>
      </c>
    </row>
    <row r="24" spans="1:5" x14ac:dyDescent="0.35">
      <c r="B24" s="618"/>
      <c r="C24" s="619"/>
      <c r="D24" s="1032"/>
      <c r="E24" s="1035"/>
    </row>
    <row r="25" spans="1:5" x14ac:dyDescent="0.35">
      <c r="A25" s="476">
        <f>A23+1</f>
        <v>11</v>
      </c>
      <c r="B25" s="618" t="s">
        <v>577</v>
      </c>
      <c r="C25" s="1031" t="s">
        <v>568</v>
      </c>
      <c r="D25" s="1032" t="s">
        <v>2310</v>
      </c>
      <c r="E25" s="1036" t="s">
        <v>2044</v>
      </c>
    </row>
    <row r="26" spans="1:5" x14ac:dyDescent="0.35">
      <c r="B26" s="618"/>
      <c r="C26" s="619"/>
      <c r="D26" s="1032"/>
      <c r="E26" s="1035"/>
    </row>
    <row r="27" spans="1:5" x14ac:dyDescent="0.35">
      <c r="A27" s="476">
        <f>A25+1</f>
        <v>12</v>
      </c>
      <c r="B27" s="618" t="s">
        <v>578</v>
      </c>
      <c r="C27" s="1031" t="s">
        <v>569</v>
      </c>
      <c r="D27" s="1032" t="s">
        <v>583</v>
      </c>
      <c r="E27" s="1036" t="s">
        <v>2044</v>
      </c>
    </row>
    <row r="28" spans="1:5" x14ac:dyDescent="0.35">
      <c r="B28" s="618"/>
      <c r="C28" s="619"/>
      <c r="D28" s="1033"/>
      <c r="E28" s="1035"/>
    </row>
    <row r="29" spans="1:5" x14ac:dyDescent="0.35">
      <c r="A29" s="476">
        <f>A27+1</f>
        <v>13</v>
      </c>
      <c r="B29" s="618" t="s">
        <v>579</v>
      </c>
      <c r="C29" s="619" t="s">
        <v>575</v>
      </c>
      <c r="D29" s="1032" t="s">
        <v>586</v>
      </c>
      <c r="E29" s="1296"/>
    </row>
    <row r="30" spans="1:5" x14ac:dyDescent="0.35">
      <c r="B30" s="618"/>
      <c r="C30" s="619"/>
      <c r="D30" s="1032"/>
      <c r="E30" s="1035"/>
    </row>
    <row r="31" spans="1:5" x14ac:dyDescent="0.35">
      <c r="A31" s="476">
        <f>A29+1</f>
        <v>14</v>
      </c>
      <c r="B31" s="618" t="s">
        <v>580</v>
      </c>
      <c r="C31" s="619" t="s">
        <v>576</v>
      </c>
      <c r="D31" s="1032" t="s">
        <v>587</v>
      </c>
      <c r="E31" s="1296"/>
    </row>
    <row r="32" spans="1:5" x14ac:dyDescent="0.35">
      <c r="B32" s="618"/>
      <c r="C32" s="619"/>
      <c r="D32" s="1032"/>
      <c r="E32" s="1035"/>
    </row>
    <row r="33" spans="1:5" x14ac:dyDescent="0.35">
      <c r="A33" s="476">
        <f>A31+1</f>
        <v>15</v>
      </c>
      <c r="B33" s="618" t="s">
        <v>581</v>
      </c>
      <c r="C33" s="619" t="s">
        <v>1256</v>
      </c>
      <c r="D33" s="1032" t="s">
        <v>1257</v>
      </c>
      <c r="E33" s="1296"/>
    </row>
    <row r="34" spans="1:5" x14ac:dyDescent="0.35">
      <c r="B34" s="618"/>
      <c r="C34" s="619"/>
      <c r="D34" s="1032"/>
      <c r="E34" s="1035"/>
    </row>
    <row r="35" spans="1:5" x14ac:dyDescent="0.35">
      <c r="A35" s="476">
        <f>A33+1</f>
        <v>16</v>
      </c>
      <c r="B35" s="618" t="s">
        <v>807</v>
      </c>
      <c r="C35" s="1031" t="s">
        <v>2311</v>
      </c>
      <c r="D35" s="1032" t="s">
        <v>2312</v>
      </c>
      <c r="E35" s="1036" t="s">
        <v>2044</v>
      </c>
    </row>
    <row r="36" spans="1:5" x14ac:dyDescent="0.35">
      <c r="B36" s="618"/>
      <c r="C36" s="619"/>
      <c r="D36" s="1032"/>
      <c r="E36" s="1035"/>
    </row>
    <row r="37" spans="1:5" x14ac:dyDescent="0.35">
      <c r="A37" s="476">
        <f>A35+1</f>
        <v>17</v>
      </c>
      <c r="B37" s="618" t="s">
        <v>1258</v>
      </c>
      <c r="C37" s="619" t="s">
        <v>570</v>
      </c>
      <c r="D37" s="1032" t="s">
        <v>584</v>
      </c>
      <c r="E37" s="1296"/>
    </row>
    <row r="38" spans="1:5" x14ac:dyDescent="0.35">
      <c r="B38" s="618"/>
      <c r="C38" s="619"/>
      <c r="D38" s="1032"/>
      <c r="E38" s="1035"/>
    </row>
    <row r="39" spans="1:5" x14ac:dyDescent="0.35">
      <c r="A39" s="476">
        <f>A37+1</f>
        <v>18</v>
      </c>
      <c r="B39" s="618" t="s">
        <v>1259</v>
      </c>
      <c r="C39" s="1031" t="s">
        <v>1254</v>
      </c>
      <c r="D39" s="1032" t="s">
        <v>1255</v>
      </c>
      <c r="E39" s="1036" t="s">
        <v>2044</v>
      </c>
    </row>
    <row r="40" spans="1:5" x14ac:dyDescent="0.35">
      <c r="B40" s="618"/>
      <c r="C40" s="619"/>
      <c r="D40" s="1032"/>
      <c r="E40" s="1035"/>
    </row>
    <row r="41" spans="1:5" x14ac:dyDescent="0.35">
      <c r="A41" s="476">
        <f>A39+1</f>
        <v>19</v>
      </c>
      <c r="B41" s="618" t="s">
        <v>1260</v>
      </c>
      <c r="C41" s="619" t="s">
        <v>571</v>
      </c>
      <c r="D41" s="1032" t="s">
        <v>585</v>
      </c>
      <c r="E41" s="1296"/>
    </row>
    <row r="42" spans="1:5" x14ac:dyDescent="0.35">
      <c r="B42" s="618"/>
      <c r="C42" s="619"/>
      <c r="D42" s="1032"/>
      <c r="E42" s="1035"/>
    </row>
    <row r="43" spans="1:5" x14ac:dyDescent="0.35">
      <c r="A43" s="476">
        <f>A41+1</f>
        <v>20</v>
      </c>
      <c r="B43" s="618" t="s">
        <v>2135</v>
      </c>
      <c r="C43" s="1031" t="s">
        <v>2137</v>
      </c>
      <c r="D43" s="1032" t="s">
        <v>2139</v>
      </c>
      <c r="E43" s="1036" t="s">
        <v>2044</v>
      </c>
    </row>
    <row r="44" spans="1:5" x14ac:dyDescent="0.35">
      <c r="B44" s="618"/>
      <c r="C44" s="619"/>
      <c r="D44" s="1032"/>
      <c r="E44" s="1035"/>
    </row>
    <row r="45" spans="1:5" x14ac:dyDescent="0.35">
      <c r="A45" s="476">
        <f>A43+1</f>
        <v>21</v>
      </c>
      <c r="B45" s="618" t="s">
        <v>2136</v>
      </c>
      <c r="C45" s="1031" t="s">
        <v>2138</v>
      </c>
      <c r="D45" s="1032" t="s">
        <v>2140</v>
      </c>
      <c r="E45" s="1036" t="s">
        <v>2044</v>
      </c>
    </row>
    <row r="46" spans="1:5" x14ac:dyDescent="0.35">
      <c r="B46" s="618"/>
      <c r="C46" s="619"/>
      <c r="D46" s="1032"/>
      <c r="E46" s="1035"/>
    </row>
    <row r="47" spans="1:5" x14ac:dyDescent="0.35">
      <c r="A47" s="476">
        <f>A45+1</f>
        <v>22</v>
      </c>
      <c r="B47" s="618" t="s">
        <v>2252</v>
      </c>
      <c r="C47" s="1297" t="s">
        <v>2253</v>
      </c>
      <c r="D47" s="1032" t="s">
        <v>2254</v>
      </c>
      <c r="E47" s="1036" t="s">
        <v>2044</v>
      </c>
    </row>
    <row r="48" spans="1:5" x14ac:dyDescent="0.35">
      <c r="B48" s="618"/>
      <c r="C48" s="619"/>
      <c r="D48" s="1032"/>
      <c r="E48" s="1035"/>
    </row>
    <row r="49" spans="1:5" x14ac:dyDescent="0.35">
      <c r="A49" s="476">
        <f>A47+1</f>
        <v>23</v>
      </c>
      <c r="B49" s="618" t="s">
        <v>594</v>
      </c>
      <c r="C49" s="1031" t="s">
        <v>599</v>
      </c>
      <c r="D49" s="1032" t="s">
        <v>629</v>
      </c>
      <c r="E49" s="1036" t="s">
        <v>2044</v>
      </c>
    </row>
    <row r="50" spans="1:5" x14ac:dyDescent="0.35">
      <c r="B50" s="618"/>
      <c r="C50" s="619"/>
      <c r="D50" s="1032"/>
      <c r="E50" s="1035"/>
    </row>
    <row r="51" spans="1:5" x14ac:dyDescent="0.35">
      <c r="A51" s="476">
        <f>A49+1</f>
        <v>24</v>
      </c>
      <c r="B51" s="618" t="s">
        <v>595</v>
      </c>
      <c r="C51" s="1031" t="s">
        <v>600</v>
      </c>
      <c r="D51" s="1032" t="s">
        <v>614</v>
      </c>
      <c r="E51" s="1036" t="s">
        <v>2044</v>
      </c>
    </row>
    <row r="52" spans="1:5" x14ac:dyDescent="0.35">
      <c r="B52" s="618"/>
      <c r="C52" s="619"/>
      <c r="D52" s="1032"/>
      <c r="E52" s="1035"/>
    </row>
    <row r="53" spans="1:5" x14ac:dyDescent="0.35">
      <c r="A53" s="476">
        <f>A51+1</f>
        <v>25</v>
      </c>
      <c r="B53" s="618" t="s">
        <v>596</v>
      </c>
      <c r="C53" s="1031" t="s">
        <v>601</v>
      </c>
      <c r="D53" s="1032" t="s">
        <v>615</v>
      </c>
      <c r="E53" s="1036" t="s">
        <v>2044</v>
      </c>
    </row>
    <row r="54" spans="1:5" x14ac:dyDescent="0.35">
      <c r="B54" s="618"/>
      <c r="C54" s="619"/>
      <c r="D54" s="1032"/>
      <c r="E54" s="1035"/>
    </row>
    <row r="55" spans="1:5" x14ac:dyDescent="0.35">
      <c r="A55" s="476">
        <f>A53+1</f>
        <v>26</v>
      </c>
      <c r="B55" s="618" t="s">
        <v>597</v>
      </c>
      <c r="C55" s="1031" t="s">
        <v>602</v>
      </c>
      <c r="D55" s="1032" t="s">
        <v>616</v>
      </c>
      <c r="E55" s="1036" t="s">
        <v>2044</v>
      </c>
    </row>
    <row r="56" spans="1:5" x14ac:dyDescent="0.35">
      <c r="B56" s="618"/>
      <c r="C56" s="619"/>
      <c r="D56" s="1032"/>
      <c r="E56" s="1035"/>
    </row>
    <row r="57" spans="1:5" x14ac:dyDescent="0.35">
      <c r="A57" s="476">
        <f>A55+1</f>
        <v>27</v>
      </c>
      <c r="B57" s="618" t="s">
        <v>598</v>
      </c>
      <c r="C57" s="1031" t="s">
        <v>603</v>
      </c>
      <c r="D57" s="1032" t="s">
        <v>617</v>
      </c>
      <c r="E57" s="1036" t="s">
        <v>2044</v>
      </c>
    </row>
    <row r="58" spans="1:5" x14ac:dyDescent="0.35">
      <c r="B58" s="618"/>
      <c r="C58" s="619"/>
      <c r="D58" s="1032"/>
      <c r="E58" s="1035"/>
    </row>
    <row r="59" spans="1:5" x14ac:dyDescent="0.35">
      <c r="A59" s="476">
        <f>A57+1</f>
        <v>28</v>
      </c>
      <c r="B59" s="618" t="s">
        <v>606</v>
      </c>
      <c r="C59" s="1031" t="s">
        <v>604</v>
      </c>
      <c r="D59" s="1032" t="s">
        <v>618</v>
      </c>
      <c r="E59" s="1036" t="s">
        <v>2044</v>
      </c>
    </row>
    <row r="60" spans="1:5" x14ac:dyDescent="0.35">
      <c r="B60" s="618"/>
      <c r="C60" s="619"/>
      <c r="D60" s="1032"/>
      <c r="E60" s="1035"/>
    </row>
    <row r="61" spans="1:5" x14ac:dyDescent="0.35">
      <c r="A61" s="476">
        <f>A59+1</f>
        <v>29</v>
      </c>
      <c r="B61" s="618" t="s">
        <v>607</v>
      </c>
      <c r="C61" s="1031" t="s">
        <v>609</v>
      </c>
      <c r="D61" s="1032" t="s">
        <v>619</v>
      </c>
      <c r="E61" s="1036" t="s">
        <v>2044</v>
      </c>
    </row>
    <row r="62" spans="1:5" x14ac:dyDescent="0.35">
      <c r="B62" s="618"/>
      <c r="C62" s="619"/>
      <c r="D62" s="1032"/>
      <c r="E62" s="1035"/>
    </row>
    <row r="63" spans="1:5" x14ac:dyDescent="0.35">
      <c r="A63" s="476">
        <f>A61+1</f>
        <v>30</v>
      </c>
      <c r="B63" s="618" t="s">
        <v>608</v>
      </c>
      <c r="C63" s="1031" t="s">
        <v>605</v>
      </c>
      <c r="D63" s="1032" t="s">
        <v>620</v>
      </c>
      <c r="E63" s="1036" t="s">
        <v>2044</v>
      </c>
    </row>
    <row r="64" spans="1:5" x14ac:dyDescent="0.35">
      <c r="B64" s="618"/>
      <c r="C64" s="619"/>
      <c r="D64" s="1032"/>
      <c r="E64" s="1035"/>
    </row>
    <row r="65" spans="1:5" x14ac:dyDescent="0.35">
      <c r="A65" s="476">
        <f>A63+1</f>
        <v>31</v>
      </c>
      <c r="B65" s="618" t="s">
        <v>742</v>
      </c>
      <c r="C65" s="1031" t="s">
        <v>582</v>
      </c>
      <c r="D65" s="1032" t="s">
        <v>628</v>
      </c>
      <c r="E65" s="1036" t="s">
        <v>2044</v>
      </c>
    </row>
    <row r="66" spans="1:5" x14ac:dyDescent="0.35">
      <c r="B66" s="618"/>
      <c r="C66" s="619"/>
      <c r="D66" s="1032"/>
      <c r="E66" s="1035"/>
    </row>
    <row r="67" spans="1:5" x14ac:dyDescent="0.35">
      <c r="A67" s="476">
        <f>A65+1</f>
        <v>32</v>
      </c>
      <c r="B67" s="618" t="s">
        <v>743</v>
      </c>
      <c r="C67" s="1031" t="s">
        <v>590</v>
      </c>
      <c r="D67" s="1032" t="s">
        <v>610</v>
      </c>
      <c r="E67" s="1036" t="s">
        <v>2044</v>
      </c>
    </row>
    <row r="68" spans="1:5" x14ac:dyDescent="0.35">
      <c r="B68" s="618"/>
      <c r="C68" s="619"/>
      <c r="D68" s="1032"/>
      <c r="E68" s="1035"/>
    </row>
    <row r="69" spans="1:5" ht="14.5" customHeight="1" x14ac:dyDescent="0.35">
      <c r="A69" s="476">
        <f>A67+1</f>
        <v>33</v>
      </c>
      <c r="B69" s="618" t="s">
        <v>744</v>
      </c>
      <c r="C69" s="1031" t="s">
        <v>591</v>
      </c>
      <c r="D69" s="1032" t="s">
        <v>611</v>
      </c>
      <c r="E69" s="1036" t="s">
        <v>2044</v>
      </c>
    </row>
    <row r="70" spans="1:5" x14ac:dyDescent="0.35">
      <c r="B70" s="618"/>
      <c r="C70" s="619"/>
      <c r="D70" s="1032"/>
      <c r="E70" s="1035"/>
    </row>
    <row r="71" spans="1:5" x14ac:dyDescent="0.35">
      <c r="A71" s="476">
        <f>A69+1</f>
        <v>34</v>
      </c>
      <c r="B71" s="618" t="s">
        <v>745</v>
      </c>
      <c r="C71" s="1031" t="s">
        <v>592</v>
      </c>
      <c r="D71" s="1032" t="s">
        <v>612</v>
      </c>
      <c r="E71" s="1036" t="s">
        <v>2044</v>
      </c>
    </row>
    <row r="72" spans="1:5" x14ac:dyDescent="0.35">
      <c r="B72" s="618"/>
      <c r="C72" s="619"/>
      <c r="D72" s="1032"/>
      <c r="E72" s="1035"/>
    </row>
    <row r="73" spans="1:5" x14ac:dyDescent="0.35">
      <c r="A73" s="476">
        <f>A71+1</f>
        <v>35</v>
      </c>
      <c r="B73" s="618" t="s">
        <v>746</v>
      </c>
      <c r="C73" s="1031" t="s">
        <v>593</v>
      </c>
      <c r="D73" s="1032" t="s">
        <v>613</v>
      </c>
      <c r="E73" s="1036" t="s">
        <v>2044</v>
      </c>
    </row>
    <row r="74" spans="1:5" x14ac:dyDescent="0.35">
      <c r="B74" s="618"/>
      <c r="C74" s="619"/>
      <c r="D74" s="1032"/>
      <c r="E74" s="1035"/>
    </row>
    <row r="75" spans="1:5" x14ac:dyDescent="0.35">
      <c r="A75" s="476">
        <f>A73+1</f>
        <v>36</v>
      </c>
      <c r="B75" s="618" t="s">
        <v>2032</v>
      </c>
      <c r="C75" s="1031" t="s">
        <v>2033</v>
      </c>
      <c r="D75" s="1032" t="s">
        <v>2034</v>
      </c>
      <c r="E75" s="1036" t="s">
        <v>2044</v>
      </c>
    </row>
    <row r="76" spans="1:5" x14ac:dyDescent="0.35">
      <c r="B76" s="618"/>
      <c r="C76" s="619"/>
      <c r="D76" s="1032"/>
      <c r="E76" s="1035"/>
    </row>
    <row r="77" spans="1:5" x14ac:dyDescent="0.35">
      <c r="A77" s="476">
        <f>A75+1</f>
        <v>37</v>
      </c>
      <c r="B77" s="618" t="s">
        <v>808</v>
      </c>
      <c r="C77" s="1031" t="s">
        <v>848</v>
      </c>
      <c r="D77" s="1032" t="s">
        <v>847</v>
      </c>
      <c r="E77" s="1036" t="s">
        <v>2044</v>
      </c>
    </row>
    <row r="78" spans="1:5" x14ac:dyDescent="0.35">
      <c r="B78" s="618"/>
      <c r="C78" s="619"/>
      <c r="D78" s="1032"/>
      <c r="E78" s="1035"/>
    </row>
    <row r="79" spans="1:5" x14ac:dyDescent="0.35">
      <c r="A79" s="476">
        <f>A77+1</f>
        <v>38</v>
      </c>
      <c r="B79" s="618" t="s">
        <v>809</v>
      </c>
      <c r="C79" s="1031" t="s">
        <v>849</v>
      </c>
      <c r="D79" s="1032" t="s">
        <v>817</v>
      </c>
      <c r="E79" s="1036" t="s">
        <v>2044</v>
      </c>
    </row>
    <row r="80" spans="1:5" x14ac:dyDescent="0.35">
      <c r="B80" s="618"/>
      <c r="C80" s="619"/>
      <c r="D80" s="1032"/>
      <c r="E80" s="1035"/>
    </row>
    <row r="81" spans="1:5" x14ac:dyDescent="0.35">
      <c r="A81" s="476">
        <f>A79+1</f>
        <v>39</v>
      </c>
      <c r="B81" s="618" t="s">
        <v>810</v>
      </c>
      <c r="C81" s="1031" t="s">
        <v>850</v>
      </c>
      <c r="D81" s="1032" t="s">
        <v>818</v>
      </c>
      <c r="E81" s="1036" t="s">
        <v>2044</v>
      </c>
    </row>
    <row r="82" spans="1:5" x14ac:dyDescent="0.35">
      <c r="B82" s="618"/>
      <c r="C82" s="619"/>
      <c r="D82" s="1032"/>
      <c r="E82" s="1035"/>
    </row>
    <row r="83" spans="1:5" x14ac:dyDescent="0.35">
      <c r="A83" s="476">
        <f>A81+1</f>
        <v>40</v>
      </c>
      <c r="B83" s="618" t="s">
        <v>811</v>
      </c>
      <c r="C83" s="1031" t="s">
        <v>851</v>
      </c>
      <c r="D83" s="1032" t="s">
        <v>819</v>
      </c>
      <c r="E83" s="1036" t="s">
        <v>2044</v>
      </c>
    </row>
    <row r="84" spans="1:5" x14ac:dyDescent="0.35">
      <c r="B84" s="618"/>
      <c r="C84" s="619"/>
      <c r="D84" s="1032"/>
      <c r="E84" s="1035"/>
    </row>
    <row r="85" spans="1:5" x14ac:dyDescent="0.35">
      <c r="A85" s="476">
        <f>A83+1</f>
        <v>41</v>
      </c>
      <c r="B85" s="618" t="s">
        <v>812</v>
      </c>
      <c r="C85" s="1031" t="s">
        <v>852</v>
      </c>
      <c r="D85" s="1032" t="s">
        <v>820</v>
      </c>
      <c r="E85" s="1036" t="s">
        <v>2044</v>
      </c>
    </row>
    <row r="86" spans="1:5" x14ac:dyDescent="0.35">
      <c r="B86" s="618"/>
      <c r="C86" s="619"/>
      <c r="D86" s="1032"/>
      <c r="E86" s="1035"/>
    </row>
    <row r="87" spans="1:5" x14ac:dyDescent="0.35">
      <c r="A87" s="476">
        <f>A85+1</f>
        <v>42</v>
      </c>
      <c r="B87" s="618" t="s">
        <v>813</v>
      </c>
      <c r="C87" s="1031" t="s">
        <v>853</v>
      </c>
      <c r="D87" s="1032" t="s">
        <v>821</v>
      </c>
      <c r="E87" s="1036" t="s">
        <v>2044</v>
      </c>
    </row>
    <row r="88" spans="1:5" x14ac:dyDescent="0.35">
      <c r="B88" s="618"/>
      <c r="C88" s="619"/>
      <c r="D88" s="1032"/>
      <c r="E88" s="1035"/>
    </row>
    <row r="89" spans="1:5" x14ac:dyDescent="0.35">
      <c r="A89" s="476">
        <f>A87+1</f>
        <v>43</v>
      </c>
      <c r="B89" s="618" t="s">
        <v>814</v>
      </c>
      <c r="C89" s="1031" t="s">
        <v>854</v>
      </c>
      <c r="D89" s="1032" t="s">
        <v>822</v>
      </c>
      <c r="E89" s="1036" t="s">
        <v>2044</v>
      </c>
    </row>
    <row r="90" spans="1:5" x14ac:dyDescent="0.35">
      <c r="B90" s="618"/>
      <c r="C90" s="619"/>
      <c r="D90" s="1032"/>
      <c r="E90" s="1035"/>
    </row>
    <row r="91" spans="1:5" x14ac:dyDescent="0.35">
      <c r="A91" s="476">
        <f>A89+1</f>
        <v>44</v>
      </c>
      <c r="B91" s="618" t="s">
        <v>842</v>
      </c>
      <c r="C91" s="1031" t="s">
        <v>855</v>
      </c>
      <c r="D91" s="1032" t="s">
        <v>846</v>
      </c>
      <c r="E91" s="1036" t="s">
        <v>2044</v>
      </c>
    </row>
    <row r="92" spans="1:5" x14ac:dyDescent="0.35">
      <c r="B92" s="618"/>
      <c r="C92" s="619"/>
      <c r="D92" s="1032"/>
      <c r="E92" s="1035"/>
    </row>
    <row r="93" spans="1:5" x14ac:dyDescent="0.35">
      <c r="A93" s="476">
        <f>A91+1</f>
        <v>45</v>
      </c>
      <c r="B93" s="618" t="s">
        <v>843</v>
      </c>
      <c r="C93" s="1031" t="s">
        <v>856</v>
      </c>
      <c r="D93" s="1032" t="s">
        <v>823</v>
      </c>
      <c r="E93" s="1036" t="s">
        <v>2044</v>
      </c>
    </row>
    <row r="94" spans="1:5" x14ac:dyDescent="0.35">
      <c r="B94" s="618"/>
      <c r="C94" s="619"/>
      <c r="D94" s="1032"/>
      <c r="E94" s="1035"/>
    </row>
    <row r="95" spans="1:5" x14ac:dyDescent="0.35">
      <c r="A95" s="476">
        <f>A93+1</f>
        <v>46</v>
      </c>
      <c r="B95" s="618" t="s">
        <v>844</v>
      </c>
      <c r="C95" s="1031" t="s">
        <v>857</v>
      </c>
      <c r="D95" s="1032" t="s">
        <v>824</v>
      </c>
      <c r="E95" s="1036" t="s">
        <v>2044</v>
      </c>
    </row>
    <row r="96" spans="1:5" x14ac:dyDescent="0.35">
      <c r="B96" s="618"/>
      <c r="C96" s="619"/>
      <c r="D96" s="1032"/>
      <c r="E96" s="1035"/>
    </row>
    <row r="97" spans="1:5" x14ac:dyDescent="0.35">
      <c r="A97" s="476">
        <f>A95+1</f>
        <v>47</v>
      </c>
      <c r="B97" s="618" t="s">
        <v>845</v>
      </c>
      <c r="C97" s="1031" t="s">
        <v>858</v>
      </c>
      <c r="D97" s="1032" t="s">
        <v>825</v>
      </c>
      <c r="E97" s="1036" t="s">
        <v>2044</v>
      </c>
    </row>
    <row r="98" spans="1:5" x14ac:dyDescent="0.35">
      <c r="B98" s="618"/>
      <c r="C98" s="619"/>
      <c r="D98" s="1032"/>
      <c r="E98" s="1035"/>
    </row>
    <row r="99" spans="1:5" x14ac:dyDescent="0.35">
      <c r="A99" s="476">
        <f>A97+1</f>
        <v>48</v>
      </c>
      <c r="B99" s="618" t="s">
        <v>1034</v>
      </c>
      <c r="C99" s="1031" t="s">
        <v>1035</v>
      </c>
      <c r="D99" s="1032" t="s">
        <v>1043</v>
      </c>
      <c r="E99" s="1036" t="s">
        <v>2044</v>
      </c>
    </row>
    <row r="100" spans="1:5" x14ac:dyDescent="0.35">
      <c r="B100" s="618"/>
      <c r="C100" s="619"/>
      <c r="D100" s="1032"/>
      <c r="E100" s="1035"/>
    </row>
    <row r="101" spans="1:5" x14ac:dyDescent="0.35">
      <c r="A101" s="476">
        <f>A99+1</f>
        <v>49</v>
      </c>
      <c r="B101" s="618" t="s">
        <v>1036</v>
      </c>
      <c r="C101" s="1031" t="s">
        <v>1037</v>
      </c>
      <c r="D101" s="1032" t="s">
        <v>1044</v>
      </c>
      <c r="E101" s="1036" t="s">
        <v>2044</v>
      </c>
    </row>
    <row r="102" spans="1:5" x14ac:dyDescent="0.35">
      <c r="B102" s="618"/>
      <c r="C102" s="619"/>
      <c r="D102" s="1032"/>
      <c r="E102" s="1035"/>
    </row>
    <row r="103" spans="1:5" x14ac:dyDescent="0.35">
      <c r="A103" s="476">
        <f>A101+1</f>
        <v>50</v>
      </c>
      <c r="B103" s="618" t="s">
        <v>1038</v>
      </c>
      <c r="C103" s="1031" t="s">
        <v>1039</v>
      </c>
      <c r="D103" s="1032" t="s">
        <v>1045</v>
      </c>
      <c r="E103" s="1036" t="s">
        <v>2044</v>
      </c>
    </row>
    <row r="104" spans="1:5" x14ac:dyDescent="0.35">
      <c r="B104" s="618"/>
      <c r="C104" s="619"/>
      <c r="D104" s="1032"/>
      <c r="E104" s="1035"/>
    </row>
    <row r="105" spans="1:5" x14ac:dyDescent="0.35">
      <c r="A105" s="476">
        <f>A103+1</f>
        <v>51</v>
      </c>
      <c r="B105" s="618" t="s">
        <v>1040</v>
      </c>
      <c r="C105" s="1031" t="s">
        <v>1041</v>
      </c>
      <c r="D105" s="1032" t="s">
        <v>1046</v>
      </c>
      <c r="E105" s="1036" t="s">
        <v>2044</v>
      </c>
    </row>
    <row r="106" spans="1:5" x14ac:dyDescent="0.35">
      <c r="B106" s="618"/>
      <c r="C106" s="619"/>
      <c r="D106" s="1032"/>
      <c r="E106" s="1035"/>
    </row>
    <row r="107" spans="1:5" x14ac:dyDescent="0.35">
      <c r="A107" s="476">
        <f>A105+1</f>
        <v>52</v>
      </c>
      <c r="B107" s="639" t="s">
        <v>1169</v>
      </c>
      <c r="C107" s="1031" t="s">
        <v>1042</v>
      </c>
      <c r="D107" s="1032" t="s">
        <v>1047</v>
      </c>
      <c r="E107" s="1036" t="s">
        <v>2044</v>
      </c>
    </row>
    <row r="108" spans="1:5" x14ac:dyDescent="0.35">
      <c r="B108" s="639"/>
      <c r="C108" s="619"/>
      <c r="D108" s="1032"/>
      <c r="E108" s="1035"/>
    </row>
    <row r="109" spans="1:5" x14ac:dyDescent="0.35">
      <c r="A109" s="476">
        <f>A107+1</f>
        <v>53</v>
      </c>
      <c r="B109" s="618" t="s">
        <v>1170</v>
      </c>
      <c r="C109" s="619" t="s">
        <v>1291</v>
      </c>
      <c r="D109" s="1032" t="s">
        <v>1290</v>
      </c>
      <c r="E109" s="1035"/>
    </row>
    <row r="110" spans="1:5" x14ac:dyDescent="0.35">
      <c r="B110" s="618"/>
      <c r="C110" s="619"/>
      <c r="D110" s="1032"/>
      <c r="E110" s="1035"/>
    </row>
    <row r="111" spans="1:5" x14ac:dyDescent="0.35">
      <c r="A111" s="476">
        <f>A109+1</f>
        <v>54</v>
      </c>
      <c r="B111" s="618" t="s">
        <v>1171</v>
      </c>
      <c r="C111" s="619" t="s">
        <v>1292</v>
      </c>
      <c r="D111" s="1032" t="s">
        <v>1286</v>
      </c>
      <c r="E111" s="1035"/>
    </row>
    <row r="112" spans="1:5" x14ac:dyDescent="0.35">
      <c r="B112" s="618"/>
      <c r="C112" s="619"/>
      <c r="D112" s="1032"/>
      <c r="E112" s="1035"/>
    </row>
    <row r="113" spans="1:5" x14ac:dyDescent="0.35">
      <c r="A113" s="476">
        <f>A111+1</f>
        <v>55</v>
      </c>
      <c r="B113" s="618" t="s">
        <v>1172</v>
      </c>
      <c r="C113" s="619" t="s">
        <v>1293</v>
      </c>
      <c r="D113" s="1032" t="s">
        <v>1287</v>
      </c>
      <c r="E113" s="1035"/>
    </row>
    <row r="114" spans="1:5" x14ac:dyDescent="0.35">
      <c r="B114" s="618"/>
      <c r="C114" s="619"/>
      <c r="D114" s="1032"/>
      <c r="E114" s="1035"/>
    </row>
    <row r="115" spans="1:5" x14ac:dyDescent="0.35">
      <c r="A115" s="476">
        <f>A113+1</f>
        <v>56</v>
      </c>
      <c r="B115" s="618" t="s">
        <v>1284</v>
      </c>
      <c r="C115" s="619" t="s">
        <v>1294</v>
      </c>
      <c r="D115" s="1032" t="s">
        <v>1288</v>
      </c>
      <c r="E115" s="1035"/>
    </row>
    <row r="116" spans="1:5" x14ac:dyDescent="0.35">
      <c r="B116" s="618"/>
      <c r="C116" s="619"/>
      <c r="D116" s="1032"/>
      <c r="E116" s="1035"/>
    </row>
    <row r="117" spans="1:5" x14ac:dyDescent="0.35">
      <c r="A117" s="476">
        <f>A115+1</f>
        <v>57</v>
      </c>
      <c r="B117" s="618" t="s">
        <v>1285</v>
      </c>
      <c r="C117" s="619" t="s">
        <v>1295</v>
      </c>
      <c r="D117" s="1032" t="s">
        <v>1289</v>
      </c>
      <c r="E117" s="1035"/>
    </row>
    <row r="118" spans="1:5" ht="15" thickBot="1" x14ac:dyDescent="0.4">
      <c r="B118" s="618"/>
      <c r="C118" s="619"/>
      <c r="D118" s="1032"/>
      <c r="E118" s="1037"/>
    </row>
    <row r="119" spans="1:5" ht="15" thickTop="1" x14ac:dyDescent="0.35"/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6">
    <tabColor rgb="FFFFFF00"/>
  </sheetPr>
  <dimension ref="B1:I148"/>
  <sheetViews>
    <sheetView workbookViewId="0">
      <selection activeCell="M73" sqref="M73"/>
    </sheetView>
  </sheetViews>
  <sheetFormatPr defaultRowHeight="14.5" outlineLevelCol="1" x14ac:dyDescent="0.35"/>
  <cols>
    <col min="1" max="1" width="4" customWidth="1"/>
    <col min="2" max="2" width="7" customWidth="1"/>
    <col min="3" max="3" width="45.81640625" customWidth="1"/>
    <col min="4" max="4" width="17.7265625" customWidth="1"/>
    <col min="5" max="5" width="15.54296875" customWidth="1"/>
    <col min="6" max="6" width="14.26953125" style="425" customWidth="1"/>
    <col min="7" max="7" width="14.26953125" customWidth="1"/>
    <col min="8" max="8" width="19.54296875" style="528" hidden="1" customWidth="1" outlineLevel="1"/>
    <col min="9" max="9" width="14.26953125" style="528" customWidth="1" collapsed="1"/>
    <col min="10" max="11" width="14.26953125" customWidth="1"/>
    <col min="12" max="12" width="7.7265625" customWidth="1"/>
    <col min="13" max="14" width="14.26953125" customWidth="1"/>
  </cols>
  <sheetData>
    <row r="1" spans="2:9" ht="15.5" x14ac:dyDescent="0.35">
      <c r="B1" s="448" t="s">
        <v>631</v>
      </c>
      <c r="C1" s="438" t="s">
        <v>556</v>
      </c>
    </row>
    <row r="2" spans="2:9" x14ac:dyDescent="0.35">
      <c r="C2" s="372" t="str">
        <f>CONCATENATE('10B.)Energy_RateDesign_SC1_I'!$C$3," $",'10B.)Energy_RateDesign_SC1_I'!$E$3/1000000,"M")</f>
        <v>Proposed Rate Change: $113.251M</v>
      </c>
    </row>
    <row r="3" spans="2:9" x14ac:dyDescent="0.35">
      <c r="C3" s="1072" t="s">
        <v>150</v>
      </c>
      <c r="D3" s="833">
        <f>'[1]A1.)RatesInput'!$G$4</f>
        <v>2019</v>
      </c>
    </row>
    <row r="4" spans="2:9" x14ac:dyDescent="0.35">
      <c r="C4" s="367" t="s">
        <v>5</v>
      </c>
      <c r="D4" s="833">
        <f>'[1]A1.)RatesInput'!$I$3</f>
        <v>2020</v>
      </c>
      <c r="E4" s="1" t="str">
        <f>'[1]A1.)RatesInput'!$I$2</f>
        <v>RY1</v>
      </c>
      <c r="I4"/>
    </row>
    <row r="5" spans="2:9" ht="15" thickBot="1" x14ac:dyDescent="0.4">
      <c r="H5"/>
      <c r="I5"/>
    </row>
    <row r="6" spans="2:9" ht="15" thickBot="1" x14ac:dyDescent="0.4">
      <c r="B6" s="131" t="s">
        <v>533</v>
      </c>
      <c r="C6" s="435" t="s">
        <v>529</v>
      </c>
      <c r="D6" s="400" t="str">
        <f>'10B.)Energy_RateDesign_SC1_I'!$A$4</f>
        <v>SC1 Rate I</v>
      </c>
      <c r="E6" s="436"/>
      <c r="H6"/>
      <c r="I6"/>
    </row>
    <row r="7" spans="2:9" x14ac:dyDescent="0.35">
      <c r="C7" s="435" t="s">
        <v>528</v>
      </c>
      <c r="D7" s="372" t="s">
        <v>555</v>
      </c>
      <c r="H7" t="s">
        <v>1550</v>
      </c>
      <c r="I7"/>
    </row>
    <row r="8" spans="2:9" x14ac:dyDescent="0.35">
      <c r="C8" s="570" t="s">
        <v>1062</v>
      </c>
      <c r="D8" s="886" t="s">
        <v>170</v>
      </c>
      <c r="H8" s="296" t="s">
        <v>964</v>
      </c>
    </row>
    <row r="9" spans="2:9" x14ac:dyDescent="0.35">
      <c r="C9" s="570" t="s">
        <v>1063</v>
      </c>
      <c r="D9" s="886" t="s">
        <v>2149</v>
      </c>
      <c r="E9" s="428" t="s">
        <v>521</v>
      </c>
      <c r="F9" s="428" t="s">
        <v>526</v>
      </c>
      <c r="H9" s="490">
        <v>2019</v>
      </c>
    </row>
    <row r="10" spans="2:9" x14ac:dyDescent="0.35">
      <c r="C10" s="435" t="s">
        <v>527</v>
      </c>
      <c r="D10" s="577" t="s">
        <v>1071</v>
      </c>
      <c r="E10" s="296"/>
      <c r="H10" s="296" t="s">
        <v>963</v>
      </c>
    </row>
    <row r="11" spans="2:9" x14ac:dyDescent="0.35">
      <c r="C11" s="406" t="s">
        <v>1065</v>
      </c>
      <c r="D11" s="643">
        <f>IF(ISNUMBER(VLOOKUP($C11,'[1]A1.)RatesInput'!$B$87:$J$97,HLOOKUP(D$8,'[1]A1.)RatesInput'!$D$87:$J$89,3,0),0)),VLOOKUP($C11,'[1]A1.)RatesInput'!$B$87:$J$97,HLOOKUP(D$8,'[1]A1.)RatesInput'!$D$87:$J$89,3,0),0),0)</f>
        <v>15.76</v>
      </c>
      <c r="E11" s="848">
        <f>'10B.)Energy_RateDesign_SC1_I'!$F8</f>
        <v>16</v>
      </c>
      <c r="F11" s="433">
        <f t="shared" ref="F11:F16" si="0">IF(ISNUMBER(E11/D11-1),E11/D11-1,"")</f>
        <v>1.5228426395939021E-2</v>
      </c>
      <c r="H11" s="434">
        <f>IF(ISNUMBER(VLOOKUP($C11,'[1]A1.)RatesInput'!$B$87:$J$97,HLOOKUP(H$9,'[1]A1.)RatesInput'!$D$87:$J$89,3,0),0)),VLOOKUP($C11,'[1]A1.)RatesInput'!$B$87:$J$97,HLOOKUP(H$9,'[1]A1.)RatesInput'!$D$87:$J$89,3,0),0),0)</f>
        <v>15.76</v>
      </c>
      <c r="I11" s="890"/>
    </row>
    <row r="12" spans="2:9" x14ac:dyDescent="0.35">
      <c r="C12" s="406" t="s">
        <v>1066</v>
      </c>
      <c r="D12" s="644">
        <f>IF(ISNUMBER(VLOOKUP($C12,'[1]A1.)RatesInput'!$B$87:$J$97,HLOOKUP(D$8,'[1]A1.)RatesInput'!$D$87:$J$89,3,0),0)),VLOOKUP($C12,'[1]A1.)RatesInput'!$B$87:$J$97,HLOOKUP(D$8,'[1]A1.)RatesInput'!$D$87:$J$89,3,0),0),0)</f>
        <v>15.76</v>
      </c>
      <c r="E12" s="847">
        <f>'10B.)Energy_RateDesign_SC1_I'!$F9</f>
        <v>16</v>
      </c>
      <c r="F12" s="431">
        <f t="shared" si="0"/>
        <v>1.5228426395939021E-2</v>
      </c>
      <c r="H12" s="432">
        <f>IF(ISNUMBER(VLOOKUP($C12,'[1]A1.)RatesInput'!$B$87:$J$97,HLOOKUP(H$9,'[1]A1.)RatesInput'!$D$87:$J$89,3,0),0)),VLOOKUP($C12,'[1]A1.)RatesInput'!$B$87:$J$97,HLOOKUP(H$9,'[1]A1.)RatesInput'!$D$87:$J$89,3,0),0),0)</f>
        <v>15.76</v>
      </c>
    </row>
    <row r="13" spans="2:9" x14ac:dyDescent="0.35">
      <c r="C13" s="406" t="s">
        <v>889</v>
      </c>
      <c r="D13" s="1229">
        <f>IF('[1]A1.)RatesInput'!$P$99="Y",IF(ISNUMBER(VLOOKUP($C13,'[1]A1.)RatesInput'!$B$102:$Q$190,HLOOKUP(D$9,'[1]A1.)RatesInput'!$O$102:$Q$104,3,0),0)),VLOOKUP($C13,'[1]A1.)RatesInput'!$B$102:$Q$190,HLOOKUP(D$9,'[1]A1.)RatesInput'!$O$102:$Q$104,3,0),0),0),IF(ISNUMBER(VLOOKUP($C13,'[1]A1.)RatesInput'!$B$102:$I$190,HLOOKUP(D$9,'[1]A1.)RatesInput'!$D$102:$I$104,3,0),0)),VLOOKUP($C13,'[1]A1.)RatesInput'!$B$102:$I$190,HLOOKUP(D$9,'[1]A1.)RatesInput'!$D$102:$I$104,3,0),0),0))</f>
        <v>0.10817</v>
      </c>
      <c r="E13" s="887">
        <f>'10B.)Energy_RateDesign_SC1_I'!$F10</f>
        <v>0.11125</v>
      </c>
      <c r="F13" s="431">
        <f t="shared" si="0"/>
        <v>2.8473698807432779E-2</v>
      </c>
      <c r="H13" s="432">
        <f>IF(ISNUMBER(VLOOKUP($C13,'[1]A1.)RatesInput'!$B$102:$L$190,HLOOKUP(H$9,'[1]A1.)RatesInput'!$D$102:$L$104,3,0),0)),VLOOKUP($C13,'[1]A1.)RatesInput'!$B$102:$L$190,HLOOKUP(H$9,'[1]A1.)RatesInput'!$D$102:$L$104,3,0),0),0)</f>
        <v>0.10817</v>
      </c>
    </row>
    <row r="14" spans="2:9" x14ac:dyDescent="0.35">
      <c r="C14" s="406" t="s">
        <v>890</v>
      </c>
      <c r="D14" s="1229">
        <f>IF('[1]A1.)RatesInput'!$P$99="Y",IF(ISNUMBER(VLOOKUP($C14,'[1]A1.)RatesInput'!$B$102:$Q$190,HLOOKUP(D$9,'[1]A1.)RatesInput'!$O$102:$Q$104,3,0),0)),VLOOKUP($C14,'[1]A1.)RatesInput'!$B$102:$Q$190,HLOOKUP(D$9,'[1]A1.)RatesInput'!$O$102:$Q$104,3,0),0),0),IF(ISNUMBER(VLOOKUP($C14,'[1]A1.)RatesInput'!$B$102:$I$190,HLOOKUP(D$9,'[1]A1.)RatesInput'!$D$102:$I$104,3,0),0)),VLOOKUP($C14,'[1]A1.)RatesInput'!$B$102:$I$190,HLOOKUP(D$9,'[1]A1.)RatesInput'!$D$102:$I$104,3,0),0),0))</f>
        <v>0.12434000000000001</v>
      </c>
      <c r="E14" s="887">
        <f>'10B.)Energy_RateDesign_SC1_I'!$F11</f>
        <v>0.12787999999999999</v>
      </c>
      <c r="F14" s="431">
        <f t="shared" si="0"/>
        <v>2.8470323307061118E-2</v>
      </c>
      <c r="H14" s="432">
        <f>IF(ISNUMBER(VLOOKUP($C14,'[1]A1.)RatesInput'!$B$102:$L$190,HLOOKUP(H$9,'[1]A1.)RatesInput'!$D$102:$L$104,3,0),0)),VLOOKUP($C14,'[1]A1.)RatesInput'!$B$102:$L$190,HLOOKUP(H$9,'[1]A1.)RatesInput'!$D$102:$L$104,3,0),0),0)</f>
        <v>0.12434000000000001</v>
      </c>
    </row>
    <row r="15" spans="2:9" x14ac:dyDescent="0.35">
      <c r="C15" s="406" t="s">
        <v>891</v>
      </c>
      <c r="D15" s="1229">
        <f>IF('[1]A1.)RatesInput'!$P$99="Y",IF(ISNUMBER(VLOOKUP($C15,'[1]A1.)RatesInput'!$B$102:$Q$190,HLOOKUP(D$9,'[1]A1.)RatesInput'!$O$102:$Q$104,3,0),0)),VLOOKUP($C15,'[1]A1.)RatesInput'!$B$102:$Q$190,HLOOKUP(D$9,'[1]A1.)RatesInput'!$O$102:$Q$104,3,0),0),0),IF(ISNUMBER(VLOOKUP($C15,'[1]A1.)RatesInput'!$B$102:$I$190,HLOOKUP(D$9,'[1]A1.)RatesInput'!$D$102:$I$104,3,0),0)),VLOOKUP($C15,'[1]A1.)RatesInput'!$B$102:$I$190,HLOOKUP(D$9,'[1]A1.)RatesInput'!$D$102:$I$104,3,0),0),0))</f>
        <v>0.10817</v>
      </c>
      <c r="E15" s="887">
        <f>'10B.)Energy_RateDesign_SC1_I'!$F12</f>
        <v>0.11125</v>
      </c>
      <c r="F15" s="431">
        <f t="shared" si="0"/>
        <v>2.8473698807432779E-2</v>
      </c>
      <c r="H15" s="432">
        <f>IF(ISNUMBER(VLOOKUP($C15,'[1]A1.)RatesInput'!$B$102:$L$190,HLOOKUP(H$9,'[1]A1.)RatesInput'!$D$102:$L$104,3,0),0)),VLOOKUP($C15,'[1]A1.)RatesInput'!$B$102:$L$190,HLOOKUP(H$9,'[1]A1.)RatesInput'!$D$102:$L$104,3,0),0),0)</f>
        <v>0.10817</v>
      </c>
    </row>
    <row r="16" spans="2:9" x14ac:dyDescent="0.35">
      <c r="C16" s="406" t="s">
        <v>892</v>
      </c>
      <c r="D16" s="1229">
        <f>IF('[1]A1.)RatesInput'!$P$99="Y",IF(ISNUMBER(VLOOKUP($C16,'[1]A1.)RatesInput'!$B$102:$Q$190,HLOOKUP(D$9,'[1]A1.)RatesInput'!$O$102:$Q$104,3,0),0)),VLOOKUP($C16,'[1]A1.)RatesInput'!$B$102:$Q$190,HLOOKUP(D$9,'[1]A1.)RatesInput'!$O$102:$Q$104,3,0),0),0),IF(ISNUMBER(VLOOKUP($C16,'[1]A1.)RatesInput'!$B$102:$I$190,HLOOKUP(D$9,'[1]A1.)RatesInput'!$D$102:$I$104,3,0),0)),VLOOKUP($C16,'[1]A1.)RatesInput'!$B$102:$I$190,HLOOKUP(D$9,'[1]A1.)RatesInput'!$D$102:$I$104,3,0),0),0))</f>
        <v>0.10817</v>
      </c>
      <c r="E16" s="887">
        <f>'10B.)Energy_RateDesign_SC1_I'!$F13</f>
        <v>0.11125</v>
      </c>
      <c r="F16" s="431">
        <f t="shared" si="0"/>
        <v>2.8473698807432779E-2</v>
      </c>
      <c r="H16" s="432">
        <f>IF(ISNUMBER(VLOOKUP($C16,'[1]A1.)RatesInput'!$B$102:$L$190,HLOOKUP(H$9,'[1]A1.)RatesInput'!$D$102:$L$104,3,0),0)),VLOOKUP($C16,'[1]A1.)RatesInput'!$B$102:$L$190,HLOOKUP(H$9,'[1]A1.)RatesInput'!$D$102:$L$104,3,0),0),0)</f>
        <v>0.10817</v>
      </c>
    </row>
    <row r="17" spans="2:9" x14ac:dyDescent="0.35">
      <c r="C17" s="406" t="s">
        <v>164</v>
      </c>
      <c r="D17" s="574"/>
      <c r="E17" s="575"/>
      <c r="F17" s="429"/>
      <c r="H17" s="889"/>
    </row>
    <row r="18" spans="2:9" x14ac:dyDescent="0.35">
      <c r="H18"/>
    </row>
    <row r="19" spans="2:9" hidden="1" x14ac:dyDescent="0.35">
      <c r="H19"/>
    </row>
    <row r="20" spans="2:9" x14ac:dyDescent="0.35">
      <c r="C20" s="133" t="s">
        <v>1147</v>
      </c>
      <c r="D20" s="135" t="s">
        <v>1148</v>
      </c>
      <c r="E20" s="135" t="s">
        <v>521</v>
      </c>
      <c r="H20"/>
    </row>
    <row r="21" spans="2:9" x14ac:dyDescent="0.35">
      <c r="C21" t="s">
        <v>789</v>
      </c>
      <c r="E21" s="963">
        <f>'10B.)Energy_RateDesign_SC1_I'!Q100+'10B.)Energy_RateDesign_SC1_I'!Q108</f>
        <v>571172043</v>
      </c>
      <c r="H21"/>
    </row>
    <row r="22" spans="2:9" x14ac:dyDescent="0.35">
      <c r="C22" t="s">
        <v>377</v>
      </c>
      <c r="E22" s="963">
        <f>'10B.)Energy_RateDesign_SC1_I'!Q101+'10B.)Energy_RateDesign_SC1_I'!Q109</f>
        <v>794002971</v>
      </c>
      <c r="H22"/>
    </row>
    <row r="23" spans="2:9" x14ac:dyDescent="0.35">
      <c r="C23" t="s">
        <v>376</v>
      </c>
      <c r="E23" s="963">
        <f>'10B.)Energy_RateDesign_SC1_I'!Q102+'10B.)Energy_RateDesign_SC1_I'!Q110</f>
        <v>756722700</v>
      </c>
      <c r="H23"/>
    </row>
    <row r="24" spans="2:9" x14ac:dyDescent="0.35">
      <c r="C24" t="s">
        <v>547</v>
      </c>
      <c r="E24" s="957">
        <f>E21+E22+E23</f>
        <v>2121897714</v>
      </c>
      <c r="H24"/>
    </row>
    <row r="25" spans="2:9" x14ac:dyDescent="0.35">
      <c r="C25" t="s">
        <v>1440</v>
      </c>
      <c r="E25" s="962">
        <f>'10B.)Energy_RateDesign_SC1_I'!$M$120+'10B.)Energy_RateDesign_SC1_I'!$M$121</f>
        <v>7462208</v>
      </c>
      <c r="H25"/>
    </row>
    <row r="26" spans="2:9" x14ac:dyDescent="0.35">
      <c r="C26" t="s">
        <v>552</v>
      </c>
      <c r="E26" s="963">
        <f>'10B.)Energy_RateDesign_SC1_I'!$M$122</f>
        <v>384305</v>
      </c>
      <c r="H26"/>
    </row>
    <row r="27" spans="2:9" ht="15" thickBot="1" x14ac:dyDescent="0.4">
      <c r="C27" t="s">
        <v>554</v>
      </c>
      <c r="E27" s="958">
        <f>'10B.)Energy_RateDesign_SC1_I'!$M$123</f>
        <v>0</v>
      </c>
      <c r="H27"/>
    </row>
    <row r="28" spans="2:9" ht="15.5" thickTop="1" thickBot="1" x14ac:dyDescent="0.4">
      <c r="C28" t="s">
        <v>752</v>
      </c>
      <c r="D28" s="440">
        <f>'10B.)Energy_RateDesign_SC1_I'!$M$126</f>
        <v>2129367945.6876757</v>
      </c>
      <c r="E28" s="440">
        <f>E24+E25+E26+E27</f>
        <v>2129744227</v>
      </c>
      <c r="F28" s="439">
        <f>IF(ISNUMBER(E28/D28-1),E28/D28-1,"")</f>
        <v>1.7671032997679248E-4</v>
      </c>
      <c r="H28"/>
    </row>
    <row r="29" spans="2:9" ht="15.5" thickTop="1" thickBot="1" x14ac:dyDescent="0.4">
      <c r="H29"/>
      <c r="I29" s="528" t="s">
        <v>1061</v>
      </c>
    </row>
    <row r="30" spans="2:9" ht="15" hidden="1" thickBot="1" x14ac:dyDescent="0.4">
      <c r="H30"/>
    </row>
    <row r="31" spans="2:9" ht="15" thickBot="1" x14ac:dyDescent="0.4">
      <c r="B31" s="131" t="s">
        <v>532</v>
      </c>
      <c r="C31" s="435" t="s">
        <v>529</v>
      </c>
      <c r="D31" s="400" t="str">
        <f>'10C.)Energy_RateDesign_SC1_II'!$A$4</f>
        <v>SC1 Rate II</v>
      </c>
      <c r="E31" s="436"/>
      <c r="H31"/>
    </row>
    <row r="32" spans="2:9" x14ac:dyDescent="0.35">
      <c r="C32" s="435" t="s">
        <v>528</v>
      </c>
      <c r="D32" s="372" t="s">
        <v>553</v>
      </c>
      <c r="H32"/>
    </row>
    <row r="33" spans="3:9" x14ac:dyDescent="0.35">
      <c r="C33" s="570" t="s">
        <v>1062</v>
      </c>
      <c r="D33" s="428" t="str">
        <f>D$8</f>
        <v>Current</v>
      </c>
      <c r="H33" s="296" t="s">
        <v>964</v>
      </c>
      <c r="I33"/>
    </row>
    <row r="34" spans="3:9" x14ac:dyDescent="0.35">
      <c r="C34" s="570" t="s">
        <v>1063</v>
      </c>
      <c r="D34" s="428" t="str">
        <f>D$9</f>
        <v>Current(RY1)</v>
      </c>
      <c r="E34" s="428" t="s">
        <v>521</v>
      </c>
      <c r="F34" s="428" t="s">
        <v>526</v>
      </c>
      <c r="H34" s="428">
        <f>H$9</f>
        <v>2019</v>
      </c>
      <c r="I34"/>
    </row>
    <row r="35" spans="3:9" x14ac:dyDescent="0.35">
      <c r="C35" s="435" t="s">
        <v>527</v>
      </c>
      <c r="D35" s="577" t="s">
        <v>1071</v>
      </c>
      <c r="E35" s="296"/>
      <c r="H35" s="296" t="str">
        <f>H$10</f>
        <v>(Currnet - Original)</v>
      </c>
      <c r="I35"/>
    </row>
    <row r="36" spans="3:9" x14ac:dyDescent="0.35">
      <c r="C36" s="406" t="s">
        <v>1067</v>
      </c>
      <c r="D36" s="646">
        <f>IF(ISNUMBER(VLOOKUP($C36,'[1]A1.)RatesInput'!$B$87:$J$97,HLOOKUP(D$33,'[1]A1.)RatesInput'!$D$87:$J$89,3,0),0)),VLOOKUP($C36,'[1]A1.)RatesInput'!$B$87:$J$97,HLOOKUP(D$33,'[1]A1.)RatesInput'!$D$87:$J$89,3,0),0),0)</f>
        <v>24.3</v>
      </c>
      <c r="E36" s="888">
        <f>'10C.)Energy_RateDesign_SC1_II'!$F$8</f>
        <v>20.46</v>
      </c>
      <c r="F36" s="433">
        <f>IF(ISNUMBER(E36/D36-1),E36/D36-1,"")</f>
        <v>-0.15802469135802466</v>
      </c>
      <c r="H36" s="434">
        <f>IF(ISNUMBER(VLOOKUP($C36,'[1]A1.)RatesInput'!$B$87:$J$97,HLOOKUP(H$34,'[1]A1.)RatesInput'!$D$87:$J$89,3,0),0)),VLOOKUP($C36,'[1]A1.)RatesInput'!$B$87:$J$97,HLOOKUP(H$34,'[1]A1.)RatesInput'!$D$87:$J$89,3,0),0),0)</f>
        <v>24.3</v>
      </c>
      <c r="I36"/>
    </row>
    <row r="37" spans="3:9" x14ac:dyDescent="0.35">
      <c r="C37" s="406" t="s">
        <v>893</v>
      </c>
      <c r="D37" s="643">
        <f>IF('[1]A1.)RatesInput'!$P$99="Y",IF(ISNUMBER(VLOOKUP($C37,'[1]A1.)RatesInput'!$B$102:$Q$190,HLOOKUP(D$34,'[1]A1.)RatesInput'!$O$102:$Q$104,3,0),0)),VLOOKUP($C37,'[1]A1.)RatesInput'!$B$102:$Q$190,HLOOKUP(D$34,'[1]A1.)RatesInput'!$O$102:$Q$104,3,0),0),0),IF(ISNUMBER(VLOOKUP($C37,'[1]A1.)RatesInput'!$B$102:$I$190,HLOOKUP(D$34,'[1]A1.)RatesInput'!$D$102:$I$104,3,0),0)),VLOOKUP($C37,'[1]A1.)RatesInput'!$B$102:$I$190,HLOOKUP(D$34,'[1]A1.)RatesInput'!$D$102:$I$104,3,0),0),0))</f>
        <v>0.36759999999999998</v>
      </c>
      <c r="E37" s="846">
        <f>'10C.)Energy_RateDesign_SC1_II'!$F10</f>
        <v>0.4007</v>
      </c>
      <c r="F37" s="431">
        <f>IF(ISNUMBER(E37/D37-1),E37/D37-1,"")</f>
        <v>9.0043525571273264E-2</v>
      </c>
      <c r="H37" s="432">
        <f>IF(ISNUMBER(VLOOKUP($C37,'[1]A1.)RatesInput'!$B$102:$L$190,HLOOKUP(H$34,'[1]A1.)RatesInput'!$D$102:$L$104,3,0),0)),VLOOKUP($C37,'[1]A1.)RatesInput'!$B$102:$L$190,HLOOKUP(H$34,'[1]A1.)RatesInput'!$D$102:$L$104,3,0),0),0)</f>
        <v>0.36759999999999998</v>
      </c>
      <c r="I37"/>
    </row>
    <row r="38" spans="3:9" x14ac:dyDescent="0.35">
      <c r="C38" s="406" t="s">
        <v>894</v>
      </c>
      <c r="D38" s="645">
        <f>IF('[1]A1.)RatesInput'!$P$99="Y",IF(ISNUMBER(VLOOKUP($C38,'[1]A1.)RatesInput'!$B$102:$Q$190,HLOOKUP(D$34,'[1]A1.)RatesInput'!$O$102:$Q$104,3,0),0)),VLOOKUP($C38,'[1]A1.)RatesInput'!$B$102:$Q$190,HLOOKUP(D$34,'[1]A1.)RatesInput'!$O$102:$Q$104,3,0),0),0),IF(ISNUMBER(VLOOKUP($C38,'[1]A1.)RatesInput'!$B$102:$I$190,HLOOKUP(D$34,'[1]A1.)RatesInput'!$D$102:$I$104,3,0),0)),VLOOKUP($C38,'[1]A1.)RatesInput'!$B$102:$I$190,HLOOKUP(D$34,'[1]A1.)RatesInput'!$D$102:$I$104,3,0),0),0))</f>
        <v>1.41E-2</v>
      </c>
      <c r="E38" s="846">
        <f>'10C.)Energy_RateDesign_SC1_II'!$F11</f>
        <v>1.54E-2</v>
      </c>
      <c r="F38" s="431">
        <f>IF(ISNUMBER(E38/D38-1),E38/D38-1,"")</f>
        <v>9.219858156028371E-2</v>
      </c>
      <c r="H38" s="432">
        <f>IF(ISNUMBER(VLOOKUP($C38,'[1]A1.)RatesInput'!$B$102:$L$190,HLOOKUP(H$34,'[1]A1.)RatesInput'!$D$102:$L$104,3,0),0)),VLOOKUP($C38,'[1]A1.)RatesInput'!$B$102:$L$190,HLOOKUP(H$34,'[1]A1.)RatesInput'!$D$102:$L$104,3,0),0),0)</f>
        <v>1.41E-2</v>
      </c>
      <c r="I38"/>
    </row>
    <row r="39" spans="3:9" x14ac:dyDescent="0.35">
      <c r="C39" s="406" t="s">
        <v>895</v>
      </c>
      <c r="D39" s="645">
        <f>IF('[1]A1.)RatesInput'!$P$99="Y",IF(ISNUMBER(VLOOKUP($C39,'[1]A1.)RatesInput'!$B$102:$Q$190,HLOOKUP(D$34,'[1]A1.)RatesInput'!$O$102:$Q$104,3,0),0)),VLOOKUP($C39,'[1]A1.)RatesInput'!$B$102:$Q$190,HLOOKUP(D$34,'[1]A1.)RatesInput'!$O$102:$Q$104,3,0),0),0),IF(ISNUMBER(VLOOKUP($C39,'[1]A1.)RatesInput'!$B$102:$I$190,HLOOKUP(D$34,'[1]A1.)RatesInput'!$D$102:$I$104,3,0),0)),VLOOKUP($C39,'[1]A1.)RatesInput'!$B$102:$I$190,HLOOKUP(D$34,'[1]A1.)RatesInput'!$D$102:$I$104,3,0),0),0))</f>
        <v>0.13339999999999999</v>
      </c>
      <c r="E39" s="846">
        <f>'10C.)Energy_RateDesign_SC1_II'!$F12</f>
        <v>0.1454</v>
      </c>
      <c r="F39" s="431">
        <f>IF(ISNUMBER(E39/D39-1),E39/D39-1,"")</f>
        <v>8.9955022488755754E-2</v>
      </c>
      <c r="H39" s="432">
        <f>IF(ISNUMBER(VLOOKUP($C39,'[1]A1.)RatesInput'!$B$102:$L$190,HLOOKUP(H$34,'[1]A1.)RatesInput'!$D$102:$L$104,3,0),0)),VLOOKUP($C39,'[1]A1.)RatesInput'!$B$102:$L$190,HLOOKUP(H$34,'[1]A1.)RatesInput'!$D$102:$L$104,3,0),0),0)</f>
        <v>0.13339999999999999</v>
      </c>
      <c r="I39"/>
    </row>
    <row r="40" spans="3:9" x14ac:dyDescent="0.35">
      <c r="C40" s="406" t="s">
        <v>896</v>
      </c>
      <c r="D40" s="644">
        <f>IF('[1]A1.)RatesInput'!$P$99="Y",IF(ISNUMBER(VLOOKUP($C40,'[1]A1.)RatesInput'!$B$102:$Q$190,HLOOKUP(D$34,'[1]A1.)RatesInput'!$O$102:$Q$104,3,0),0)),VLOOKUP($C40,'[1]A1.)RatesInput'!$B$102:$Q$190,HLOOKUP(D$34,'[1]A1.)RatesInput'!$O$102:$Q$104,3,0),0),0),IF(ISNUMBER(VLOOKUP($C40,'[1]A1.)RatesInput'!$B$102:$I$190,HLOOKUP(D$34,'[1]A1.)RatesInput'!$D$102:$I$104,3,0),0)),VLOOKUP($C40,'[1]A1.)RatesInput'!$B$102:$I$190,HLOOKUP(D$34,'[1]A1.)RatesInput'!$D$102:$I$104,3,0),0),0))</f>
        <v>1.41E-2</v>
      </c>
      <c r="E40" s="847">
        <f>'10C.)Energy_RateDesign_SC1_II'!$F13</f>
        <v>1.54E-2</v>
      </c>
      <c r="F40" s="429">
        <f>IF(ISNUMBER(E40/D40-1),E40/D40-1,"")</f>
        <v>9.219858156028371E-2</v>
      </c>
      <c r="H40" s="430">
        <f>IF(ISNUMBER(VLOOKUP($C40,'[1]A1.)RatesInput'!$B$102:$L$190,HLOOKUP(H$34,'[1]A1.)RatesInput'!$D$102:$L$104,3,0),0)),VLOOKUP($C40,'[1]A1.)RatesInput'!$B$102:$L$190,HLOOKUP(H$34,'[1]A1.)RatesInput'!$D$102:$L$104,3,0),0),0)</f>
        <v>1.41E-2</v>
      </c>
      <c r="I40"/>
    </row>
    <row r="41" spans="3:9" x14ac:dyDescent="0.35">
      <c r="H41"/>
      <c r="I41"/>
    </row>
    <row r="42" spans="3:9" hidden="1" x14ac:dyDescent="0.35">
      <c r="H42"/>
      <c r="I42"/>
    </row>
    <row r="43" spans="3:9" x14ac:dyDescent="0.35">
      <c r="C43" s="133" t="s">
        <v>1147</v>
      </c>
      <c r="D43" s="135" t="s">
        <v>1148</v>
      </c>
      <c r="E43" s="135" t="s">
        <v>521</v>
      </c>
      <c r="H43"/>
      <c r="I43"/>
    </row>
    <row r="44" spans="3:9" x14ac:dyDescent="0.35">
      <c r="C44" t="s">
        <v>789</v>
      </c>
      <c r="E44" s="963">
        <f>'10C.)Energy_RateDesign_SC1_II'!N136+'10C.)Energy_RateDesign_SC1_II'!N144</f>
        <v>730788463</v>
      </c>
      <c r="H44"/>
      <c r="I44"/>
    </row>
    <row r="45" spans="3:9" x14ac:dyDescent="0.35">
      <c r="C45" t="s">
        <v>1149</v>
      </c>
      <c r="E45" s="963">
        <f>'10C.)Energy_RateDesign_SC1_II'!N137+'10C.)Energy_RateDesign_SC1_II'!N145</f>
        <v>1267925115</v>
      </c>
      <c r="H45"/>
      <c r="I45"/>
    </row>
    <row r="46" spans="3:9" x14ac:dyDescent="0.35">
      <c r="C46" t="s">
        <v>1150</v>
      </c>
      <c r="E46" s="963">
        <f>'10C.)Energy_RateDesign_SC1_II'!N138+'10C.)Energy_RateDesign_SC1_II'!N146</f>
        <v>130563001</v>
      </c>
      <c r="H46"/>
      <c r="I46"/>
    </row>
    <row r="47" spans="3:9" x14ac:dyDescent="0.35">
      <c r="C47" t="s">
        <v>545</v>
      </c>
      <c r="E47" s="957">
        <f>E44+E45+E46</f>
        <v>2129276579</v>
      </c>
      <c r="H47"/>
      <c r="I47"/>
    </row>
    <row r="48" spans="3:9" ht="15" thickBot="1" x14ac:dyDescent="0.4">
      <c r="C48" t="s">
        <v>552</v>
      </c>
      <c r="E48" s="962">
        <f>'10C.)Energy_RateDesign_SC1_II'!$M$156</f>
        <v>384305</v>
      </c>
      <c r="H48"/>
      <c r="I48"/>
    </row>
    <row r="49" spans="2:9" ht="15.5" thickTop="1" thickBot="1" x14ac:dyDescent="0.4">
      <c r="C49" t="s">
        <v>752</v>
      </c>
      <c r="D49" s="440">
        <f>'10C.)Energy_RateDesign_SC1_II'!$M$161</f>
        <v>2129367945.6876757</v>
      </c>
      <c r="E49" s="440">
        <f>E47+E48</f>
        <v>2129660884</v>
      </c>
      <c r="F49" s="439">
        <f>IF(ISNUMBER(E49/D49-1),E49/D49-1,"")</f>
        <v>1.3757054665797241E-4</v>
      </c>
      <c r="H49"/>
      <c r="I49"/>
    </row>
    <row r="50" spans="2:9" ht="15.5" thickTop="1" thickBot="1" x14ac:dyDescent="0.4">
      <c r="E50" s="130"/>
      <c r="H50"/>
      <c r="I50"/>
    </row>
    <row r="51" spans="2:9" ht="15" hidden="1" thickBot="1" x14ac:dyDescent="0.4">
      <c r="H51"/>
      <c r="I51"/>
    </row>
    <row r="52" spans="2:9" ht="15" thickBot="1" x14ac:dyDescent="0.4">
      <c r="B52" s="131" t="s">
        <v>531</v>
      </c>
      <c r="C52" s="435" t="s">
        <v>529</v>
      </c>
      <c r="D52" s="400" t="str">
        <f>'10D.)Energy_RateDesign_SC1_III'!$A$4</f>
        <v>SC1 Rate III</v>
      </c>
      <c r="E52" s="436"/>
      <c r="H52"/>
      <c r="I52"/>
    </row>
    <row r="53" spans="2:9" x14ac:dyDescent="0.35">
      <c r="C53" s="435" t="s">
        <v>528</v>
      </c>
      <c r="D53" s="372" t="s">
        <v>551</v>
      </c>
      <c r="H53"/>
      <c r="I53"/>
    </row>
    <row r="54" spans="2:9" x14ac:dyDescent="0.35">
      <c r="C54" s="570" t="s">
        <v>1062</v>
      </c>
      <c r="D54" s="428" t="str">
        <f>D$8</f>
        <v>Current</v>
      </c>
      <c r="H54" s="296" t="s">
        <v>964</v>
      </c>
      <c r="I54"/>
    </row>
    <row r="55" spans="2:9" x14ac:dyDescent="0.35">
      <c r="C55" s="570" t="s">
        <v>1063</v>
      </c>
      <c r="D55" s="428" t="str">
        <f>D$9</f>
        <v>Current(RY1)</v>
      </c>
      <c r="E55" s="428" t="s">
        <v>521</v>
      </c>
      <c r="F55" s="428" t="s">
        <v>526</v>
      </c>
      <c r="H55" s="428">
        <f>H$9</f>
        <v>2019</v>
      </c>
      <c r="I55"/>
    </row>
    <row r="56" spans="2:9" x14ac:dyDescent="0.35">
      <c r="C56" s="435" t="s">
        <v>527</v>
      </c>
      <c r="D56" s="296" t="str">
        <f>D$10</f>
        <v>(Redesigned Rate)</v>
      </c>
      <c r="E56" s="296"/>
      <c r="H56" s="296" t="str">
        <f>H$10</f>
        <v>(Currnet - Original)</v>
      </c>
      <c r="I56"/>
    </row>
    <row r="57" spans="2:9" x14ac:dyDescent="0.35">
      <c r="C57" s="406" t="s">
        <v>1068</v>
      </c>
      <c r="D57" s="646">
        <f>IF(ISNUMBER(VLOOKUP($C57,'[1]A1.)RatesInput'!$B$87:$J$97,HLOOKUP(D$54,'[1]A1.)RatesInput'!$D$87:$J$89,3,0),0)),VLOOKUP($C57,'[1]A1.)RatesInput'!$B$87:$J$97,HLOOKUP(D$54,'[1]A1.)RatesInput'!$D$87:$J$89,3,0),0),0)</f>
        <v>19.87</v>
      </c>
      <c r="E57" s="888">
        <f>'10D.)Energy_RateDesign_SC1_III'!$F$8</f>
        <v>20.46</v>
      </c>
      <c r="F57" s="433">
        <f>IF(ISNUMBER(E57/D57-1),E57/D57-1,"")</f>
        <v>2.9693004529441458E-2</v>
      </c>
      <c r="H57" s="434">
        <f>IF(ISNUMBER(VLOOKUP($C57,'[1]A1.)RatesInput'!$B$87:$J$97,HLOOKUP(H$55,'[1]A1.)RatesInput'!$D$87:$J$89,3,0),0)),VLOOKUP($C57,'[1]A1.)RatesInput'!$B$87:$J$97,HLOOKUP(H$55,'[1]A1.)RatesInput'!$D$87:$J$89,3,0),0),0)</f>
        <v>19.87</v>
      </c>
      <c r="I57"/>
    </row>
    <row r="58" spans="2:9" x14ac:dyDescent="0.35">
      <c r="C58" s="406" t="s">
        <v>897</v>
      </c>
      <c r="D58" s="643">
        <f>IF('[1]A1.)RatesInput'!$P$99="Y",IF(ISNUMBER(VLOOKUP($C58,'[1]A1.)RatesInput'!$B$102:$Q$190,HLOOKUP(D$55,'[1]A1.)RatesInput'!$O$102:$Q$104,3,0),0)),VLOOKUP($C58,'[1]A1.)RatesInput'!$B$102:$Q$190,HLOOKUP(D$55,'[1]A1.)RatesInput'!$O$102:$Q$104,3,0),0),0),IF(ISNUMBER(VLOOKUP($C58,'[1]A1.)RatesInput'!$B$102:$I$190,HLOOKUP(D$55,'[1]A1.)RatesInput'!$D$102:$I$104,3,0),0)),VLOOKUP($C58,'[1]A1.)RatesInput'!$B$102:$I$190,HLOOKUP(D$55,'[1]A1.)RatesInput'!$D$102:$I$104,3,0),0),0))</f>
        <v>0.23070000000000002</v>
      </c>
      <c r="E58" s="846">
        <f>'10D.)Energy_RateDesign_SC1_III'!$F10</f>
        <v>0.21970000000000001</v>
      </c>
      <c r="F58" s="431">
        <f>IF(ISNUMBER(E58/D58-1),E58/D58-1,"")</f>
        <v>-4.7680970957954094E-2</v>
      </c>
      <c r="H58" s="432">
        <f>IF(ISNUMBER(VLOOKUP($C58,'[1]A1.)RatesInput'!$B$102:$L$190,HLOOKUP(H$55,'[1]A1.)RatesInput'!$D$102:$L$104,3,0),0)),VLOOKUP($C58,'[1]A1.)RatesInput'!$B$102:$L$190,HLOOKUP(H$55,'[1]A1.)RatesInput'!$D$102:$L$104,3,0),0),0)</f>
        <v>0.23070000000000002</v>
      </c>
      <c r="I58"/>
    </row>
    <row r="59" spans="2:9" x14ac:dyDescent="0.35">
      <c r="C59" s="406" t="s">
        <v>898</v>
      </c>
      <c r="D59" s="645">
        <f>IF('[1]A1.)RatesInput'!$P$99="Y",IF(ISNUMBER(VLOOKUP($C59,'[1]A1.)RatesInput'!$B$102:$Q$190,HLOOKUP(D$55,'[1]A1.)RatesInput'!$O$102:$Q$104,3,0),0)),VLOOKUP($C59,'[1]A1.)RatesInput'!$B$102:$Q$190,HLOOKUP(D$55,'[1]A1.)RatesInput'!$O$102:$Q$104,3,0),0),0),IF(ISNUMBER(VLOOKUP($C59,'[1]A1.)RatesInput'!$B$102:$I$190,HLOOKUP(D$55,'[1]A1.)RatesInput'!$D$102:$I$104,3,0),0)),VLOOKUP($C59,'[1]A1.)RatesInput'!$B$102:$I$190,HLOOKUP(D$55,'[1]A1.)RatesInput'!$D$102:$I$104,3,0),0),0))</f>
        <v>1.6299999999999999E-2</v>
      </c>
      <c r="E59" s="846">
        <f>'10D.)Energy_RateDesign_SC1_III'!$F11</f>
        <v>1.55E-2</v>
      </c>
      <c r="F59" s="431">
        <f>IF(ISNUMBER(E59/D59-1),E59/D59-1,"")</f>
        <v>-4.9079754601226933E-2</v>
      </c>
      <c r="H59" s="432">
        <f>IF(ISNUMBER(VLOOKUP($C59,'[1]A1.)RatesInput'!$B$102:$L$190,HLOOKUP(H$55,'[1]A1.)RatesInput'!$D$102:$L$104,3,0),0)),VLOOKUP($C59,'[1]A1.)RatesInput'!$B$102:$L$190,HLOOKUP(H$55,'[1]A1.)RatesInput'!$D$102:$L$104,3,0),0),0)</f>
        <v>1.6299999999999999E-2</v>
      </c>
      <c r="I59"/>
    </row>
    <row r="60" spans="2:9" x14ac:dyDescent="0.35">
      <c r="C60" s="406" t="s">
        <v>899</v>
      </c>
      <c r="D60" s="645">
        <f>IF('[1]A1.)RatesInput'!$P$99="Y",IF(ISNUMBER(VLOOKUP($C60,'[1]A1.)RatesInput'!$B$102:$Q$190,HLOOKUP(D$55,'[1]A1.)RatesInput'!$O$102:$Q$104,3,0),0)),VLOOKUP($C60,'[1]A1.)RatesInput'!$B$102:$Q$190,HLOOKUP(D$55,'[1]A1.)RatesInput'!$O$102:$Q$104,3,0),0),0),IF(ISNUMBER(VLOOKUP($C60,'[1]A1.)RatesInput'!$B$102:$I$190,HLOOKUP(D$55,'[1]A1.)RatesInput'!$D$102:$I$104,3,0),0)),VLOOKUP($C60,'[1]A1.)RatesInput'!$B$102:$I$190,HLOOKUP(D$55,'[1]A1.)RatesInput'!$D$102:$I$104,3,0),0),0))</f>
        <v>8.539999999999999E-2</v>
      </c>
      <c r="E60" s="846">
        <f>'10D.)Energy_RateDesign_SC1_III'!$F12</f>
        <v>8.1299999999999997E-2</v>
      </c>
      <c r="F60" s="431">
        <f>IF(ISNUMBER(E60/D60-1),E60/D60-1,"")</f>
        <v>-4.8009367681498771E-2</v>
      </c>
      <c r="H60" s="432">
        <f>IF(ISNUMBER(VLOOKUP($C60,'[1]A1.)RatesInput'!$B$102:$L$190,HLOOKUP(H$55,'[1]A1.)RatesInput'!$D$102:$L$104,3,0),0)),VLOOKUP($C60,'[1]A1.)RatesInput'!$B$102:$L$190,HLOOKUP(H$55,'[1]A1.)RatesInput'!$D$102:$L$104,3,0),0),0)</f>
        <v>8.539999999999999E-2</v>
      </c>
      <c r="I60"/>
    </row>
    <row r="61" spans="2:9" x14ac:dyDescent="0.35">
      <c r="C61" s="406" t="s">
        <v>900</v>
      </c>
      <c r="D61" s="644">
        <f>IF('[1]A1.)RatesInput'!$P$99="Y",IF(ISNUMBER(VLOOKUP($C61,'[1]A1.)RatesInput'!$B$102:$Q$190,HLOOKUP(D$55,'[1]A1.)RatesInput'!$O$102:$Q$104,3,0),0)),VLOOKUP($C61,'[1]A1.)RatesInput'!$B$102:$Q$190,HLOOKUP(D$55,'[1]A1.)RatesInput'!$O$102:$Q$104,3,0),0),0),IF(ISNUMBER(VLOOKUP($C61,'[1]A1.)RatesInput'!$B$102:$I$190,HLOOKUP(D$55,'[1]A1.)RatesInput'!$D$102:$I$104,3,0),0)),VLOOKUP($C61,'[1]A1.)RatesInput'!$B$102:$I$190,HLOOKUP(D$55,'[1]A1.)RatesInput'!$D$102:$I$104,3,0),0),0))</f>
        <v>1.6299999999999999E-2</v>
      </c>
      <c r="E61" s="847">
        <f>'10D.)Energy_RateDesign_SC1_III'!$F13</f>
        <v>1.55E-2</v>
      </c>
      <c r="F61" s="429">
        <f>IF(ISNUMBER(E61/D61-1),E61/D61-1,"")</f>
        <v>-4.9079754601226933E-2</v>
      </c>
      <c r="H61" s="430">
        <f>IF(ISNUMBER(VLOOKUP($C61,'[1]A1.)RatesInput'!$B$102:$L$190,HLOOKUP(H$55,'[1]A1.)RatesInput'!$D$102:$L$104,3,0),0)),VLOOKUP($C61,'[1]A1.)RatesInput'!$B$102:$L$190,HLOOKUP(H$55,'[1]A1.)RatesInput'!$D$102:$L$104,3,0),0),0)</f>
        <v>1.6299999999999999E-2</v>
      </c>
      <c r="I61"/>
    </row>
    <row r="62" spans="2:9" x14ac:dyDescent="0.35">
      <c r="H62"/>
      <c r="I62"/>
    </row>
    <row r="63" spans="2:9" hidden="1" x14ac:dyDescent="0.35">
      <c r="H63"/>
      <c r="I63"/>
    </row>
    <row r="64" spans="2:9" x14ac:dyDescent="0.35">
      <c r="C64" s="133" t="s">
        <v>1147</v>
      </c>
      <c r="D64" s="135" t="s">
        <v>1148</v>
      </c>
      <c r="E64" s="408" t="s">
        <v>521</v>
      </c>
      <c r="H64"/>
      <c r="I64"/>
    </row>
    <row r="65" spans="2:9" x14ac:dyDescent="0.35">
      <c r="C65" t="s">
        <v>789</v>
      </c>
      <c r="E65" s="963">
        <f>'10D.)Energy_RateDesign_SC1_III'!N136+'10D.)Energy_RateDesign_SC1_III'!N144</f>
        <v>730810661</v>
      </c>
      <c r="H65"/>
      <c r="I65"/>
    </row>
    <row r="66" spans="2:9" x14ac:dyDescent="0.35">
      <c r="C66" t="s">
        <v>1149</v>
      </c>
      <c r="E66" s="963">
        <f>'10D.)Energy_RateDesign_SC1_III'!N137+'10D.)Energy_RateDesign_SC1_III'!N145</f>
        <v>1339091626</v>
      </c>
      <c r="H66"/>
      <c r="I66"/>
    </row>
    <row r="67" spans="2:9" x14ac:dyDescent="0.35">
      <c r="C67" t="s">
        <v>1150</v>
      </c>
      <c r="E67" s="963">
        <f>'10D.)Energy_RateDesign_SC1_III'!N138+'10D.)Energy_RateDesign_SC1_III'!N146</f>
        <v>58802829</v>
      </c>
      <c r="H67"/>
      <c r="I67"/>
    </row>
    <row r="68" spans="2:9" x14ac:dyDescent="0.35">
      <c r="C68" t="s">
        <v>545</v>
      </c>
      <c r="E68" s="957">
        <f>E65+E66+E67</f>
        <v>2128705116</v>
      </c>
      <c r="H68"/>
      <c r="I68"/>
    </row>
    <row r="69" spans="2:9" ht="15" thickBot="1" x14ac:dyDescent="0.4">
      <c r="C69" s="143"/>
      <c r="E69" s="962"/>
      <c r="H69"/>
      <c r="I69"/>
    </row>
    <row r="70" spans="2:9" ht="15.5" thickTop="1" thickBot="1" x14ac:dyDescent="0.4">
      <c r="C70" t="s">
        <v>752</v>
      </c>
      <c r="D70" s="440">
        <f>'10D.)Energy_RateDesign_SC1_III'!$M$161</f>
        <v>2128982298.6876757</v>
      </c>
      <c r="E70" s="440">
        <f>E68+E69</f>
        <v>2128705116</v>
      </c>
      <c r="F70" s="439">
        <f>IF(ISNUMBER(E70/D70-1),E70/D70-1,"")</f>
        <v>-1.3019492357757567E-4</v>
      </c>
      <c r="H70"/>
      <c r="I70"/>
    </row>
    <row r="71" spans="2:9" ht="15.5" thickTop="1" thickBot="1" x14ac:dyDescent="0.4">
      <c r="E71" s="377"/>
      <c r="H71"/>
      <c r="I71"/>
    </row>
    <row r="72" spans="2:9" ht="15" hidden="1" thickBot="1" x14ac:dyDescent="0.4">
      <c r="H72"/>
      <c r="I72"/>
    </row>
    <row r="73" spans="2:9" ht="15" thickBot="1" x14ac:dyDescent="0.4">
      <c r="B73" s="131" t="s">
        <v>530</v>
      </c>
      <c r="C73" s="435" t="s">
        <v>529</v>
      </c>
      <c r="D73" s="400" t="str">
        <f>'10E.)Energy_RateDesign_SC2_I'!$A$4</f>
        <v>SC2 Rate I</v>
      </c>
      <c r="E73" s="436"/>
      <c r="H73"/>
      <c r="I73"/>
    </row>
    <row r="74" spans="2:9" x14ac:dyDescent="0.35">
      <c r="C74" s="435" t="s">
        <v>528</v>
      </c>
      <c r="D74" s="372" t="s">
        <v>550</v>
      </c>
      <c r="H74"/>
      <c r="I74"/>
    </row>
    <row r="75" spans="2:9" x14ac:dyDescent="0.35">
      <c r="C75" s="570" t="s">
        <v>1062</v>
      </c>
      <c r="D75" s="428" t="str">
        <f>D$8</f>
        <v>Current</v>
      </c>
      <c r="H75" s="296" t="s">
        <v>964</v>
      </c>
      <c r="I75"/>
    </row>
    <row r="76" spans="2:9" x14ac:dyDescent="0.35">
      <c r="C76" s="570" t="s">
        <v>1063</v>
      </c>
      <c r="D76" s="428" t="str">
        <f>D$9</f>
        <v>Current(RY1)</v>
      </c>
      <c r="E76" s="428" t="s">
        <v>521</v>
      </c>
      <c r="F76" s="428" t="s">
        <v>526</v>
      </c>
      <c r="H76" s="428">
        <f>H$9</f>
        <v>2019</v>
      </c>
      <c r="I76"/>
    </row>
    <row r="77" spans="2:9" x14ac:dyDescent="0.35">
      <c r="C77" s="435" t="s">
        <v>527</v>
      </c>
      <c r="D77" s="577" t="s">
        <v>1071</v>
      </c>
      <c r="E77" s="296"/>
      <c r="H77" s="296" t="str">
        <f>H$10</f>
        <v>(Currnet - Original)</v>
      </c>
      <c r="I77"/>
    </row>
    <row r="78" spans="2:9" x14ac:dyDescent="0.35">
      <c r="C78" s="406" t="s">
        <v>1069</v>
      </c>
      <c r="D78" s="646">
        <f>IF(ISNUMBER(VLOOKUP($C78,'[1]A1.)RatesInput'!$B$87:$J$97,HLOOKUP(D$75,'[1]A1.)RatesInput'!$D$87:$J$89,3,0),0)),VLOOKUP($C78,'[1]A1.)RatesInput'!$B$87:$J$97,HLOOKUP(D$75,'[1]A1.)RatesInput'!$D$87:$J$89,3,0),0),0)</f>
        <v>26.01</v>
      </c>
      <c r="E78" s="888">
        <f>'10E.)Energy_RateDesign_SC2_I'!$F$8</f>
        <v>28.1</v>
      </c>
      <c r="F78" s="433">
        <f>IF(ISNUMBER(E78/D78-1),E78/D78-1,"")</f>
        <v>8.0353710111495502E-2</v>
      </c>
      <c r="H78" s="434">
        <f>IF(ISNUMBER(VLOOKUP($C78,'[1]A1.)RatesInput'!$B$87:$J$97,HLOOKUP(H$76,'[1]A1.)RatesInput'!$D$87:$J$89,3,0),0)),VLOOKUP($C78,'[1]A1.)RatesInput'!$B$87:$J$97,HLOOKUP(H$76,'[1]A1.)RatesInput'!$D$87:$J$89,3,0),0),0)</f>
        <v>26.01</v>
      </c>
      <c r="I78"/>
    </row>
    <row r="79" spans="2:9" x14ac:dyDescent="0.35">
      <c r="C79" s="406" t="s">
        <v>901</v>
      </c>
      <c r="D79" s="643">
        <f>IF('[1]A1.)RatesInput'!$P$99="Y",IF(ISNUMBER(VLOOKUP($C79,'[1]A1.)RatesInput'!$B$102:$Q$190,HLOOKUP(D$76,'[1]A1.)RatesInput'!$O$102:$Q$104,3,0),0)),VLOOKUP($C79,'[1]A1.)RatesInput'!$B$102:$Q$190,HLOOKUP(D$76,'[1]A1.)RatesInput'!$O$102:$Q$104,3,0),0),0),IF(ISNUMBER(VLOOKUP($C79,'[1]A1.)RatesInput'!$B$102:$I$190,HLOOKUP(D$76,'[1]A1.)RatesInput'!$D$102:$I$104,3,0),0)),VLOOKUP($C79,'[1]A1.)RatesInput'!$B$102:$I$190,HLOOKUP(D$76,'[1]A1.)RatesInput'!$D$102:$I$104,3,0),0),0))</f>
        <v>0.1321</v>
      </c>
      <c r="E79" s="846">
        <f>'10E.)Energy_RateDesign_SC2_I'!$F10</f>
        <v>0.13400000000000001</v>
      </c>
      <c r="F79" s="431">
        <f>IF(ISNUMBER(E79/D79-1),E79/D79-1,"")</f>
        <v>1.4383043149129637E-2</v>
      </c>
      <c r="H79" s="432">
        <f>IF(ISNUMBER(VLOOKUP($C79,'[1]A1.)RatesInput'!$B$102:$L$190,HLOOKUP(H$76,'[1]A1.)RatesInput'!$D$102:$L$104,3,0),0)),VLOOKUP($C79,'[1]A1.)RatesInput'!$B$102:$L$190,HLOOKUP(H$76,'[1]A1.)RatesInput'!$D$102:$L$104,3,0),0),0)</f>
        <v>0.1321</v>
      </c>
      <c r="I79"/>
    </row>
    <row r="80" spans="2:9" x14ac:dyDescent="0.35">
      <c r="C80" s="406" t="s">
        <v>902</v>
      </c>
      <c r="D80" s="645">
        <f>IF('[1]A1.)RatesInput'!$P$99="Y",IF(ISNUMBER(VLOOKUP($C80,'[1]A1.)RatesInput'!$B$102:$Q$190,HLOOKUP(D$76,'[1]A1.)RatesInput'!$O$102:$Q$104,3,0),0)),VLOOKUP($C80,'[1]A1.)RatesInput'!$B$102:$Q$190,HLOOKUP(D$76,'[1]A1.)RatesInput'!$O$102:$Q$104,3,0),0),0),IF(ISNUMBER(VLOOKUP($C80,'[1]A1.)RatesInput'!$B$102:$I$190,HLOOKUP(D$76,'[1]A1.)RatesInput'!$D$102:$I$104,3,0),0)),VLOOKUP($C80,'[1]A1.)RatesInput'!$B$102:$I$190,HLOOKUP(D$76,'[1]A1.)RatesInput'!$D$102:$I$104,3,0),0),0))</f>
        <v>0.1321</v>
      </c>
      <c r="E80" s="846">
        <f>'10E.)Energy_RateDesign_SC2_I'!$F11</f>
        <v>0.13400000000000001</v>
      </c>
      <c r="F80" s="431">
        <f>IF(ISNUMBER(E80/D80-1),E80/D80-1,"")</f>
        <v>1.4383043149129637E-2</v>
      </c>
      <c r="H80" s="432">
        <f>IF(ISNUMBER(VLOOKUP($C80,'[1]A1.)RatesInput'!$B$102:$L$190,HLOOKUP(H$76,'[1]A1.)RatesInput'!$D$102:$L$104,3,0),0)),VLOOKUP($C80,'[1]A1.)RatesInput'!$B$102:$L$190,HLOOKUP(H$76,'[1]A1.)RatesInput'!$D$102:$L$104,3,0),0),0)</f>
        <v>0.1321</v>
      </c>
      <c r="I80"/>
    </row>
    <row r="81" spans="2:9" x14ac:dyDescent="0.35">
      <c r="C81" s="406" t="s">
        <v>903</v>
      </c>
      <c r="D81" s="645">
        <f>IF('[1]A1.)RatesInput'!$P$99="Y",IF(ISNUMBER(VLOOKUP($C81,'[1]A1.)RatesInput'!$B$102:$Q$190,HLOOKUP(D$76,'[1]A1.)RatesInput'!$O$102:$Q$104,3,0),0)),VLOOKUP($C81,'[1]A1.)RatesInput'!$B$102:$Q$190,HLOOKUP(D$76,'[1]A1.)RatesInput'!$O$102:$Q$104,3,0),0),0),IF(ISNUMBER(VLOOKUP($C81,'[1]A1.)RatesInput'!$B$102:$I$190,HLOOKUP(D$76,'[1]A1.)RatesInput'!$D$102:$I$104,3,0),0)),VLOOKUP($C81,'[1]A1.)RatesInput'!$B$102:$I$190,HLOOKUP(D$76,'[1]A1.)RatesInput'!$D$102:$I$104,3,0),0),0))</f>
        <v>0.1109</v>
      </c>
      <c r="E81" s="846">
        <f>'10E.)Energy_RateDesign_SC2_I'!$F12</f>
        <v>0.1125</v>
      </c>
      <c r="F81" s="431">
        <f>IF(ISNUMBER(E81/D81-1),E81/D81-1,"")</f>
        <v>1.4427412082957725E-2</v>
      </c>
      <c r="H81" s="432">
        <f>IF(ISNUMBER(VLOOKUP($C81,'[1]A1.)RatesInput'!$B$102:$L$190,HLOOKUP(H$76,'[1]A1.)RatesInput'!$D$102:$L$104,3,0),0)),VLOOKUP($C81,'[1]A1.)RatesInput'!$B$102:$L$190,HLOOKUP(H$76,'[1]A1.)RatesInput'!$D$102:$L$104,3,0),0),0)</f>
        <v>0.1109</v>
      </c>
      <c r="I81"/>
    </row>
    <row r="82" spans="2:9" x14ac:dyDescent="0.35">
      <c r="C82" s="406" t="s">
        <v>904</v>
      </c>
      <c r="D82" s="644">
        <f>IF('[1]A1.)RatesInput'!$P$99="Y",IF(ISNUMBER(VLOOKUP($C82,'[1]A1.)RatesInput'!$B$102:$Q$190,HLOOKUP(D$76,'[1]A1.)RatesInput'!$O$102:$Q$104,3,0),0)),VLOOKUP($C82,'[1]A1.)RatesInput'!$B$102:$Q$190,HLOOKUP(D$76,'[1]A1.)RatesInput'!$O$102:$Q$104,3,0),0),0),IF(ISNUMBER(VLOOKUP($C82,'[1]A1.)RatesInput'!$B$102:$I$190,HLOOKUP(D$76,'[1]A1.)RatesInput'!$D$102:$I$104,3,0),0)),VLOOKUP($C82,'[1]A1.)RatesInput'!$B$102:$I$190,HLOOKUP(D$76,'[1]A1.)RatesInput'!$D$102:$I$104,3,0),0),0))</f>
        <v>0.1109</v>
      </c>
      <c r="E82" s="847">
        <f>'10E.)Energy_RateDesign_SC2_I'!$F13</f>
        <v>0.1125</v>
      </c>
      <c r="F82" s="429">
        <f>IF(ISNUMBER(E82/D82-1),E82/D82-1,"")</f>
        <v>1.4427412082957725E-2</v>
      </c>
      <c r="H82" s="430">
        <f>IF(ISNUMBER(VLOOKUP($C82,'[1]A1.)RatesInput'!$B$102:$L$190,HLOOKUP(H$76,'[1]A1.)RatesInput'!$D$102:$L$104,3,0),0)),VLOOKUP($C82,'[1]A1.)RatesInput'!$B$102:$L$190,HLOOKUP(H$76,'[1]A1.)RatesInput'!$D$102:$L$104,3,0),0),0)</f>
        <v>0.1109</v>
      </c>
      <c r="I82"/>
    </row>
    <row r="83" spans="2:9" x14ac:dyDescent="0.35">
      <c r="H83"/>
      <c r="I83"/>
    </row>
    <row r="84" spans="2:9" x14ac:dyDescent="0.35">
      <c r="C84" s="133" t="s">
        <v>1147</v>
      </c>
      <c r="D84" s="135" t="s">
        <v>1148</v>
      </c>
      <c r="E84" s="135" t="s">
        <v>521</v>
      </c>
      <c r="H84"/>
      <c r="I84"/>
    </row>
    <row r="85" spans="2:9" x14ac:dyDescent="0.35">
      <c r="C85" t="s">
        <v>789</v>
      </c>
      <c r="E85" s="963">
        <f>'10E.)Energy_RateDesign_SC2_I'!Q100+'10E.)Energy_RateDesign_SC2_I'!Q108</f>
        <v>132957013</v>
      </c>
      <c r="H85"/>
      <c r="I85"/>
    </row>
    <row r="86" spans="2:9" x14ac:dyDescent="0.35">
      <c r="C86" t="s">
        <v>377</v>
      </c>
      <c r="E86" s="963">
        <f>'10E.)Energy_RateDesign_SC2_I'!Q101+'10E.)Energy_RateDesign_SC2_I'!Q109</f>
        <v>239100242</v>
      </c>
      <c r="H86"/>
      <c r="I86"/>
    </row>
    <row r="87" spans="2:9" x14ac:dyDescent="0.35">
      <c r="C87" t="s">
        <v>376</v>
      </c>
      <c r="E87" s="963">
        <f>'10E.)Energy_RateDesign_SC2_I'!Q102+'10E.)Energy_RateDesign_SC2_I'!Q110</f>
        <v>20869769</v>
      </c>
      <c r="H87"/>
      <c r="I87"/>
    </row>
    <row r="88" spans="2:9" x14ac:dyDescent="0.35">
      <c r="C88" t="s">
        <v>547</v>
      </c>
      <c r="E88" s="957">
        <f>E85+E86+E87</f>
        <v>392927024</v>
      </c>
      <c r="H88"/>
      <c r="I88"/>
    </row>
    <row r="89" spans="2:9" x14ac:dyDescent="0.35">
      <c r="C89" t="s">
        <v>1151</v>
      </c>
      <c r="E89" s="963">
        <f>-'10E.)Energy_RateDesign_SC2_I'!Q114</f>
        <v>0</v>
      </c>
      <c r="H89"/>
      <c r="I89"/>
    </row>
    <row r="90" spans="2:9" ht="15" thickBot="1" x14ac:dyDescent="0.4">
      <c r="C90" t="s">
        <v>546</v>
      </c>
      <c r="E90" s="958">
        <f>'10E.)Energy_RateDesign_SC2_I'!$M$120</f>
        <v>11380897</v>
      </c>
      <c r="H90"/>
      <c r="I90"/>
    </row>
    <row r="91" spans="2:9" ht="15.5" thickTop="1" thickBot="1" x14ac:dyDescent="0.4">
      <c r="C91" t="s">
        <v>752</v>
      </c>
      <c r="D91" s="440">
        <f>'10E.)Energy_RateDesign_SC2_I'!$M$125</f>
        <v>404281225</v>
      </c>
      <c r="E91" s="440">
        <f>E88+E89+E90</f>
        <v>404307921</v>
      </c>
      <c r="F91" s="439">
        <f>IF(ISNUMBER(E91/D91-1),E91/D91-1,"")</f>
        <v>6.6033242082985666E-5</v>
      </c>
      <c r="H91"/>
      <c r="I91"/>
    </row>
    <row r="92" spans="2:9" ht="15.5" thickTop="1" thickBot="1" x14ac:dyDescent="0.4">
      <c r="H92"/>
      <c r="I92"/>
    </row>
    <row r="93" spans="2:9" ht="15" hidden="1" thickBot="1" x14ac:dyDescent="0.4">
      <c r="H93"/>
      <c r="I93"/>
    </row>
    <row r="94" spans="2:9" ht="15" thickBot="1" x14ac:dyDescent="0.4">
      <c r="B94" s="131" t="s">
        <v>549</v>
      </c>
      <c r="C94" s="435" t="s">
        <v>529</v>
      </c>
      <c r="D94" s="400" t="str">
        <f>'10F.)Energy_RateDesign_SC2_II'!$A$4</f>
        <v>SC2 Rate II</v>
      </c>
      <c r="E94" s="436"/>
      <c r="H94"/>
      <c r="I94"/>
    </row>
    <row r="95" spans="2:9" x14ac:dyDescent="0.35">
      <c r="C95" s="435" t="s">
        <v>528</v>
      </c>
      <c r="D95" s="372" t="s">
        <v>548</v>
      </c>
      <c r="H95"/>
      <c r="I95"/>
    </row>
    <row r="96" spans="2:9" x14ac:dyDescent="0.35">
      <c r="C96" s="570" t="s">
        <v>1062</v>
      </c>
      <c r="D96" s="428" t="str">
        <f>D$8</f>
        <v>Current</v>
      </c>
      <c r="H96" s="296" t="s">
        <v>964</v>
      </c>
      <c r="I96"/>
    </row>
    <row r="97" spans="3:9" x14ac:dyDescent="0.35">
      <c r="C97" s="570" t="s">
        <v>1063</v>
      </c>
      <c r="D97" s="428" t="str">
        <f>D$9</f>
        <v>Current(RY1)</v>
      </c>
      <c r="E97" s="428" t="s">
        <v>521</v>
      </c>
      <c r="F97" s="428" t="s">
        <v>526</v>
      </c>
      <c r="H97" s="428">
        <f>H$9</f>
        <v>2019</v>
      </c>
      <c r="I97"/>
    </row>
    <row r="98" spans="3:9" x14ac:dyDescent="0.35">
      <c r="C98" s="435" t="s">
        <v>527</v>
      </c>
      <c r="D98" s="577" t="s">
        <v>1071</v>
      </c>
      <c r="E98" s="296"/>
      <c r="H98" s="296" t="str">
        <f>H$10</f>
        <v>(Currnet - Original)</v>
      </c>
      <c r="I98"/>
    </row>
    <row r="99" spans="3:9" x14ac:dyDescent="0.35">
      <c r="C99" s="406" t="s">
        <v>1070</v>
      </c>
      <c r="D99" s="646">
        <f>IF(ISNUMBER(VLOOKUP($C99,'[1]A1.)RatesInput'!$B$87:$J$97,HLOOKUP(D$96,'[1]A1.)RatesInput'!$D$87:$J$89,3,0),0)),VLOOKUP($C99,'[1]A1.)RatesInput'!$B$87:$J$97,HLOOKUP(D$96,'[1]A1.)RatesInput'!$D$87:$J$89,3,0),0),0)</f>
        <v>30.12</v>
      </c>
      <c r="E99" s="888">
        <f>'10F.)Energy_RateDesign_SC2_II'!$F$8</f>
        <v>32.56</v>
      </c>
      <c r="F99" s="433">
        <f>IF(ISNUMBER(E99/D99-1),E99/D99-1,"")</f>
        <v>8.100929614873853E-2</v>
      </c>
      <c r="H99" s="434">
        <f>IF(ISNUMBER(VLOOKUP($C99,'[1]A1.)RatesInput'!$B$87:$J$97,HLOOKUP(H$97,'[1]A1.)RatesInput'!$D$87:$J$89,3,0),0)),VLOOKUP($C99,'[1]A1.)RatesInput'!$B$87:$J$97,HLOOKUP(H$97,'[1]A1.)RatesInput'!$D$87:$J$89,3,0),0),0)</f>
        <v>30.12</v>
      </c>
      <c r="I99"/>
    </row>
    <row r="100" spans="3:9" x14ac:dyDescent="0.35">
      <c r="C100" s="406" t="s">
        <v>905</v>
      </c>
      <c r="D100" s="643">
        <f>IF('[1]A1.)RatesInput'!$P$99="Y",IF(ISNUMBER(VLOOKUP($C100,'[1]A1.)RatesInput'!$B$102:$Q$190,HLOOKUP(D$97,'[1]A1.)RatesInput'!$O$102:$Q$104,3,0),0)),VLOOKUP($C100,'[1]A1.)RatesInput'!$B$102:$Q$190,HLOOKUP(D$97,'[1]A1.)RatesInput'!$O$102:$Q$104,3,0),0),0),IF(ISNUMBER(VLOOKUP($C100,'[1]A1.)RatesInput'!$B$102:$I$190,HLOOKUP(D$97,'[1]A1.)RatesInput'!$D$102:$I$104,3,0),0)),VLOOKUP($C100,'[1]A1.)RatesInput'!$B$102:$I$190,HLOOKUP(D$97,'[1]A1.)RatesInput'!$D$102:$I$104,3,0),0),0))</f>
        <v>0.3115</v>
      </c>
      <c r="E100" s="846">
        <f>'10F.)Energy_RateDesign_SC2_II'!$F10</f>
        <v>0.3155</v>
      </c>
      <c r="F100" s="431">
        <f>IF(ISNUMBER(E100/D100-1),E100/D100-1,"")</f>
        <v>1.2841091492776791E-2</v>
      </c>
      <c r="H100" s="432">
        <f>IF(ISNUMBER(VLOOKUP($C100,'[1]A1.)RatesInput'!$B$102:$L$190,HLOOKUP(H$97,'[1]A1.)RatesInput'!$D$102:$L$104,3,0),0)),VLOOKUP($C100,'[1]A1.)RatesInput'!$B$102:$L$190,HLOOKUP(H$97,'[1]A1.)RatesInput'!$D$102:$L$104,3,0),0),0)</f>
        <v>0.3115</v>
      </c>
      <c r="I100"/>
    </row>
    <row r="101" spans="3:9" x14ac:dyDescent="0.35">
      <c r="C101" s="406" t="s">
        <v>906</v>
      </c>
      <c r="D101" s="645">
        <f>IF('[1]A1.)RatesInput'!$P$99="Y",IF(ISNUMBER(VLOOKUP($C101,'[1]A1.)RatesInput'!$B$102:$Q$190,HLOOKUP(D$97,'[1]A1.)RatesInput'!$O$102:$Q$104,3,0),0)),VLOOKUP($C101,'[1]A1.)RatesInput'!$B$102:$Q$190,HLOOKUP(D$97,'[1]A1.)RatesInput'!$O$102:$Q$104,3,0),0),0),IF(ISNUMBER(VLOOKUP($C101,'[1]A1.)RatesInput'!$B$102:$I$190,HLOOKUP(D$97,'[1]A1.)RatesInput'!$D$102:$I$104,3,0),0)),VLOOKUP($C101,'[1]A1.)RatesInput'!$B$102:$I$190,HLOOKUP(D$97,'[1]A1.)RatesInput'!$D$102:$I$104,3,0),0),0))</f>
        <v>1.14E-2</v>
      </c>
      <c r="E101" s="846">
        <f>'10F.)Energy_RateDesign_SC2_II'!$F11</f>
        <v>1.15E-2</v>
      </c>
      <c r="F101" s="431">
        <f>IF(ISNUMBER(E101/D101-1),E101/D101-1,"")</f>
        <v>8.7719298245614308E-3</v>
      </c>
      <c r="H101" s="432">
        <f>IF(ISNUMBER(VLOOKUP($C101,'[1]A1.)RatesInput'!$B$102:$L$190,HLOOKUP(H$97,'[1]A1.)RatesInput'!$D$102:$L$104,3,0),0)),VLOOKUP($C101,'[1]A1.)RatesInput'!$B$102:$L$190,HLOOKUP(H$97,'[1]A1.)RatesInput'!$D$102:$L$104,3,0),0),0)</f>
        <v>1.14E-2</v>
      </c>
      <c r="I101"/>
    </row>
    <row r="102" spans="3:9" x14ac:dyDescent="0.35">
      <c r="C102" s="406" t="s">
        <v>907</v>
      </c>
      <c r="D102" s="645">
        <f>IF('[1]A1.)RatesInput'!$P$99="Y",IF(ISNUMBER(VLOOKUP($C102,'[1]A1.)RatesInput'!$B$102:$Q$190,HLOOKUP(D$97,'[1]A1.)RatesInput'!$O$102:$Q$104,3,0),0)),VLOOKUP($C102,'[1]A1.)RatesInput'!$B$102:$Q$190,HLOOKUP(D$97,'[1]A1.)RatesInput'!$O$102:$Q$104,3,0),0),0),IF(ISNUMBER(VLOOKUP($C102,'[1]A1.)RatesInput'!$B$102:$I$190,HLOOKUP(D$97,'[1]A1.)RatesInput'!$D$102:$I$104,3,0),0)),VLOOKUP($C102,'[1]A1.)RatesInput'!$B$102:$I$190,HLOOKUP(D$97,'[1]A1.)RatesInput'!$D$102:$I$104,3,0),0),0))</f>
        <v>0.15339999999999998</v>
      </c>
      <c r="E102" s="846">
        <f>'10F.)Energy_RateDesign_SC2_II'!$F12</f>
        <v>0.15530000000000002</v>
      </c>
      <c r="F102" s="431">
        <f>IF(ISNUMBER(E102/D102-1),E102/D102-1,"")</f>
        <v>1.2385919165580406E-2</v>
      </c>
      <c r="H102" s="432">
        <f>IF(ISNUMBER(VLOOKUP($C102,'[1]A1.)RatesInput'!$B$102:$L$190,HLOOKUP(H$97,'[1]A1.)RatesInput'!$D$102:$L$104,3,0),0)),VLOOKUP($C102,'[1]A1.)RatesInput'!$B$102:$L$190,HLOOKUP(H$97,'[1]A1.)RatesInput'!$D$102:$L$104,3,0),0),0)</f>
        <v>0.15339999999999998</v>
      </c>
      <c r="I102"/>
    </row>
    <row r="103" spans="3:9" x14ac:dyDescent="0.35">
      <c r="C103" s="406" t="s">
        <v>908</v>
      </c>
      <c r="D103" s="644">
        <f>IF('[1]A1.)RatesInput'!$P$99="Y",IF(ISNUMBER(VLOOKUP($C103,'[1]A1.)RatesInput'!$B$102:$Q$190,HLOOKUP(D$97,'[1]A1.)RatesInput'!$O$102:$Q$104,3,0),0)),VLOOKUP($C103,'[1]A1.)RatesInput'!$B$102:$Q$190,HLOOKUP(D$97,'[1]A1.)RatesInput'!$O$102:$Q$104,3,0),0),0),IF(ISNUMBER(VLOOKUP($C103,'[1]A1.)RatesInput'!$B$102:$I$190,HLOOKUP(D$97,'[1]A1.)RatesInput'!$D$102:$I$104,3,0),0)),VLOOKUP($C103,'[1]A1.)RatesInput'!$B$102:$I$190,HLOOKUP(D$97,'[1]A1.)RatesInput'!$D$102:$I$104,3,0),0),0))</f>
        <v>1.14E-2</v>
      </c>
      <c r="E103" s="847">
        <f>'10F.)Energy_RateDesign_SC2_II'!$F13</f>
        <v>1.15E-2</v>
      </c>
      <c r="F103" s="429">
        <f>IF(ISNUMBER(E103/D103-1),E103/D103-1,"")</f>
        <v>8.7719298245614308E-3</v>
      </c>
      <c r="H103" s="430">
        <f>IF(ISNUMBER(VLOOKUP($C103,'[1]A1.)RatesInput'!$B$102:$L$190,HLOOKUP(H$97,'[1]A1.)RatesInput'!$D$102:$L$104,3,0),0)),VLOOKUP($C103,'[1]A1.)RatesInput'!$B$102:$L$190,HLOOKUP(H$97,'[1]A1.)RatesInput'!$D$102:$L$104,3,0),0),0)</f>
        <v>1.14E-2</v>
      </c>
      <c r="I103"/>
    </row>
    <row r="104" spans="3:9" x14ac:dyDescent="0.35">
      <c r="H104"/>
      <c r="I104"/>
    </row>
    <row r="105" spans="3:9" hidden="1" x14ac:dyDescent="0.35">
      <c r="H105"/>
      <c r="I105"/>
    </row>
    <row r="106" spans="3:9" x14ac:dyDescent="0.35">
      <c r="C106" s="133" t="s">
        <v>1147</v>
      </c>
      <c r="D106" s="135" t="s">
        <v>1148</v>
      </c>
      <c r="E106" s="135" t="s">
        <v>521</v>
      </c>
      <c r="H106"/>
      <c r="I106"/>
    </row>
    <row r="107" spans="3:9" x14ac:dyDescent="0.35">
      <c r="C107" t="s">
        <v>789</v>
      </c>
      <c r="E107" s="601">
        <f>'10F.)Energy_RateDesign_SC2_II'!N136+'10F.)Energy_RateDesign_SC2_II'!N144</f>
        <v>156132502</v>
      </c>
      <c r="H107"/>
      <c r="I107"/>
    </row>
    <row r="108" spans="3:9" x14ac:dyDescent="0.35">
      <c r="C108" t="s">
        <v>1149</v>
      </c>
      <c r="E108" s="601">
        <f>'10F.)Energy_RateDesign_SC2_II'!N137+'10F.)Energy_RateDesign_SC2_II'!N145</f>
        <v>234622152</v>
      </c>
      <c r="H108"/>
      <c r="I108"/>
    </row>
    <row r="109" spans="3:9" x14ac:dyDescent="0.35">
      <c r="C109" t="s">
        <v>1150</v>
      </c>
      <c r="E109" s="601">
        <f>'10F.)Energy_RateDesign_SC2_II'!N138+'10F.)Energy_RateDesign_SC2_II'!N146</f>
        <v>13417187</v>
      </c>
      <c r="H109"/>
      <c r="I109"/>
    </row>
    <row r="110" spans="3:9" x14ac:dyDescent="0.35">
      <c r="C110" t="s">
        <v>547</v>
      </c>
      <c r="E110" s="442">
        <f>E107+E108+E109</f>
        <v>404171841</v>
      </c>
      <c r="H110"/>
      <c r="I110"/>
    </row>
    <row r="111" spans="3:9" ht="15" thickBot="1" x14ac:dyDescent="0.4">
      <c r="C111" t="s">
        <v>546</v>
      </c>
      <c r="E111" s="441"/>
      <c r="H111"/>
      <c r="I111"/>
    </row>
    <row r="112" spans="3:9" ht="15.5" thickTop="1" thickBot="1" x14ac:dyDescent="0.4">
      <c r="C112" t="s">
        <v>752</v>
      </c>
      <c r="D112" s="440">
        <f>'10F.)Energy_RateDesign_SC2_II'!$M$161</f>
        <v>404281225</v>
      </c>
      <c r="E112" s="440">
        <f>E110+E111</f>
        <v>404171841</v>
      </c>
      <c r="F112" s="439">
        <f>IF(ISNUMBER(E112/D112-1),E112/D112-1,"")</f>
        <v>-2.7056413515125222E-4</v>
      </c>
      <c r="H112"/>
      <c r="I112"/>
    </row>
    <row r="113" spans="2:9" ht="15.5" thickTop="1" thickBot="1" x14ac:dyDescent="0.4">
      <c r="H113"/>
      <c r="I113"/>
    </row>
    <row r="114" spans="2:9" ht="15" hidden="1" thickBot="1" x14ac:dyDescent="0.4">
      <c r="H114"/>
      <c r="I114"/>
    </row>
    <row r="115" spans="2:9" ht="15" thickBot="1" x14ac:dyDescent="0.4">
      <c r="B115" s="131" t="s">
        <v>544</v>
      </c>
      <c r="C115" s="435" t="s">
        <v>529</v>
      </c>
      <c r="D115" s="400" t="str">
        <f>'10G.)Energy_RateDesign_SC6'!$A$4</f>
        <v>SC6</v>
      </c>
      <c r="E115" s="436"/>
      <c r="H115"/>
      <c r="I115"/>
    </row>
    <row r="116" spans="2:9" x14ac:dyDescent="0.35">
      <c r="C116" s="435" t="s">
        <v>528</v>
      </c>
      <c r="D116" s="372" t="s">
        <v>543</v>
      </c>
      <c r="H116"/>
      <c r="I116"/>
    </row>
    <row r="117" spans="2:9" x14ac:dyDescent="0.35">
      <c r="C117" s="570" t="s">
        <v>1062</v>
      </c>
      <c r="D117" s="428" t="str">
        <f>D$8</f>
        <v>Current</v>
      </c>
      <c r="H117" s="296" t="s">
        <v>964</v>
      </c>
      <c r="I117"/>
    </row>
    <row r="118" spans="2:9" x14ac:dyDescent="0.35">
      <c r="C118" s="570" t="s">
        <v>1063</v>
      </c>
      <c r="D118" s="428" t="str">
        <f>D$9</f>
        <v>Current(RY1)</v>
      </c>
      <c r="E118" s="428" t="s">
        <v>521</v>
      </c>
      <c r="F118" s="428" t="s">
        <v>526</v>
      </c>
      <c r="H118" s="428">
        <f>H$9</f>
        <v>2019</v>
      </c>
      <c r="I118"/>
    </row>
    <row r="119" spans="2:9" x14ac:dyDescent="0.35">
      <c r="C119" s="435" t="s">
        <v>527</v>
      </c>
      <c r="D119" s="577" t="s">
        <v>1071</v>
      </c>
      <c r="E119" s="296"/>
      <c r="H119" s="296" t="str">
        <f>H$10</f>
        <v>(Currnet - Original)</v>
      </c>
      <c r="I119"/>
    </row>
    <row r="120" spans="2:9" x14ac:dyDescent="0.35">
      <c r="C120" s="406" t="s">
        <v>1064</v>
      </c>
      <c r="D120" s="646">
        <f>IF(ISNUMBER(VLOOKUP($C120,'[1]A1.)RatesInput'!$B$87:$J$97,HLOOKUP(D$117,'[1]A1.)RatesInput'!$D$87:$J$89,3,0),0)),VLOOKUP($C120,'[1]A1.)RatesInput'!$B$87:$J$97,HLOOKUP(D$117,'[1]A1.)RatesInput'!$D$87:$J$89,3,0),0),0)</f>
        <v>33.89</v>
      </c>
      <c r="E120" s="888">
        <f>'10G.)Energy_RateDesign_SC6'!$F$8</f>
        <v>36.6</v>
      </c>
      <c r="F120" s="433">
        <f>IF(ISNUMBER(E120/D120-1),E120/D120-1,"")</f>
        <v>7.9964591324874545E-2</v>
      </c>
      <c r="H120" s="434">
        <f>IF(ISNUMBER(VLOOKUP($C120,'[1]A1.)RatesInput'!$B$87:$J$97,HLOOKUP(H$118,'[1]A1.)RatesInput'!$D$87:$J$89,3,0),0)),VLOOKUP($C120,'[1]A1.)RatesInput'!$B$87:$J$97,HLOOKUP(H$118,'[1]A1.)RatesInput'!$D$87:$J$89,3,0),0),0)</f>
        <v>33.89</v>
      </c>
      <c r="I120"/>
    </row>
    <row r="121" spans="2:9" x14ac:dyDescent="0.35">
      <c r="C121" s="406" t="s">
        <v>909</v>
      </c>
      <c r="D121" s="643">
        <f>IF('[1]A1.)RatesInput'!$P$99="Y",IF(ISNUMBER(VLOOKUP($C121,'[1]A1.)RatesInput'!$B$102:$Q$190,HLOOKUP(D$118,'[1]A1.)RatesInput'!$O$102:$Q$104,3,0),0)),VLOOKUP($C121,'[1]A1.)RatesInput'!$B$102:$Q$190,HLOOKUP(D$118,'[1]A1.)RatesInput'!$O$102:$Q$104,3,0),0),0),IF(ISNUMBER(VLOOKUP($C121,'[1]A1.)RatesInput'!$B$102:$I$190,HLOOKUP(D$118,'[1]A1.)RatesInput'!$D$102:$I$104,3,0),0)),VLOOKUP($C121,'[1]A1.)RatesInput'!$B$102:$I$190,HLOOKUP(D$118,'[1]A1.)RatesInput'!$D$102:$I$104,3,0),0),0))</f>
        <v>5.6899999999999999E-2</v>
      </c>
      <c r="E121" s="846">
        <f>'10G.)Energy_RateDesign_SC6'!$F$10</f>
        <v>6.93E-2</v>
      </c>
      <c r="F121" s="431">
        <f>IF(ISNUMBER(E121/D121-1),E121/D121-1,"")</f>
        <v>0.21792618629173988</v>
      </c>
      <c r="H121" s="432">
        <f>IF(ISNUMBER(VLOOKUP($C121,'[1]A1.)RatesInput'!$B$102:$L$190,HLOOKUP(H$118,'[1]A1.)RatesInput'!$D$102:$L$104,3,0),0)),VLOOKUP($C121,'[1]A1.)RatesInput'!$B$102:$L$190,HLOOKUP(H$118,'[1]A1.)RatesInput'!$D$102:$L$104,3,0),0),0)</f>
        <v>5.6899999999999999E-2</v>
      </c>
      <c r="I121"/>
    </row>
    <row r="122" spans="2:9" x14ac:dyDescent="0.35">
      <c r="C122" s="406" t="s">
        <v>910</v>
      </c>
      <c r="D122" s="644">
        <f>IF('[1]A1.)RatesInput'!$P$99="Y",IF(ISNUMBER(VLOOKUP($C122,'[1]A1.)RatesInput'!$B$102:$Q$190,HLOOKUP(D$118,'[1]A1.)RatesInput'!$O$102:$Q$104,3,0),0)),VLOOKUP($C122,'[1]A1.)RatesInput'!$B$102:$Q$190,HLOOKUP(D$118,'[1]A1.)RatesInput'!$O$102:$Q$104,3,0),0),0),IF(ISNUMBER(VLOOKUP($C122,'[1]A1.)RatesInput'!$B$102:$I$190,HLOOKUP(D$118,'[1]A1.)RatesInput'!$D$102:$I$104,3,0),0)),VLOOKUP($C122,'[1]A1.)RatesInput'!$B$102:$I$190,HLOOKUP(D$118,'[1]A1.)RatesInput'!$D$102:$I$104,3,0),0),0))</f>
        <v>5.6899999999999999E-2</v>
      </c>
      <c r="E122" s="847">
        <f>'10G.)Energy_RateDesign_SC6'!$F$12</f>
        <v>6.93E-2</v>
      </c>
      <c r="F122" s="429">
        <f>IF(ISNUMBER(E122/D122-1),E122/D122-1,"")</f>
        <v>0.21792618629173988</v>
      </c>
      <c r="H122" s="430">
        <f>IF(ISNUMBER(VLOOKUP($C122,'[1]A1.)RatesInput'!$B$102:$L$190,HLOOKUP(H$118,'[1]A1.)RatesInput'!$D$102:$L$104,3,0),0)),VLOOKUP($C122,'[1]A1.)RatesInput'!$B$102:$L$190,HLOOKUP(H$118,'[1]A1.)RatesInput'!$D$102:$L$104,3,0),0),0)</f>
        <v>5.6899999999999999E-2</v>
      </c>
      <c r="I122"/>
    </row>
    <row r="123" spans="2:9" x14ac:dyDescent="0.35">
      <c r="H123"/>
      <c r="I123"/>
    </row>
    <row r="124" spans="2:9" hidden="1" x14ac:dyDescent="0.35">
      <c r="H124"/>
      <c r="I124"/>
    </row>
    <row r="125" spans="2:9" hidden="1" x14ac:dyDescent="0.35">
      <c r="H125"/>
      <c r="I125"/>
    </row>
    <row r="126" spans="2:9" x14ac:dyDescent="0.35">
      <c r="C126" s="133" t="s">
        <v>1147</v>
      </c>
      <c r="D126" s="135" t="s">
        <v>1148</v>
      </c>
      <c r="E126" s="135" t="s">
        <v>521</v>
      </c>
      <c r="H126"/>
      <c r="I126"/>
    </row>
    <row r="127" spans="2:9" x14ac:dyDescent="0.35">
      <c r="C127" t="s">
        <v>163</v>
      </c>
      <c r="E127" s="963">
        <f>'10G.)Energy_RateDesign_SC6'!N88+'10G.)Energy_RateDesign_SC6'!N95</f>
        <v>1500563</v>
      </c>
      <c r="H127"/>
      <c r="I127"/>
    </row>
    <row r="128" spans="2:9" ht="15" thickBot="1" x14ac:dyDescent="0.4">
      <c r="C128" t="s">
        <v>45</v>
      </c>
      <c r="E128" s="963">
        <f>'10G.)Energy_RateDesign_SC6'!N89+'10G.)Energy_RateDesign_SC6'!N96</f>
        <v>520145</v>
      </c>
      <c r="H128"/>
      <c r="I128"/>
    </row>
    <row r="129" spans="2:9" ht="15.5" thickTop="1" thickBot="1" x14ac:dyDescent="0.4">
      <c r="C129" t="s">
        <v>752</v>
      </c>
      <c r="D129" s="440">
        <f>'10G.)Energy_RateDesign_SC6'!$M$109</f>
        <v>2020500</v>
      </c>
      <c r="E129" s="440">
        <f>E127+E128</f>
        <v>2020708</v>
      </c>
      <c r="F129" s="439">
        <f>IF(ISNUMBER(E129/D129-1),E129/D129-1,"")</f>
        <v>1.0294481563977165E-4</v>
      </c>
      <c r="H129"/>
      <c r="I129"/>
    </row>
    <row r="130" spans="2:9" ht="15.5" thickTop="1" thickBot="1" x14ac:dyDescent="0.4">
      <c r="H130"/>
      <c r="I130"/>
    </row>
    <row r="131" spans="2:9" ht="15" hidden="1" thickBot="1" x14ac:dyDescent="0.4">
      <c r="H131"/>
      <c r="I131"/>
    </row>
    <row r="132" spans="2:9" ht="15" thickBot="1" x14ac:dyDescent="0.4">
      <c r="B132" s="131" t="s">
        <v>542</v>
      </c>
      <c r="C132" s="435" t="s">
        <v>529</v>
      </c>
      <c r="D132" s="400" t="str">
        <f>'10H.)Energy_RateDesign_SC12_EN'!$A$4</f>
        <v>SC12 Rate I</v>
      </c>
      <c r="E132" s="436"/>
      <c r="F132" s="425" t="s">
        <v>505</v>
      </c>
      <c r="H132"/>
      <c r="I132"/>
    </row>
    <row r="133" spans="2:9" x14ac:dyDescent="0.35">
      <c r="C133" s="435" t="s">
        <v>528</v>
      </c>
      <c r="D133" s="372" t="s">
        <v>541</v>
      </c>
      <c r="H133"/>
      <c r="I133"/>
    </row>
    <row r="134" spans="2:9" x14ac:dyDescent="0.35">
      <c r="C134" s="570"/>
      <c r="H134" s="296" t="s">
        <v>964</v>
      </c>
      <c r="I134"/>
    </row>
    <row r="135" spans="2:9" x14ac:dyDescent="0.35">
      <c r="C135" s="570" t="s">
        <v>1063</v>
      </c>
      <c r="D135" s="428" t="str">
        <f>D$9</f>
        <v>Current(RY1)</v>
      </c>
      <c r="E135" s="428" t="s">
        <v>521</v>
      </c>
      <c r="F135" s="428" t="s">
        <v>526</v>
      </c>
      <c r="H135" s="428">
        <f>H$9</f>
        <v>2019</v>
      </c>
      <c r="I135"/>
    </row>
    <row r="136" spans="2:9" x14ac:dyDescent="0.35">
      <c r="C136" s="435" t="s">
        <v>527</v>
      </c>
      <c r="D136" s="577" t="s">
        <v>1071</v>
      </c>
      <c r="E136" s="296"/>
      <c r="H136" s="296" t="str">
        <f>H$10</f>
        <v>(Currnet - Original)</v>
      </c>
      <c r="I136"/>
    </row>
    <row r="137" spans="2:9" x14ac:dyDescent="0.35">
      <c r="C137" s="406" t="s">
        <v>497</v>
      </c>
      <c r="D137" s="643">
        <f>IF('[1]A1.)RatesInput'!$P$99="Y",IF(ISNUMBER(VLOOKUP($C137,'[1]A1.)RatesInput'!$B$102:$Q$190,HLOOKUP(D$135,'[1]A1.)RatesInput'!$O$102:$Q$104,3,0),0)),VLOOKUP($C137,'[1]A1.)RatesInput'!$B$102:$Q$190,HLOOKUP(D$135,'[1]A1.)RatesInput'!$O$102:$Q$104,3,0),0),0),IF(ISNUMBER(VLOOKUP($C137,'[1]A1.)RatesInput'!$B$102:$I$190,HLOOKUP(D$135,'[1]A1.)RatesInput'!$D$102:$I$104,3,0),0)),VLOOKUP($C137,'[1]A1.)RatesInput'!$B$102:$I$190,HLOOKUP(D$135,'[1]A1.)RatesInput'!$D$102:$I$104,3,0),0),0))</f>
        <v>12.8</v>
      </c>
      <c r="E137" s="848">
        <f>'10H.)Energy_RateDesign_SC12_EN'!$F10</f>
        <v>13.34</v>
      </c>
      <c r="F137" s="433">
        <f>IF(ISNUMBER(E137/D137-1),E137/D137-1,"")</f>
        <v>4.2187499999999822E-2</v>
      </c>
      <c r="H137" s="434">
        <f>IF(ISNUMBER(VLOOKUP($C137,'[1]A1.)RatesInput'!$B$102:$L$190,HLOOKUP(H$135,'[1]A1.)RatesInput'!$D$102:$L$104,3,0),0)),VLOOKUP($C137,'[1]A1.)RatesInput'!$B$102:$L$190,HLOOKUP(H$135,'[1]A1.)RatesInput'!$D$102:$L$104,3,0),0),0)</f>
        <v>12.8</v>
      </c>
      <c r="I137"/>
    </row>
    <row r="138" spans="2:9" x14ac:dyDescent="0.35">
      <c r="C138" s="406" t="s">
        <v>498</v>
      </c>
      <c r="D138" s="645">
        <f>IF('[1]A1.)RatesInput'!$P$99="Y",IF(ISNUMBER(VLOOKUP($C138,'[1]A1.)RatesInput'!$B$102:$Q$190,HLOOKUP(D$135,'[1]A1.)RatesInput'!$O$102:$Q$104,3,0),0)),VLOOKUP($C138,'[1]A1.)RatesInput'!$B$102:$Q$190,HLOOKUP(D$135,'[1]A1.)RatesInput'!$O$102:$Q$104,3,0),0),0),IF(ISNUMBER(VLOOKUP($C138,'[1]A1.)RatesInput'!$B$102:$I$190,HLOOKUP(D$135,'[1]A1.)RatesInput'!$D$102:$I$104,3,0),0)),VLOOKUP($C138,'[1]A1.)RatesInput'!$B$102:$I$190,HLOOKUP(D$135,'[1]A1.)RatesInput'!$D$102:$I$104,3,0),0),0))</f>
        <v>0.12280000000000001</v>
      </c>
      <c r="E138" s="846">
        <f>'10H.)Energy_RateDesign_SC12_EN'!$F11</f>
        <v>0.128</v>
      </c>
      <c r="F138" s="431">
        <f>IF(ISNUMBER(E138/D138-1),E138/D138-1,"")</f>
        <v>4.2345276872964188E-2</v>
      </c>
      <c r="H138" s="432">
        <f>IF(ISNUMBER(VLOOKUP($C138,'[1]A1.)RatesInput'!$B$102:$L$190,HLOOKUP(H$135,'[1]A1.)RatesInput'!$D$102:$L$104,3,0),0)),VLOOKUP($C138,'[1]A1.)RatesInput'!$B$102:$L$190,HLOOKUP(H$135,'[1]A1.)RatesInput'!$D$102:$L$104,3,0),0),0)</f>
        <v>0.12280000000000001</v>
      </c>
      <c r="I138"/>
    </row>
    <row r="139" spans="2:9" x14ac:dyDescent="0.35">
      <c r="C139" s="406" t="s">
        <v>499</v>
      </c>
      <c r="D139" s="645">
        <f>IF('[1]A1.)RatesInput'!$P$99="Y",IF(ISNUMBER(VLOOKUP($C139,'[1]A1.)RatesInput'!$B$102:$Q$190,HLOOKUP(D$135,'[1]A1.)RatesInput'!$O$102:$Q$104,3,0),0)),VLOOKUP($C139,'[1]A1.)RatesInput'!$B$102:$Q$190,HLOOKUP(D$135,'[1]A1.)RatesInput'!$O$102:$Q$104,3,0),0),0),IF(ISNUMBER(VLOOKUP($C139,'[1]A1.)RatesInput'!$B$102:$I$190,HLOOKUP(D$135,'[1]A1.)RatesInput'!$D$102:$I$104,3,0),0)),VLOOKUP($C139,'[1]A1.)RatesInput'!$B$102:$I$190,HLOOKUP(D$135,'[1]A1.)RatesInput'!$D$102:$I$104,3,0),0),0))</f>
        <v>12.65</v>
      </c>
      <c r="E139" s="846">
        <f>'10H.)Energy_RateDesign_SC12_EN'!$F12</f>
        <v>13.19</v>
      </c>
      <c r="F139" s="431">
        <f>IF(ISNUMBER(E139/D139-1),E139/D139-1,"")</f>
        <v>4.2687747035573098E-2</v>
      </c>
      <c r="H139" s="432">
        <f>IF(ISNUMBER(VLOOKUP($C139,'[1]A1.)RatesInput'!$B$102:$L$190,HLOOKUP(H$135,'[1]A1.)RatesInput'!$D$102:$L$104,3,0),0)),VLOOKUP($C139,'[1]A1.)RatesInput'!$B$102:$L$190,HLOOKUP(H$135,'[1]A1.)RatesInput'!$D$102:$L$104,3,0),0),0)</f>
        <v>12.65</v>
      </c>
      <c r="I139"/>
    </row>
    <row r="140" spans="2:9" x14ac:dyDescent="0.35">
      <c r="C140" s="406" t="s">
        <v>500</v>
      </c>
      <c r="D140" s="644">
        <f>IF('[1]A1.)RatesInput'!$P$99="Y",IF(ISNUMBER(VLOOKUP($C140,'[1]A1.)RatesInput'!$B$102:$Q$190,HLOOKUP(D$135,'[1]A1.)RatesInput'!$O$102:$Q$104,3,0),0)),VLOOKUP($C140,'[1]A1.)RatesInput'!$B$102:$Q$190,HLOOKUP(D$135,'[1]A1.)RatesInput'!$O$102:$Q$104,3,0),0),0),IF(ISNUMBER(VLOOKUP($C140,'[1]A1.)RatesInput'!$B$102:$I$190,HLOOKUP(D$135,'[1]A1.)RatesInput'!$D$102:$I$104,3,0),0)),VLOOKUP($C140,'[1]A1.)RatesInput'!$B$102:$I$190,HLOOKUP(D$135,'[1]A1.)RatesInput'!$D$102:$I$104,3,0),0),0))</f>
        <v>0.1106</v>
      </c>
      <c r="E140" s="847">
        <f>'10H.)Energy_RateDesign_SC12_EN'!$F13</f>
        <v>0.1153</v>
      </c>
      <c r="F140" s="429">
        <f>IF(ISNUMBER(E140/D140-1),E140/D140-1,"")</f>
        <v>4.2495479204339937E-2</v>
      </c>
      <c r="H140" s="430">
        <f>IF(ISNUMBER(VLOOKUP($C140,'[1]A1.)RatesInput'!$B$102:$L$190,HLOOKUP(H$135,'[1]A1.)RatesInput'!$D$102:$L$104,3,0),0)),VLOOKUP($C140,'[1]A1.)RatesInput'!$B$102:$L$190,HLOOKUP(H$135,'[1]A1.)RatesInput'!$D$102:$L$104,3,0),0),0)</f>
        <v>0.1106</v>
      </c>
      <c r="I140"/>
    </row>
    <row r="141" spans="2:9" hidden="1" x14ac:dyDescent="0.35">
      <c r="H141"/>
      <c r="I141"/>
    </row>
    <row r="142" spans="2:9" x14ac:dyDescent="0.35">
      <c r="H142"/>
      <c r="I142"/>
    </row>
    <row r="143" spans="2:9" x14ac:dyDescent="0.35">
      <c r="C143" s="133" t="s">
        <v>1147</v>
      </c>
      <c r="D143" s="135" t="s">
        <v>1148</v>
      </c>
      <c r="E143" s="135" t="s">
        <v>521</v>
      </c>
      <c r="H143"/>
      <c r="I143"/>
    </row>
    <row r="144" spans="2:9" x14ac:dyDescent="0.35">
      <c r="C144" t="s">
        <v>789</v>
      </c>
      <c r="E144" s="602"/>
      <c r="H144"/>
      <c r="I144"/>
    </row>
    <row r="145" spans="3:9" x14ac:dyDescent="0.35">
      <c r="C145" t="s">
        <v>377</v>
      </c>
      <c r="E145" s="963">
        <f>'10H.)Energy_RateDesign_SC12_EN'!Q95+'10H.)Energy_RateDesign_SC12_EN'!Q103</f>
        <v>33850</v>
      </c>
      <c r="H145"/>
      <c r="I145"/>
    </row>
    <row r="146" spans="3:9" ht="15" thickBot="1" x14ac:dyDescent="0.4">
      <c r="C146" t="s">
        <v>376</v>
      </c>
      <c r="E146" s="963">
        <f>'10H.)Energy_RateDesign_SC12_EN'!Q96+'10H.)Energy_RateDesign_SC12_EN'!Q104</f>
        <v>132312</v>
      </c>
      <c r="H146"/>
      <c r="I146"/>
    </row>
    <row r="147" spans="3:9" ht="15.5" thickTop="1" thickBot="1" x14ac:dyDescent="0.4">
      <c r="C147" t="s">
        <v>752</v>
      </c>
      <c r="D147" s="440">
        <f>'10H.)Energy_RateDesign_SC12_EN'!$M$113</f>
        <v>166159</v>
      </c>
      <c r="E147" s="440">
        <f>E145+E146</f>
        <v>166162</v>
      </c>
      <c r="F147" s="439">
        <f>IF(ISNUMBER(E147/D147-1),E147/D147-1,"")</f>
        <v>1.8054995516436634E-5</v>
      </c>
      <c r="I147"/>
    </row>
    <row r="148" spans="3:9" ht="15" thickTop="1" x14ac:dyDescent="0.35">
      <c r="E148" s="406"/>
      <c r="F148"/>
      <c r="H148"/>
      <c r="I148"/>
    </row>
  </sheetData>
  <printOptions horizontalCentered="1"/>
  <pageMargins left="0.2" right="0.2" top="0.5" bottom="0.25" header="0.3" footer="0.1"/>
  <pageSetup scale="55" fitToHeight="2" orientation="landscape" r:id="rId1"/>
  <headerFooter>
    <oddFooter>&amp;C&amp;F (Tab: &amp;A)&amp;RPage &amp;P / &amp;N</oddFooter>
  </headerFooter>
  <rowBreaks count="1" manualBreakCount="1">
    <brk id="72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7"/>
  <dimension ref="A1:V151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7.7265625" customWidth="1"/>
    <col min="4" max="4" width="9.7265625" customWidth="1"/>
    <col min="5" max="5" width="18.453125" customWidth="1"/>
    <col min="6" max="6" width="13.72656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5" style="1" customWidth="1"/>
    <col min="17" max="17" width="16.26953125" style="1" customWidth="1"/>
    <col min="18" max="19" width="8.81640625" customWidth="1"/>
    <col min="20" max="20" width="15.1796875" customWidth="1"/>
    <col min="21" max="21" width="11.7265625" customWidth="1"/>
    <col min="22" max="22" width="16.26953125" customWidth="1"/>
    <col min="25" max="25" width="15.7265625" customWidth="1"/>
    <col min="26" max="26" width="11.7265625" customWidth="1"/>
    <col min="27" max="27" width="16.81640625" customWidth="1"/>
  </cols>
  <sheetData>
    <row r="1" spans="1:22" ht="18.5" x14ac:dyDescent="0.45">
      <c r="A1" s="447" t="s">
        <v>630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160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/>
      <c r="B5" s="75"/>
      <c r="C5" s="3"/>
      <c r="D5" s="3"/>
      <c r="E5" s="3"/>
      <c r="F5" s="3"/>
      <c r="H5" s="3"/>
      <c r="J5" s="3" t="s">
        <v>145</v>
      </c>
      <c r="K5" s="3"/>
      <c r="L5" s="692" t="s">
        <v>144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B6" s="180"/>
      <c r="C6" s="180"/>
      <c r="D6" s="180"/>
      <c r="E6" s="490" t="str">
        <f>'10A.)EnergyRateDesignSummary'!D8</f>
        <v>Current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>
        <v>0</v>
      </c>
      <c r="R6" s="163" t="s">
        <v>143</v>
      </c>
      <c r="S6" s="164">
        <f>'[2]4B.)HY_EnergyRatePxOut(Rate I)'!$E$28</f>
        <v>250</v>
      </c>
      <c r="T6" s="386">
        <f>'[2]4B.)HY_EnergyRatePxOut(Rate I)'!$L$13+'[2]4B.)HY_EnergyRatePxOut(Rate I)'!$L$33</f>
        <v>4102465.0830123234</v>
      </c>
      <c r="U6" s="161"/>
      <c r="V6" s="386">
        <f>'[2]4B.)HY_EnergyRatePxOut(Rate I)'!$M$13+'[2]4B.)HY_EnergyRatePxOut(Rate I)'!$M$33</f>
        <v>2534832095.7490659</v>
      </c>
    </row>
    <row r="7" spans="1:22" ht="15" outlineLevel="1" thickBot="1" x14ac:dyDescent="0.4">
      <c r="A7" s="3"/>
      <c r="B7" s="3"/>
      <c r="C7" s="3"/>
      <c r="D7" s="3"/>
      <c r="E7" s="101"/>
      <c r="H7" s="3"/>
      <c r="J7" s="3"/>
      <c r="K7" s="17"/>
      <c r="L7" s="118" t="str">
        <f>A4</f>
        <v>SC1 Rate I</v>
      </c>
      <c r="M7" s="3"/>
      <c r="P7" s="170" t="s">
        <v>42</v>
      </c>
      <c r="Q7" s="159"/>
      <c r="R7" s="158" t="s">
        <v>141</v>
      </c>
      <c r="S7" s="159">
        <f>S6</f>
        <v>250</v>
      </c>
      <c r="T7" s="387">
        <f>'[2]4B.)HY_EnergyRatePxOut(Rate I)'!$L$14+'[2]4B.)HY_EnergyRatePxOut(Rate I)'!$L$34</f>
        <v>7670333.9169876771</v>
      </c>
      <c r="U7" s="156"/>
      <c r="V7" s="387">
        <f>'[2]4B.)HY_EnergyRatePxOut(Rate I)'!$M$14+'[2]4B.)HY_EnergyRatePxOut(Rate I)'!$M$34</f>
        <v>2931409443.2509341</v>
      </c>
    </row>
    <row r="8" spans="1:22" ht="15.5" outlineLevel="1" thickTop="1" thickBot="1" x14ac:dyDescent="0.4">
      <c r="A8" s="3" t="s">
        <v>160</v>
      </c>
      <c r="B8" s="3"/>
      <c r="C8" s="190" t="s">
        <v>163</v>
      </c>
      <c r="D8" s="3"/>
      <c r="E8" s="309">
        <f>'10A.)EnergyRateDesignSummary'!D11</f>
        <v>15.76</v>
      </c>
      <c r="F8" s="309">
        <f>'7A.)CustCharge_Summary'!$B$99</f>
        <v>16</v>
      </c>
      <c r="G8" s="1"/>
      <c r="J8" s="33"/>
      <c r="K8" s="17"/>
      <c r="L8" s="688"/>
      <c r="M8" s="3"/>
      <c r="P8" s="168" t="s">
        <v>42</v>
      </c>
      <c r="Q8" s="155"/>
      <c r="R8" s="176"/>
      <c r="S8" s="711"/>
      <c r="T8" s="388"/>
      <c r="U8" s="191"/>
      <c r="V8" s="388"/>
    </row>
    <row r="9" spans="1:22" ht="15.5" outlineLevel="1" thickTop="1" thickBot="1" x14ac:dyDescent="0.4">
      <c r="A9" s="3" t="s">
        <v>162</v>
      </c>
      <c r="B9" s="3"/>
      <c r="C9" s="190" t="s">
        <v>163</v>
      </c>
      <c r="D9" s="3"/>
      <c r="E9" s="311">
        <f>'10A.)EnergyRateDesignSummary'!D12</f>
        <v>15.76</v>
      </c>
      <c r="F9" s="311">
        <f>F8</f>
        <v>16</v>
      </c>
      <c r="G9" s="1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11772799</v>
      </c>
      <c r="U9" s="151">
        <f>SUM(U6:U8)</f>
        <v>0</v>
      </c>
      <c r="V9" s="151">
        <f>SUM(V6:V8)</f>
        <v>5466241539</v>
      </c>
    </row>
    <row r="10" spans="1:22" ht="15" outlineLevel="1" thickTop="1" x14ac:dyDescent="0.35">
      <c r="A10" s="3" t="s">
        <v>889</v>
      </c>
      <c r="B10" s="3"/>
      <c r="C10" s="3"/>
      <c r="D10" s="3"/>
      <c r="E10" s="1230">
        <f>'10A.)EnergyRateDesignSummary'!D13</f>
        <v>0.10817</v>
      </c>
      <c r="F10" s="1230">
        <f>H90</f>
        <v>0.11125</v>
      </c>
      <c r="G10" s="1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890</v>
      </c>
      <c r="B11" s="3"/>
      <c r="C11" s="3"/>
      <c r="D11" s="3"/>
      <c r="E11" s="1230">
        <f>'10A.)EnergyRateDesignSummary'!D14</f>
        <v>0.12434000000000001</v>
      </c>
      <c r="F11" s="1230">
        <f>H91</f>
        <v>0.12787999999999999</v>
      </c>
      <c r="G11" s="1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>
        <f>$Q$6</f>
        <v>0</v>
      </c>
      <c r="R11" s="163" t="str">
        <f>$R$6</f>
        <v>-</v>
      </c>
      <c r="S11" s="162">
        <f>$S$6</f>
        <v>250</v>
      </c>
      <c r="T11" s="386">
        <f>'[2]4B.)HY_EnergyRatePxOut(Rate I)'!$L$8+'[2]4B.)HY_EnergyRatePxOut(Rate I)'!$L$28</f>
        <v>12255759.410362491</v>
      </c>
      <c r="U11" s="161"/>
      <c r="V11" s="386">
        <f>'[2]4B.)HY_EnergyRatePxOut(Rate I)'!$M$8+'[2]4B.)HY_EnergyRatePxOut(Rate I)'!$M$28</f>
        <v>4602273259.2121811</v>
      </c>
    </row>
    <row r="12" spans="1:22" outlineLevel="1" x14ac:dyDescent="0.35">
      <c r="A12" s="3" t="s">
        <v>891</v>
      </c>
      <c r="B12" s="3"/>
      <c r="C12" s="3"/>
      <c r="D12" s="3"/>
      <c r="E12" s="1230">
        <f>'10A.)EnergyRateDesignSummary'!D15</f>
        <v>0.10817</v>
      </c>
      <c r="F12" s="1230">
        <f>J90</f>
        <v>0.11125</v>
      </c>
      <c r="G12" s="1"/>
      <c r="J12" s="33"/>
      <c r="L12" s="245"/>
      <c r="P12" s="160" t="s">
        <v>40</v>
      </c>
      <c r="Q12" s="159"/>
      <c r="R12" s="158" t="str">
        <f>$R$7</f>
        <v>&gt;</v>
      </c>
      <c r="S12" s="157">
        <f>$S$7</f>
        <v>250</v>
      </c>
      <c r="T12" s="387">
        <f>'[2]4B.)HY_EnergyRatePxOut(Rate I)'!$L$9+'[2]4B.)HY_EnergyRatePxOut(Rate I)'!$L$29</f>
        <v>11278254.589637509</v>
      </c>
      <c r="U12" s="156"/>
      <c r="V12" s="387">
        <f>'[2]4B.)HY_EnergyRatePxOut(Rate I)'!$M$9+'[2]4B.)HY_EnergyRatePxOut(Rate I)'!$M$29</f>
        <v>3435812875.7878194</v>
      </c>
    </row>
    <row r="13" spans="1:22" ht="15" outlineLevel="1" thickBot="1" x14ac:dyDescent="0.4">
      <c r="A13" s="3" t="s">
        <v>892</v>
      </c>
      <c r="B13" s="3"/>
      <c r="C13" s="3"/>
      <c r="D13" s="3"/>
      <c r="E13" s="1230">
        <f>'10A.)EnergyRateDesignSummary'!D16</f>
        <v>0.10817</v>
      </c>
      <c r="F13" s="1230">
        <f>J91</f>
        <v>0.11125</v>
      </c>
      <c r="G13" s="1"/>
      <c r="I13" s="3"/>
      <c r="J13" s="33"/>
      <c r="L13" s="245"/>
      <c r="P13" s="155" t="s">
        <v>40</v>
      </c>
      <c r="Q13" s="154"/>
      <c r="R13" s="154"/>
      <c r="S13" s="154"/>
      <c r="T13" s="388"/>
      <c r="U13" s="191"/>
      <c r="V13" s="388"/>
    </row>
    <row r="14" spans="1:22" ht="15.5" outlineLevel="1" thickTop="1" thickBot="1" x14ac:dyDescent="0.4">
      <c r="A14" s="3" t="s">
        <v>164</v>
      </c>
      <c r="B14" s="3"/>
      <c r="C14" s="3"/>
      <c r="D14" s="3"/>
      <c r="E14" s="1231">
        <f>'10A.)EnergyRateDesignSummary'!D17</f>
        <v>0</v>
      </c>
      <c r="F14" s="1231"/>
      <c r="G14" s="758"/>
      <c r="H14" s="3"/>
      <c r="J14" s="33" t="s">
        <v>1478</v>
      </c>
      <c r="K14" s="17"/>
      <c r="L14" s="690">
        <f>ROUND('[2]6B.)RateChgAllocation'!$E$14/'[2]6B.)RateChgAllocation'!$H$14,8)</f>
        <v>2.8479879999999999E-2</v>
      </c>
      <c r="Q14" s="2"/>
      <c r="R14" s="3"/>
      <c r="S14" s="3"/>
      <c r="T14" s="151">
        <f>SUM(T11:T13)</f>
        <v>23534014</v>
      </c>
      <c r="U14" s="151">
        <f>SUM(U11:U13)</f>
        <v>0</v>
      </c>
      <c r="V14" s="151">
        <f>SUM(V11:V13)</f>
        <v>8038086135</v>
      </c>
    </row>
    <row r="15" spans="1:22" ht="15" outlineLevel="1" thickTop="1" x14ac:dyDescent="0.35">
      <c r="A15" s="3"/>
      <c r="B15" s="3"/>
      <c r="C15" s="3"/>
      <c r="D15" s="3"/>
      <c r="E15" s="3"/>
      <c r="F15" s="3"/>
      <c r="G15" s="3"/>
      <c r="H15" s="3"/>
      <c r="L15" s="135"/>
      <c r="M15" s="135"/>
      <c r="P15"/>
      <c r="Q15"/>
    </row>
    <row r="16" spans="1:22" outlineLevel="1" x14ac:dyDescent="0.35">
      <c r="A16" s="3"/>
      <c r="B16" s="3"/>
      <c r="C16" s="3"/>
      <c r="D16" s="3"/>
      <c r="E16" s="3"/>
      <c r="F16" s="3"/>
      <c r="G16" s="3"/>
      <c r="H16" s="3"/>
      <c r="L16" s="726" t="s">
        <v>134</v>
      </c>
      <c r="M16" s="135"/>
      <c r="P16"/>
      <c r="Q16"/>
    </row>
    <row r="17" spans="1:17" outlineLevel="1" x14ac:dyDescent="0.35">
      <c r="A17" s="3"/>
      <c r="B17" s="3"/>
      <c r="C17" s="3"/>
      <c r="D17" s="3"/>
      <c r="E17" s="3"/>
      <c r="F17" s="3"/>
      <c r="G17" s="3"/>
      <c r="H17" s="3"/>
      <c r="J17" s="33" t="s">
        <v>1450</v>
      </c>
      <c r="L17" s="718">
        <f>'[2]4B.)HY_EnergyRatePxOut(Rate I)'!$T$18+'[2]4B.)HY_EnergyRatePxOut(Rate I)'!$T$19</f>
        <v>1317711525</v>
      </c>
      <c r="N17" s="130"/>
      <c r="P17"/>
      <c r="Q17"/>
    </row>
    <row r="18" spans="1:17" outlineLevel="1" x14ac:dyDescent="0.35">
      <c r="A18" s="3"/>
      <c r="B18" s="3"/>
      <c r="C18" s="3"/>
      <c r="D18" s="3"/>
      <c r="E18" s="3"/>
      <c r="F18" s="3"/>
      <c r="G18" s="230"/>
      <c r="H18" s="3"/>
      <c r="J18" s="33" t="s">
        <v>1451</v>
      </c>
      <c r="L18" s="691">
        <f>'[2]4B.)HY_EnergyRatePxOut(Rate I)'!$T$38+'[2]4B.)HY_EnergyRatePxOut(Rate I)'!$T$39</f>
        <v>190452489</v>
      </c>
      <c r="N18" s="130"/>
      <c r="P18"/>
      <c r="Q18"/>
    </row>
    <row r="19" spans="1:17" outlineLevel="1" x14ac:dyDescent="0.35">
      <c r="A19" s="3"/>
      <c r="B19" s="3"/>
      <c r="C19" s="3"/>
      <c r="D19" s="3"/>
      <c r="E19" s="3"/>
      <c r="F19" s="3"/>
      <c r="G19" s="230"/>
      <c r="H19" s="3"/>
      <c r="J19" s="33" t="s">
        <v>1452</v>
      </c>
      <c r="L19" s="720">
        <f>L17+L18</f>
        <v>1508164014</v>
      </c>
      <c r="M19" s="1"/>
      <c r="P19"/>
      <c r="Q19"/>
    </row>
    <row r="20" spans="1:17" outlineLevel="1" x14ac:dyDescent="0.35">
      <c r="A20" s="3"/>
      <c r="B20" s="3"/>
      <c r="C20" s="3"/>
      <c r="D20" s="3"/>
      <c r="E20" s="3"/>
      <c r="F20" s="3"/>
      <c r="G20" s="230"/>
      <c r="J20" s="33" t="s">
        <v>406</v>
      </c>
      <c r="L20" s="245">
        <f>'[2]4B.)HY_EnergyRatePxOut(Rate I)'!$X$13</f>
        <v>-316224.10918867355</v>
      </c>
      <c r="M20" s="1"/>
      <c r="P20"/>
      <c r="Q20"/>
    </row>
    <row r="21" spans="1:17" outlineLevel="1" x14ac:dyDescent="0.35">
      <c r="A21" s="3"/>
      <c r="B21" s="3"/>
      <c r="C21" s="3"/>
      <c r="D21" s="3"/>
      <c r="E21" s="3"/>
      <c r="F21" s="3"/>
      <c r="G21" s="230"/>
      <c r="J21" s="33" t="s">
        <v>407</v>
      </c>
      <c r="L21" s="245">
        <f>+'[2]4B.)HY_EnergyRatePxOut(Rate I)'!$X$33</f>
        <v>-53383.203135642805</v>
      </c>
      <c r="M21" s="1"/>
      <c r="P21"/>
      <c r="Q21"/>
    </row>
    <row r="22" spans="1:17" outlineLevel="1" x14ac:dyDescent="0.35">
      <c r="J22" s="33" t="s">
        <v>408</v>
      </c>
      <c r="L22" s="720">
        <f>L20+L21</f>
        <v>-369607.31232431636</v>
      </c>
      <c r="M22" s="1281">
        <f>ROUND(L22/L19,5)</f>
        <v>-2.5000000000000001E-4</v>
      </c>
      <c r="N22" s="143"/>
      <c r="P22"/>
      <c r="Q22"/>
    </row>
    <row r="23" spans="1:17" outlineLevel="1" x14ac:dyDescent="0.35">
      <c r="L23" s="1"/>
      <c r="M23" s="1"/>
      <c r="P23"/>
      <c r="Q23"/>
    </row>
    <row r="24" spans="1:17" outlineLevel="1" x14ac:dyDescent="0.35">
      <c r="L24" s="1220" t="s">
        <v>135</v>
      </c>
      <c r="M24" s="1"/>
      <c r="P24"/>
      <c r="Q24"/>
    </row>
    <row r="25" spans="1:17" outlineLevel="1" x14ac:dyDescent="0.35">
      <c r="J25" s="222" t="s">
        <v>1385</v>
      </c>
      <c r="L25" s="245">
        <f>'[2]6B.)RateChgAllocation'!$M$14</f>
        <v>42941802</v>
      </c>
      <c r="M25" s="1"/>
      <c r="P25"/>
      <c r="Q25"/>
    </row>
    <row r="26" spans="1:17" outlineLevel="1" x14ac:dyDescent="0.35">
      <c r="L26" s="1"/>
      <c r="M26" s="142"/>
      <c r="P26"/>
      <c r="Q26"/>
    </row>
    <row r="27" spans="1:17" outlineLevel="1" x14ac:dyDescent="0.35">
      <c r="J27" s="33" t="s">
        <v>1449</v>
      </c>
      <c r="L27" s="245">
        <f>'[2]6A.)RateChange'!$BL$18</f>
        <v>2129367945.6876757</v>
      </c>
      <c r="M27" s="143"/>
      <c r="P27"/>
      <c r="Q27"/>
    </row>
    <row r="28" spans="1:17" outlineLevel="1" x14ac:dyDescent="0.35">
      <c r="J28" s="33" t="s">
        <v>1446</v>
      </c>
      <c r="L28" s="245">
        <f>'10C.)Energy_RateDesign_SC1_II'!N197</f>
        <v>7364634</v>
      </c>
      <c r="M28" s="143"/>
      <c r="P28"/>
      <c r="Q28"/>
    </row>
    <row r="29" spans="1:17" outlineLevel="1" x14ac:dyDescent="0.35">
      <c r="J29" s="33" t="s">
        <v>1447</v>
      </c>
      <c r="L29" s="245">
        <f>+'10D.)Energy_RateDesign_SC1_III'!N190</f>
        <v>97574</v>
      </c>
      <c r="M29" s="143"/>
      <c r="P29"/>
      <c r="Q29"/>
    </row>
    <row r="30" spans="1:17" outlineLevel="1" x14ac:dyDescent="0.35">
      <c r="H30" s="1"/>
      <c r="I30" s="1"/>
      <c r="J30" s="222" t="s">
        <v>1448</v>
      </c>
      <c r="K30" s="1"/>
      <c r="L30" s="245">
        <f>'14A.)Riders__RateDesignSummary'!$E$22+'14A.)Riders__RateDesignSummary'!$E$37</f>
        <v>384305</v>
      </c>
      <c r="M30" s="142"/>
      <c r="P30"/>
      <c r="Q30"/>
    </row>
    <row r="31" spans="1:17" outlineLevel="1" x14ac:dyDescent="0.35">
      <c r="H31" s="1"/>
      <c r="I31" s="1"/>
      <c r="J31" s="222" t="s">
        <v>2285</v>
      </c>
      <c r="K31" s="1"/>
      <c r="L31" s="245">
        <f>E138</f>
        <v>0</v>
      </c>
      <c r="M31" s="1"/>
      <c r="P31"/>
      <c r="Q31"/>
    </row>
    <row r="32" spans="1:17" s="148" customFormat="1" outlineLevel="1" x14ac:dyDescent="0.35"/>
    <row r="33" spans="1:17" x14ac:dyDescent="0.35">
      <c r="A33" s="407" t="s">
        <v>1651</v>
      </c>
      <c r="B33" s="147"/>
      <c r="C33" s="131"/>
      <c r="D33" s="131"/>
      <c r="E33" s="131"/>
      <c r="F33" s="131"/>
    </row>
    <row r="34" spans="1:17" x14ac:dyDescent="0.35">
      <c r="A34" s="407"/>
      <c r="B34" s="407" t="s">
        <v>150</v>
      </c>
      <c r="C34" s="706">
        <f>$L$3</f>
        <v>2019</v>
      </c>
      <c r="D34" s="131"/>
      <c r="E34" s="131"/>
      <c r="F34" s="131"/>
    </row>
    <row r="35" spans="1:17" x14ac:dyDescent="0.35">
      <c r="A35" s="407"/>
      <c r="B35" s="131" t="s">
        <v>5</v>
      </c>
      <c r="C35" s="706">
        <f>$L$4</f>
        <v>2020</v>
      </c>
      <c r="D35" s="131"/>
      <c r="E35" s="131"/>
      <c r="F35" s="131"/>
    </row>
    <row r="36" spans="1:17" x14ac:dyDescent="0.35">
      <c r="A36" s="406"/>
      <c r="B36" s="41" t="str">
        <f>$A$4</f>
        <v>SC1 Rate I</v>
      </c>
      <c r="C36" s="133" t="s">
        <v>1620</v>
      </c>
      <c r="D36" s="133"/>
      <c r="E36" s="133"/>
      <c r="F36" s="133"/>
      <c r="J36" s="465"/>
      <c r="P36"/>
      <c r="Q36"/>
    </row>
    <row r="37" spans="1:17" x14ac:dyDescent="0.35">
      <c r="A37" s="406"/>
      <c r="C37" t="s">
        <v>409</v>
      </c>
      <c r="I37" s="368"/>
      <c r="J37" s="893">
        <f>L19</f>
        <v>1508164014</v>
      </c>
      <c r="K37" s="892" t="s">
        <v>79</v>
      </c>
      <c r="P37"/>
      <c r="Q37"/>
    </row>
    <row r="38" spans="1:17" x14ac:dyDescent="0.35">
      <c r="A38" s="406"/>
      <c r="C38" s="464" t="s">
        <v>1390</v>
      </c>
      <c r="D38" s="406"/>
      <c r="E38" s="406"/>
      <c r="F38" s="406"/>
      <c r="I38" s="894">
        <f>L25</f>
        <v>42941802</v>
      </c>
      <c r="J38" s="895"/>
      <c r="K38" s="892" t="s">
        <v>78</v>
      </c>
      <c r="P38"/>
      <c r="Q38"/>
    </row>
    <row r="39" spans="1:17" x14ac:dyDescent="0.35">
      <c r="A39" s="406"/>
      <c r="C39" t="s">
        <v>1436</v>
      </c>
      <c r="I39" s="896">
        <f>1+M22</f>
        <v>0.99975000000000003</v>
      </c>
      <c r="J39" s="895"/>
      <c r="K39" s="892" t="s">
        <v>1089</v>
      </c>
      <c r="P39"/>
      <c r="Q39"/>
    </row>
    <row r="40" spans="1:17" x14ac:dyDescent="0.35">
      <c r="A40" s="406"/>
      <c r="C40" t="s">
        <v>411</v>
      </c>
      <c r="J40" s="130">
        <f>ROUND(I38/I39,0)</f>
        <v>42952540</v>
      </c>
      <c r="K40" s="892" t="s">
        <v>1551</v>
      </c>
      <c r="O40" s="130"/>
      <c r="P40"/>
      <c r="Q40"/>
    </row>
    <row r="41" spans="1:17" x14ac:dyDescent="0.35">
      <c r="A41" s="406"/>
      <c r="J41" s="130"/>
      <c r="P41"/>
      <c r="Q41"/>
    </row>
    <row r="42" spans="1:17" x14ac:dyDescent="0.35">
      <c r="A42" s="406"/>
      <c r="C42" s="75" t="s">
        <v>412</v>
      </c>
      <c r="D42" s="75"/>
      <c r="E42" s="75"/>
      <c r="F42" s="75"/>
      <c r="J42" s="898">
        <f>J37+J40</f>
        <v>1551116554</v>
      </c>
      <c r="K42" s="892" t="s">
        <v>1552</v>
      </c>
      <c r="P42"/>
      <c r="Q42"/>
    </row>
    <row r="43" spans="1:17" x14ac:dyDescent="0.35">
      <c r="A43" s="406"/>
      <c r="L43" s="141"/>
    </row>
    <row r="44" spans="1:17" x14ac:dyDescent="0.35">
      <c r="A44" s="407" t="s">
        <v>413</v>
      </c>
      <c r="P44"/>
      <c r="Q44"/>
    </row>
    <row r="45" spans="1:17" ht="15" thickBot="1" x14ac:dyDescent="0.4">
      <c r="A45" s="406"/>
      <c r="P45"/>
      <c r="Q45"/>
    </row>
    <row r="46" spans="1:17" ht="15.5" thickTop="1" thickBot="1" x14ac:dyDescent="0.4">
      <c r="B46" s="41" t="str">
        <f>$A$4</f>
        <v>SC1 Rate I</v>
      </c>
      <c r="C46" s="3"/>
      <c r="D46" s="3"/>
      <c r="E46" s="3"/>
      <c r="F46" s="3"/>
      <c r="G46" s="3"/>
      <c r="H46" s="1316" t="s">
        <v>59</v>
      </c>
      <c r="I46" s="1317"/>
      <c r="J46" s="1318"/>
      <c r="K46" s="3"/>
      <c r="L46" s="1307" t="s">
        <v>81</v>
      </c>
      <c r="M46" s="1308"/>
      <c r="N46" s="1309"/>
      <c r="P46"/>
      <c r="Q46"/>
    </row>
    <row r="47" spans="1:17" ht="15" thickTop="1" x14ac:dyDescent="0.35">
      <c r="B47" s="3"/>
      <c r="C47" s="3"/>
      <c r="E47" s="30"/>
      <c r="F47" s="3"/>
      <c r="G47" s="3"/>
      <c r="H47" s="30" t="s">
        <v>42</v>
      </c>
      <c r="I47" s="30"/>
      <c r="J47" s="30" t="s">
        <v>40</v>
      </c>
      <c r="K47" s="3"/>
      <c r="L47" s="219" t="s">
        <v>1383</v>
      </c>
      <c r="M47" s="705"/>
      <c r="N47" s="219" t="s">
        <v>1384</v>
      </c>
      <c r="P47"/>
      <c r="Q47"/>
    </row>
    <row r="48" spans="1:17" x14ac:dyDescent="0.35">
      <c r="B48" s="3"/>
      <c r="C48" s="3"/>
      <c r="G48" s="3"/>
      <c r="H48" s="719"/>
      <c r="I48" s="35"/>
      <c r="J48" s="719"/>
      <c r="K48" s="3"/>
      <c r="L48" s="30"/>
      <c r="M48" s="86"/>
      <c r="N48" s="30"/>
      <c r="P48"/>
      <c r="Q48"/>
    </row>
    <row r="49" spans="2:17" x14ac:dyDescent="0.35">
      <c r="B49" s="3"/>
      <c r="C49" s="3"/>
      <c r="G49" s="3"/>
      <c r="H49" s="719"/>
      <c r="I49" s="35"/>
      <c r="J49" s="719"/>
      <c r="K49" s="3"/>
      <c r="L49" s="30"/>
      <c r="M49" s="86"/>
      <c r="N49" s="30"/>
      <c r="P49"/>
      <c r="Q49"/>
    </row>
    <row r="50" spans="2:17" x14ac:dyDescent="0.35">
      <c r="C50" t="s">
        <v>377</v>
      </c>
      <c r="D50" s="567">
        <f>Q6</f>
        <v>0</v>
      </c>
      <c r="E50" s="123" t="str">
        <f>R6</f>
        <v>-</v>
      </c>
      <c r="F50" s="567">
        <f>S6</f>
        <v>250</v>
      </c>
      <c r="G50" s="123"/>
      <c r="H50" s="348">
        <f>E10</f>
        <v>0.10817</v>
      </c>
      <c r="I50" s="892" t="s">
        <v>165</v>
      </c>
      <c r="J50" s="348">
        <f>E12</f>
        <v>0.10817</v>
      </c>
      <c r="K50" s="892" t="s">
        <v>138</v>
      </c>
      <c r="L50" s="348">
        <f>H50-J$51</f>
        <v>0</v>
      </c>
      <c r="M50" s="61" t="s">
        <v>1553</v>
      </c>
      <c r="N50" s="348">
        <f>J50-J$51</f>
        <v>0</v>
      </c>
      <c r="O50" s="61" t="s">
        <v>1555</v>
      </c>
      <c r="P50"/>
      <c r="Q50"/>
    </row>
    <row r="51" spans="2:17" x14ac:dyDescent="0.35">
      <c r="B51" s="3"/>
      <c r="C51" s="3" t="s">
        <v>376</v>
      </c>
      <c r="D51" s="3"/>
      <c r="E51" s="123" t="str">
        <f>R7</f>
        <v>&gt;</v>
      </c>
      <c r="F51" s="567">
        <f>S7</f>
        <v>250</v>
      </c>
      <c r="G51" s="36"/>
      <c r="H51" s="348">
        <f>E11</f>
        <v>0.12434000000000001</v>
      </c>
      <c r="I51" s="892" t="s">
        <v>166</v>
      </c>
      <c r="J51" s="348">
        <f>E13</f>
        <v>0.10817</v>
      </c>
      <c r="K51" s="892" t="s">
        <v>101</v>
      </c>
      <c r="L51" s="348">
        <f>H51-J$51</f>
        <v>1.6170000000000004E-2</v>
      </c>
      <c r="M51" s="61" t="s">
        <v>1554</v>
      </c>
      <c r="N51" s="112"/>
      <c r="O51" s="61" t="s">
        <v>1091</v>
      </c>
      <c r="P51"/>
      <c r="Q51"/>
    </row>
    <row r="52" spans="2:17" x14ac:dyDescent="0.35">
      <c r="B52" s="3"/>
      <c r="C52" s="3"/>
      <c r="D52" s="3"/>
      <c r="E52" s="3"/>
      <c r="F52" s="3"/>
      <c r="G52" s="36"/>
      <c r="P52"/>
      <c r="Q52"/>
    </row>
    <row r="53" spans="2:17" x14ac:dyDescent="0.35">
      <c r="B53" s="3"/>
      <c r="E53" s="123"/>
      <c r="F53" s="123"/>
      <c r="G53" s="36"/>
      <c r="I53" s="120"/>
      <c r="J53" s="120"/>
      <c r="K53" s="3"/>
      <c r="L53" s="27"/>
      <c r="M53" s="61"/>
      <c r="N53" s="61"/>
      <c r="P53"/>
      <c r="Q53"/>
    </row>
    <row r="54" spans="2:17" ht="15" thickBot="1" x14ac:dyDescent="0.4">
      <c r="K54" s="100" t="s">
        <v>431</v>
      </c>
      <c r="L54" s="897">
        <f>L14</f>
        <v>2.8479879999999999E-2</v>
      </c>
      <c r="M54" s="61" t="s">
        <v>1556</v>
      </c>
    </row>
    <row r="55" spans="2:17" ht="15.5" thickTop="1" thickBot="1" x14ac:dyDescent="0.4">
      <c r="D55" s="1"/>
      <c r="E55" s="1"/>
      <c r="F55" s="1"/>
      <c r="L55" s="1307" t="s">
        <v>76</v>
      </c>
      <c r="M55" s="1308"/>
      <c r="N55" s="1309"/>
      <c r="P55"/>
      <c r="Q55"/>
    </row>
    <row r="56" spans="2:17" ht="15.5" thickTop="1" thickBot="1" x14ac:dyDescent="0.4">
      <c r="C56" s="70" t="s">
        <v>77</v>
      </c>
      <c r="D56" s="1"/>
      <c r="E56" s="1"/>
      <c r="F56" s="1"/>
      <c r="G56" s="118" t="s">
        <v>42</v>
      </c>
      <c r="H56" s="118" t="s">
        <v>40</v>
      </c>
      <c r="L56" s="30" t="s">
        <v>42</v>
      </c>
      <c r="M56" s="86"/>
      <c r="N56" s="30" t="s">
        <v>40</v>
      </c>
      <c r="P56"/>
      <c r="Q56"/>
    </row>
    <row r="57" spans="2:17" x14ac:dyDescent="0.35">
      <c r="C57" t="s">
        <v>377</v>
      </c>
      <c r="D57" s="121">
        <f>$D$50</f>
        <v>0</v>
      </c>
      <c r="E57" s="122" t="str">
        <f>$E$50</f>
        <v>-</v>
      </c>
      <c r="F57" s="121">
        <f>$F$50</f>
        <v>250</v>
      </c>
      <c r="G57" s="117" t="str">
        <f>CONCATENATE("X + ",L57)</f>
        <v>X + 0</v>
      </c>
      <c r="H57" s="116" t="str">
        <f>CONCATENATE("X + ",N57)</f>
        <v>X + 0</v>
      </c>
      <c r="L57" s="27">
        <f>ROUND(L50*(1+$L$54),5)</f>
        <v>0</v>
      </c>
      <c r="M57" s="61" t="s">
        <v>1630</v>
      </c>
      <c r="N57" s="27">
        <f>ROUND(N50*(1+$L$54),5)</f>
        <v>0</v>
      </c>
      <c r="O57" s="61" t="s">
        <v>1632</v>
      </c>
      <c r="P57"/>
      <c r="Q57"/>
    </row>
    <row r="58" spans="2:17" x14ac:dyDescent="0.35">
      <c r="D58" s="1"/>
      <c r="E58" s="1"/>
      <c r="F58" s="1"/>
      <c r="G58" s="114"/>
      <c r="H58" s="113"/>
      <c r="L58" s="3"/>
      <c r="M58" s="109"/>
      <c r="N58" s="3"/>
      <c r="P58"/>
      <c r="Q58"/>
    </row>
    <row r="59" spans="2:17" ht="15" thickBot="1" x14ac:dyDescent="0.4">
      <c r="C59" s="3" t="s">
        <v>376</v>
      </c>
      <c r="D59" s="2"/>
      <c r="E59" s="122" t="str">
        <f>$E$51</f>
        <v>&gt;</v>
      </c>
      <c r="F59" s="121">
        <f>$F$51</f>
        <v>250</v>
      </c>
      <c r="G59" s="111" t="str">
        <f>CONCATENATE("X + ",L59)</f>
        <v>X + 0.01663</v>
      </c>
      <c r="H59" s="350" t="s">
        <v>32</v>
      </c>
      <c r="L59" s="27">
        <f>ROUND(L51*(1+$L$54),5)</f>
        <v>1.6629999999999999E-2</v>
      </c>
      <c r="M59" s="61" t="s">
        <v>1631</v>
      </c>
      <c r="N59" s="27">
        <f>ROUND(N51*(1+$L$54),5)</f>
        <v>0</v>
      </c>
      <c r="O59" s="61" t="s">
        <v>1633</v>
      </c>
      <c r="P59"/>
      <c r="Q59"/>
    </row>
    <row r="60" spans="2:17" x14ac:dyDescent="0.35">
      <c r="D60" s="1"/>
      <c r="E60" s="1"/>
      <c r="F60" s="1"/>
      <c r="P60"/>
      <c r="Q60"/>
    </row>
    <row r="61" spans="2:17" x14ac:dyDescent="0.35">
      <c r="D61" s="1"/>
      <c r="E61" s="1"/>
      <c r="F61" s="1"/>
      <c r="P61"/>
      <c r="Q61"/>
    </row>
    <row r="62" spans="2:17" x14ac:dyDescent="0.35">
      <c r="B62" s="334" t="s">
        <v>46</v>
      </c>
      <c r="P62"/>
      <c r="Q62"/>
    </row>
    <row r="63" spans="2:17" x14ac:dyDescent="0.35">
      <c r="B63" s="41" t="str">
        <f>$A$4</f>
        <v>SC1 Rate I</v>
      </c>
      <c r="P63"/>
      <c r="Q63"/>
    </row>
    <row r="64" spans="2:17" ht="15" thickBot="1" x14ac:dyDescent="0.4">
      <c r="B64" s="70" t="s">
        <v>414</v>
      </c>
      <c r="C64" s="70"/>
      <c r="D64" s="70"/>
      <c r="E64" s="3"/>
      <c r="F64" s="3"/>
      <c r="I64" s="69" t="s">
        <v>44</v>
      </c>
      <c r="J64" s="3"/>
      <c r="K64" s="3"/>
      <c r="P64"/>
      <c r="Q64"/>
    </row>
    <row r="65" spans="2:17" x14ac:dyDescent="0.35">
      <c r="B65" s="3"/>
      <c r="C65" s="70"/>
      <c r="D65" s="70"/>
      <c r="E65" s="3" t="s">
        <v>42</v>
      </c>
      <c r="F65" s="3"/>
      <c r="G65" s="2" t="str">
        <f>CONCATENATE(D50,E50,F50," kWh")</f>
        <v>0-250 kWh</v>
      </c>
      <c r="I65" s="72">
        <f>V6</f>
        <v>2534832095.7490659</v>
      </c>
      <c r="J65" s="36" t="s">
        <v>39</v>
      </c>
      <c r="K65" s="74" t="str">
        <f>CONCATENATE("[",G57,"]")</f>
        <v>[X + 0]</v>
      </c>
      <c r="L65" s="61" t="s">
        <v>1559</v>
      </c>
      <c r="P65"/>
      <c r="Q65"/>
    </row>
    <row r="66" spans="2:17" x14ac:dyDescent="0.35">
      <c r="B66" s="3"/>
      <c r="C66" s="3"/>
      <c r="D66" s="3"/>
      <c r="E66" s="3" t="s">
        <v>42</v>
      </c>
      <c r="F66" s="3"/>
      <c r="G66" s="2" t="str">
        <f>CONCATENATE(D51,E51,F51," kWh")</f>
        <v>&gt;250 kWh</v>
      </c>
      <c r="I66" s="72">
        <f>V7</f>
        <v>2931409443.2509341</v>
      </c>
      <c r="J66" s="36" t="s">
        <v>39</v>
      </c>
      <c r="K66" s="107" t="str">
        <f>CONCATENATE("[",G59,"]")</f>
        <v>[X + 0.01663]</v>
      </c>
      <c r="L66" s="61" t="s">
        <v>1560</v>
      </c>
      <c r="P66"/>
      <c r="Q66"/>
    </row>
    <row r="67" spans="2:17" x14ac:dyDescent="0.35">
      <c r="B67" s="3"/>
      <c r="C67" s="3"/>
      <c r="D67" s="3"/>
      <c r="E67" s="3" t="s">
        <v>40</v>
      </c>
      <c r="F67" s="3"/>
      <c r="G67" s="2" t="str">
        <f>G65</f>
        <v>0-250 kWh</v>
      </c>
      <c r="I67" s="72">
        <f>V11</f>
        <v>4602273259.2121811</v>
      </c>
      <c r="J67" s="36" t="s">
        <v>39</v>
      </c>
      <c r="K67" s="73" t="str">
        <f>CONCATENATE("[",H57,"]")</f>
        <v>[X + 0]</v>
      </c>
      <c r="L67" s="61" t="s">
        <v>1557</v>
      </c>
      <c r="P67"/>
      <c r="Q67"/>
    </row>
    <row r="68" spans="2:17" ht="15" thickBot="1" x14ac:dyDescent="0.4">
      <c r="B68" s="3"/>
      <c r="C68" s="3"/>
      <c r="D68" s="3"/>
      <c r="E68" s="3" t="s">
        <v>40</v>
      </c>
      <c r="F68" s="3"/>
      <c r="G68" s="2" t="str">
        <f>G66</f>
        <v>&gt;250 kWh</v>
      </c>
      <c r="I68" s="67">
        <f>V12</f>
        <v>3435812875.7878194</v>
      </c>
      <c r="J68" s="36" t="s">
        <v>39</v>
      </c>
      <c r="K68" s="71" t="str">
        <f>CONCATENATE("[",H59,"]")</f>
        <v>[X]</v>
      </c>
      <c r="L68" s="61" t="s">
        <v>1642</v>
      </c>
      <c r="P68"/>
      <c r="Q68"/>
    </row>
    <row r="69" spans="2:17" x14ac:dyDescent="0.35">
      <c r="I69" s="366">
        <f>SUM(I65:I68)</f>
        <v>13504327674</v>
      </c>
      <c r="J69" s="61" t="s">
        <v>1095</v>
      </c>
    </row>
    <row r="70" spans="2:17" x14ac:dyDescent="0.35">
      <c r="L70" s="61"/>
    </row>
    <row r="71" spans="2:17" x14ac:dyDescent="0.35">
      <c r="B71" s="70" t="s">
        <v>472</v>
      </c>
      <c r="P71"/>
      <c r="Q71"/>
    </row>
    <row r="72" spans="2:17" x14ac:dyDescent="0.35">
      <c r="B72" s="41" t="str">
        <f>$A$4</f>
        <v>SC1 Rate I</v>
      </c>
      <c r="F72" s="3"/>
      <c r="G72" s="3"/>
      <c r="H72" s="3"/>
      <c r="I72" s="69" t="s">
        <v>44</v>
      </c>
      <c r="J72" s="3"/>
      <c r="K72" s="3"/>
      <c r="L72" s="3"/>
      <c r="M72" s="3"/>
      <c r="N72" s="17"/>
      <c r="P72"/>
      <c r="Q72"/>
    </row>
    <row r="73" spans="2:17" x14ac:dyDescent="0.35">
      <c r="B73" s="3" t="s">
        <v>691</v>
      </c>
      <c r="C73" s="3"/>
      <c r="F73" s="3"/>
      <c r="G73" s="3"/>
      <c r="H73" s="3"/>
      <c r="I73" s="105">
        <f>I65</f>
        <v>2534832095.7490659</v>
      </c>
      <c r="J73" s="65" t="s">
        <v>63</v>
      </c>
      <c r="K73" s="26">
        <f>ROUND(I73*L57,0)</f>
        <v>0</v>
      </c>
      <c r="L73" s="3" t="s">
        <v>62</v>
      </c>
      <c r="M73" s="61" t="s">
        <v>1565</v>
      </c>
      <c r="N73" s="17"/>
      <c r="P73"/>
      <c r="Q73"/>
    </row>
    <row r="74" spans="2:17" x14ac:dyDescent="0.35">
      <c r="B74" s="3" t="s">
        <v>692</v>
      </c>
      <c r="C74" s="3"/>
      <c r="F74" s="3"/>
      <c r="G74" s="3"/>
      <c r="H74" s="3"/>
      <c r="I74" s="105">
        <f>I66</f>
        <v>2931409443.2509341</v>
      </c>
      <c r="J74" s="65" t="s">
        <v>63</v>
      </c>
      <c r="K74" s="26">
        <f>ROUND(I74*L59,0)</f>
        <v>48749339</v>
      </c>
      <c r="L74" s="3" t="s">
        <v>62</v>
      </c>
      <c r="M74" s="61" t="s">
        <v>1566</v>
      </c>
      <c r="N74" s="17"/>
      <c r="P74"/>
      <c r="Q74"/>
    </row>
    <row r="75" spans="2:17" x14ac:dyDescent="0.35">
      <c r="B75" s="3" t="s">
        <v>693</v>
      </c>
      <c r="C75" s="3"/>
      <c r="F75" s="3"/>
      <c r="G75" s="3"/>
      <c r="H75" s="3"/>
      <c r="I75" s="105">
        <f>I67</f>
        <v>4602273259.2121811</v>
      </c>
      <c r="J75" s="65" t="s">
        <v>63</v>
      </c>
      <c r="K75" s="26">
        <f>ROUND(I75*N57,0)</f>
        <v>0</v>
      </c>
      <c r="L75" s="3" t="s">
        <v>62</v>
      </c>
      <c r="M75" s="61" t="s">
        <v>1561</v>
      </c>
      <c r="N75" s="17"/>
      <c r="P75"/>
      <c r="Q75"/>
    </row>
    <row r="76" spans="2:17" x14ac:dyDescent="0.35">
      <c r="B76" s="3" t="s">
        <v>694</v>
      </c>
      <c r="C76" s="3"/>
      <c r="F76" s="3"/>
      <c r="G76" s="3"/>
      <c r="H76" s="3"/>
      <c r="I76" s="351">
        <f>I68</f>
        <v>3435812875.7878194</v>
      </c>
      <c r="J76" s="65" t="s">
        <v>63</v>
      </c>
      <c r="K76" s="37">
        <f>ROUND(I76*N59,0)</f>
        <v>0</v>
      </c>
      <c r="L76" s="3" t="s">
        <v>62</v>
      </c>
      <c r="M76" s="61" t="s">
        <v>1562</v>
      </c>
      <c r="N76" s="17"/>
      <c r="P76"/>
      <c r="Q76"/>
    </row>
    <row r="77" spans="2:17" x14ac:dyDescent="0.35">
      <c r="B77" s="3" t="s">
        <v>695</v>
      </c>
      <c r="C77" s="3"/>
      <c r="F77" s="66"/>
      <c r="G77" s="824">
        <f>J42</f>
        <v>1551116554</v>
      </c>
      <c r="H77" s="63" t="s">
        <v>31</v>
      </c>
      <c r="I77" s="28">
        <f>SUM(I73:I76)</f>
        <v>13504327674</v>
      </c>
      <c r="J77" s="65" t="s">
        <v>63</v>
      </c>
      <c r="K77" s="103">
        <f>SUM(K73:K76)</f>
        <v>48749339</v>
      </c>
      <c r="L77" s="3" t="s">
        <v>1637</v>
      </c>
      <c r="M77" s="61" t="s">
        <v>1567</v>
      </c>
      <c r="N77" s="17"/>
      <c r="P77"/>
      <c r="Q77"/>
    </row>
    <row r="78" spans="2:17" x14ac:dyDescent="0.35">
      <c r="F78" s="3"/>
      <c r="G78" s="3"/>
      <c r="H78" s="3"/>
      <c r="I78" s="3"/>
      <c r="J78" s="3"/>
      <c r="K78" s="3"/>
      <c r="L78" s="3"/>
      <c r="M78" s="61" t="s">
        <v>1634</v>
      </c>
      <c r="N78" s="17"/>
      <c r="P78"/>
      <c r="Q78"/>
    </row>
    <row r="79" spans="2:17" x14ac:dyDescent="0.35">
      <c r="F79" s="34"/>
      <c r="G79" s="34">
        <f>G77-K77</f>
        <v>1502367215</v>
      </c>
      <c r="H79" s="63" t="s">
        <v>31</v>
      </c>
      <c r="I79" s="28">
        <f>I77</f>
        <v>13504327674</v>
      </c>
      <c r="J79" s="65" t="s">
        <v>32</v>
      </c>
      <c r="K79" s="3"/>
      <c r="L79" s="3"/>
      <c r="M79" s="61" t="s">
        <v>1635</v>
      </c>
      <c r="N79" s="17"/>
      <c r="P79"/>
      <c r="Q79"/>
    </row>
    <row r="80" spans="2:17" ht="15" thickBot="1" x14ac:dyDescent="0.4">
      <c r="F80" s="3"/>
      <c r="G80" s="3"/>
      <c r="H80" s="3"/>
      <c r="I80" s="3"/>
      <c r="J80" s="3"/>
      <c r="K80" s="34"/>
      <c r="L80" s="34"/>
      <c r="N80" s="17"/>
      <c r="P80"/>
      <c r="Q80"/>
    </row>
    <row r="81" spans="1:17" ht="15.5" thickTop="1" thickBot="1" x14ac:dyDescent="0.4">
      <c r="F81" s="64"/>
      <c r="G81" s="101" t="s">
        <v>32</v>
      </c>
      <c r="H81" s="63" t="s">
        <v>31</v>
      </c>
      <c r="I81" s="352">
        <f>ROUND(G79/I79,5)</f>
        <v>0.11125</v>
      </c>
      <c r="J81" s="61" t="s">
        <v>1568</v>
      </c>
      <c r="K81" s="143"/>
      <c r="L81" s="3"/>
      <c r="M81" s="61" t="s">
        <v>1636</v>
      </c>
      <c r="N81" s="17"/>
      <c r="P81"/>
      <c r="Q81"/>
    </row>
    <row r="82" spans="1:17" ht="15" thickTop="1" x14ac:dyDescent="0.35">
      <c r="P82"/>
      <c r="Q82"/>
    </row>
    <row r="84" spans="1:17" x14ac:dyDescent="0.35">
      <c r="B84" s="334" t="str">
        <f>CONCATENATE($A$4," at Proposed T&amp;D Rates")</f>
        <v>SC1 Rate I at Proposed T&amp;D Rates</v>
      </c>
      <c r="P84"/>
      <c r="Q84"/>
    </row>
    <row r="85" spans="1:17" ht="15" thickBot="1" x14ac:dyDescent="0.4">
      <c r="B85" s="334"/>
      <c r="P85"/>
      <c r="Q85"/>
    </row>
    <row r="86" spans="1:17" ht="15" thickBot="1" x14ac:dyDescent="0.4">
      <c r="C86" s="60" t="s">
        <v>5</v>
      </c>
      <c r="D86" s="901">
        <f>$L$4</f>
        <v>2020</v>
      </c>
      <c r="E86" s="58"/>
      <c r="F86" s="58"/>
      <c r="G86" s="59"/>
      <c r="H86" s="59"/>
      <c r="I86" s="59"/>
      <c r="J86" s="59"/>
      <c r="K86" s="98"/>
      <c r="L86" s="3"/>
      <c r="M86" s="3"/>
      <c r="N86" s="17"/>
      <c r="O86" s="3"/>
      <c r="P86"/>
      <c r="Q86"/>
    </row>
    <row r="87" spans="1:17" ht="15.5" thickTop="1" thickBot="1" x14ac:dyDescent="0.4">
      <c r="C87" s="96"/>
      <c r="D87" s="44"/>
      <c r="E87" s="44"/>
      <c r="F87" s="44"/>
      <c r="G87" s="44"/>
      <c r="H87" s="1341" t="s">
        <v>415</v>
      </c>
      <c r="I87" s="1342"/>
      <c r="J87" s="1343"/>
      <c r="K87" s="94"/>
      <c r="L87" s="3"/>
      <c r="M87" s="3"/>
      <c r="N87" s="3"/>
      <c r="P87"/>
      <c r="Q87"/>
    </row>
    <row r="88" spans="1:17" ht="15" thickTop="1" x14ac:dyDescent="0.35">
      <c r="C88" s="96"/>
      <c r="D88" s="44"/>
      <c r="E88" s="44"/>
      <c r="F88" s="44"/>
      <c r="G88" s="44"/>
      <c r="H88" s="56" t="s">
        <v>10</v>
      </c>
      <c r="I88" s="44"/>
      <c r="J88" s="56" t="s">
        <v>7</v>
      </c>
      <c r="K88" s="94"/>
      <c r="L88" s="3"/>
      <c r="M88" s="3"/>
      <c r="N88" s="3"/>
      <c r="P88"/>
      <c r="Q88"/>
    </row>
    <row r="89" spans="1:17" x14ac:dyDescent="0.35">
      <c r="C89" s="96" t="s">
        <v>163</v>
      </c>
      <c r="D89" s="44"/>
      <c r="E89" s="44"/>
      <c r="F89" s="44"/>
      <c r="G89" s="44"/>
      <c r="H89" s="698">
        <f>F8</f>
        <v>16</v>
      </c>
      <c r="I89" s="358" t="s">
        <v>109</v>
      </c>
      <c r="J89" s="698">
        <f>H89</f>
        <v>16</v>
      </c>
      <c r="K89" s="359" t="s">
        <v>1638</v>
      </c>
      <c r="L89" s="3"/>
      <c r="M89" s="3"/>
      <c r="N89" s="3"/>
      <c r="P89"/>
      <c r="Q89"/>
    </row>
    <row r="90" spans="1:17" x14ac:dyDescent="0.35">
      <c r="C90" s="96" t="s">
        <v>377</v>
      </c>
      <c r="D90" s="355">
        <f>$D$50</f>
        <v>0</v>
      </c>
      <c r="E90" s="356" t="str">
        <f>$E$50</f>
        <v>-</v>
      </c>
      <c r="F90" s="355">
        <f>$F$50</f>
        <v>250</v>
      </c>
      <c r="G90" s="44"/>
      <c r="H90" s="357">
        <f>$I$81+L57</f>
        <v>0.11125</v>
      </c>
      <c r="I90" s="358" t="s">
        <v>108</v>
      </c>
      <c r="J90" s="357">
        <f>$I$81+N57</f>
        <v>0.11125</v>
      </c>
      <c r="K90" s="359" t="s">
        <v>1639</v>
      </c>
      <c r="L90" s="3"/>
      <c r="M90" s="3"/>
      <c r="N90" s="3"/>
      <c r="P90"/>
      <c r="Q90"/>
    </row>
    <row r="91" spans="1:17" x14ac:dyDescent="0.35">
      <c r="C91" s="96" t="s">
        <v>376</v>
      </c>
      <c r="D91" s="360"/>
      <c r="E91" s="356" t="str">
        <f>$E$51</f>
        <v>&gt;</v>
      </c>
      <c r="F91" s="355">
        <f>$F$51</f>
        <v>250</v>
      </c>
      <c r="G91" s="44"/>
      <c r="H91" s="357">
        <f>$I$81+L59</f>
        <v>0.12787999999999999</v>
      </c>
      <c r="I91" s="358" t="s">
        <v>1574</v>
      </c>
      <c r="J91" s="357">
        <f>I81</f>
        <v>0.11125</v>
      </c>
      <c r="K91" s="359" t="s">
        <v>1640</v>
      </c>
      <c r="L91" s="3"/>
      <c r="M91" s="3"/>
      <c r="N91" s="3"/>
      <c r="P91"/>
      <c r="Q91"/>
    </row>
    <row r="92" spans="1:17" ht="15" thickBot="1" x14ac:dyDescent="0.4">
      <c r="C92" s="93"/>
      <c r="D92" s="46"/>
      <c r="E92" s="46"/>
      <c r="F92" s="46"/>
      <c r="G92" s="46"/>
      <c r="H92" s="46"/>
      <c r="I92" s="46"/>
      <c r="J92" s="46"/>
      <c r="K92" s="91"/>
      <c r="L92" s="3"/>
      <c r="M92" s="3"/>
      <c r="N92" s="3"/>
      <c r="P92"/>
      <c r="Q92"/>
    </row>
    <row r="93" spans="1:17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/>
      <c r="Q93"/>
    </row>
    <row r="94" spans="1:17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/>
      <c r="Q94"/>
    </row>
    <row r="95" spans="1:17" x14ac:dyDescent="0.35">
      <c r="A95" s="334" t="s">
        <v>1579</v>
      </c>
      <c r="B95" s="3"/>
      <c r="C95" s="3"/>
      <c r="D95" s="3"/>
      <c r="E95" s="3"/>
      <c r="F95" s="3"/>
      <c r="G95" s="3"/>
      <c r="H95" s="3"/>
      <c r="I95" s="3"/>
      <c r="P95"/>
      <c r="Q95"/>
    </row>
    <row r="96" spans="1:17" x14ac:dyDescent="0.35">
      <c r="A96" s="42"/>
      <c r="B96" s="3"/>
      <c r="C96" s="3"/>
      <c r="D96" s="3"/>
      <c r="E96" s="3"/>
      <c r="F96" s="3"/>
      <c r="G96" s="3"/>
      <c r="H96" s="3"/>
      <c r="I96" s="3"/>
      <c r="P96"/>
      <c r="Q96"/>
    </row>
    <row r="97" spans="1:19" ht="15" thickBot="1" x14ac:dyDescent="0.4">
      <c r="A97" s="42"/>
      <c r="B97" s="334" t="str">
        <f>CONCATENATE($A$4," at Proposed T&amp;D Rates")</f>
        <v>SC1 Rate I at Proposed T&amp;D Rates</v>
      </c>
      <c r="C97" s="3"/>
      <c r="D97" s="3"/>
      <c r="E97" s="3"/>
      <c r="F97" s="3"/>
      <c r="G97" s="3"/>
      <c r="H97" s="3"/>
      <c r="I97" s="3"/>
      <c r="N97" s="367" t="s">
        <v>426</v>
      </c>
      <c r="O97" s="368">
        <f>$L$10</f>
        <v>1.0119199999999999</v>
      </c>
      <c r="P97"/>
      <c r="Q97" s="344" t="str">
        <f>$A$4</f>
        <v>SC1 Rate I</v>
      </c>
    </row>
    <row r="98" spans="1:19" ht="15.5" thickTop="1" thickBot="1" x14ac:dyDescent="0.4">
      <c r="B98" s="407"/>
      <c r="H98" s="1307" t="s">
        <v>417</v>
      </c>
      <c r="I98" s="1308"/>
      <c r="J98" s="1309"/>
      <c r="K98" s="3"/>
      <c r="L98" s="1307" t="s">
        <v>422</v>
      </c>
      <c r="M98" s="1308"/>
      <c r="N98" s="1308"/>
      <c r="O98" s="1309"/>
      <c r="P98"/>
      <c r="Q98" s="369" t="s">
        <v>42</v>
      </c>
    </row>
    <row r="99" spans="1:19" ht="15" thickTop="1" x14ac:dyDescent="0.35">
      <c r="B99" s="410"/>
      <c r="H99" s="30" t="s">
        <v>416</v>
      </c>
      <c r="I99" s="30" t="s">
        <v>418</v>
      </c>
      <c r="J99" s="36" t="s">
        <v>419</v>
      </c>
      <c r="K99" s="3"/>
      <c r="L99" s="30" t="s">
        <v>416</v>
      </c>
      <c r="M99" s="30" t="s">
        <v>423</v>
      </c>
      <c r="N99" s="30" t="s">
        <v>424</v>
      </c>
      <c r="O99" s="30" t="s">
        <v>425</v>
      </c>
      <c r="P99"/>
      <c r="Q99" s="121" t="s">
        <v>429</v>
      </c>
    </row>
    <row r="100" spans="1:19" x14ac:dyDescent="0.35">
      <c r="B100" s="407" t="s">
        <v>42</v>
      </c>
      <c r="C100" s="3" t="s">
        <v>163</v>
      </c>
      <c r="H100" s="223">
        <f>H89</f>
        <v>16</v>
      </c>
      <c r="I100" s="105">
        <f>T9</f>
        <v>11772799</v>
      </c>
      <c r="J100" s="26">
        <f>ROUND(H100*I100,0)</f>
        <v>188364784</v>
      </c>
      <c r="K100" s="61"/>
      <c r="L100" s="365">
        <f>H100</f>
        <v>16</v>
      </c>
      <c r="M100" s="365">
        <f>H100</f>
        <v>16</v>
      </c>
      <c r="O100" s="134">
        <f>ROUND(M100*(N101+N102)*(O97-1),0)</f>
        <v>2245308</v>
      </c>
      <c r="P100"/>
      <c r="Q100" s="278">
        <f>J100+O100</f>
        <v>190610092</v>
      </c>
    </row>
    <row r="101" spans="1:19" x14ac:dyDescent="0.35">
      <c r="B101" s="406"/>
      <c r="C101" t="s">
        <v>377</v>
      </c>
      <c r="D101" s="121">
        <f>$D$50</f>
        <v>0</v>
      </c>
      <c r="E101" s="122" t="str">
        <f>$E$50</f>
        <v>-</v>
      </c>
      <c r="F101" s="121">
        <f>$F$50</f>
        <v>250</v>
      </c>
      <c r="H101" s="223">
        <f>H90</f>
        <v>0.11125</v>
      </c>
      <c r="I101" s="105">
        <f>V6</f>
        <v>2534832095.7490659</v>
      </c>
      <c r="J101" s="26">
        <f>ROUND(H101*I101,0)</f>
        <v>282000071</v>
      </c>
      <c r="K101" s="223"/>
      <c r="L101" s="365">
        <f>H101</f>
        <v>0.11125</v>
      </c>
      <c r="M101" s="87"/>
      <c r="N101" s="366">
        <f>T6</f>
        <v>4102465.0830123234</v>
      </c>
      <c r="O101" s="134">
        <f>ROUND(M101*N101*(O$97-1),0)</f>
        <v>0</v>
      </c>
      <c r="P101"/>
      <c r="Q101" s="278">
        <f>J101+O101</f>
        <v>282000071</v>
      </c>
      <c r="S101" s="130"/>
    </row>
    <row r="102" spans="1:19" x14ac:dyDescent="0.35">
      <c r="B102" s="406"/>
      <c r="C102" s="3" t="s">
        <v>376</v>
      </c>
      <c r="D102" s="36"/>
      <c r="E102" s="122" t="str">
        <f>$E$51</f>
        <v>&gt;</v>
      </c>
      <c r="F102" s="121">
        <f>$F$51</f>
        <v>250</v>
      </c>
      <c r="H102" s="223">
        <f>H91</f>
        <v>0.12787999999999999</v>
      </c>
      <c r="I102" s="105">
        <f>V7</f>
        <v>2931409443.2509341</v>
      </c>
      <c r="J102" s="26">
        <f>ROUND(H102*I102,0)</f>
        <v>374868640</v>
      </c>
      <c r="K102" s="223"/>
      <c r="L102" s="365">
        <f>H102</f>
        <v>0.12787999999999999</v>
      </c>
      <c r="M102" s="365">
        <f>(L101-L102)*F101+M101</f>
        <v>-4.157499999999998</v>
      </c>
      <c r="N102" s="366">
        <f>T7</f>
        <v>7670333.9169876771</v>
      </c>
      <c r="O102" s="134">
        <f>ROUND(M102*N102*(O$97-1),0)</f>
        <v>-380122</v>
      </c>
      <c r="P102"/>
      <c r="Q102" s="278">
        <f>J102+O102</f>
        <v>374488518</v>
      </c>
    </row>
    <row r="103" spans="1:19" x14ac:dyDescent="0.35">
      <c r="B103" s="406"/>
      <c r="C103" s="3" t="s">
        <v>420</v>
      </c>
      <c r="D103" s="3"/>
      <c r="E103" s="3"/>
      <c r="F103" s="3"/>
      <c r="H103" s="223"/>
      <c r="I103" s="223"/>
      <c r="J103" s="32">
        <f>SUM(J100:J102)</f>
        <v>845233495</v>
      </c>
      <c r="K103" s="223"/>
      <c r="L103" s="3"/>
      <c r="M103" s="3"/>
      <c r="N103" s="3"/>
      <c r="O103" s="32">
        <f>SUM(O100:O102)</f>
        <v>1865186</v>
      </c>
      <c r="P103"/>
      <c r="Q103" s="599">
        <f>SUM(Q100:Q102)</f>
        <v>847098681</v>
      </c>
    </row>
    <row r="104" spans="1:19" s="1" customFormat="1" x14ac:dyDescent="0.35">
      <c r="B104" s="464"/>
      <c r="C104" s="2"/>
      <c r="D104" s="121"/>
      <c r="E104" s="121"/>
      <c r="F104" s="361"/>
      <c r="H104" s="223"/>
      <c r="I104" s="362"/>
      <c r="J104" s="223"/>
      <c r="K104" s="362"/>
      <c r="L104" s="363"/>
      <c r="M104" s="364"/>
      <c r="N104" s="363"/>
      <c r="S104"/>
    </row>
    <row r="105" spans="1:19" s="1" customFormat="1" ht="15" thickBot="1" x14ac:dyDescent="0.4">
      <c r="B105" s="464"/>
      <c r="C105" s="2"/>
      <c r="D105" s="121"/>
      <c r="E105" s="121"/>
      <c r="F105" s="361"/>
      <c r="H105" s="223"/>
      <c r="I105" s="362"/>
      <c r="J105" s="223"/>
      <c r="K105" s="362"/>
      <c r="L105"/>
      <c r="M105"/>
      <c r="N105" s="367" t="s">
        <v>426</v>
      </c>
      <c r="O105" s="368">
        <f>$L$11</f>
        <v>1.01067</v>
      </c>
      <c r="S105"/>
    </row>
    <row r="106" spans="1:19" s="1" customFormat="1" ht="15.5" thickTop="1" thickBot="1" x14ac:dyDescent="0.4">
      <c r="B106" s="464"/>
      <c r="C106" s="2"/>
      <c r="D106" s="121"/>
      <c r="E106" s="121"/>
      <c r="F106" s="361"/>
      <c r="H106" s="1307" t="s">
        <v>417</v>
      </c>
      <c r="I106" s="1308"/>
      <c r="J106" s="1309"/>
      <c r="K106" s="362"/>
      <c r="L106" s="1307" t="s">
        <v>422</v>
      </c>
      <c r="M106" s="1308"/>
      <c r="N106" s="1308"/>
      <c r="O106" s="1309"/>
      <c r="Q106" s="369" t="s">
        <v>40</v>
      </c>
      <c r="S106"/>
    </row>
    <row r="107" spans="1:19" s="1" customFormat="1" ht="15" thickTop="1" x14ac:dyDescent="0.35">
      <c r="B107" s="464"/>
      <c r="C107" s="2"/>
      <c r="D107" s="121"/>
      <c r="E107" s="121"/>
      <c r="F107" s="361"/>
      <c r="H107" s="30" t="s">
        <v>416</v>
      </c>
      <c r="I107" s="30" t="s">
        <v>418</v>
      </c>
      <c r="J107" s="36" t="s">
        <v>419</v>
      </c>
      <c r="K107" s="362"/>
      <c r="L107" s="30" t="s">
        <v>416</v>
      </c>
      <c r="M107" s="30" t="s">
        <v>423</v>
      </c>
      <c r="N107" s="30" t="s">
        <v>424</v>
      </c>
      <c r="O107" s="30" t="s">
        <v>425</v>
      </c>
      <c r="Q107" s="121" t="s">
        <v>429</v>
      </c>
      <c r="S107"/>
    </row>
    <row r="108" spans="1:19" s="1" customFormat="1" x14ac:dyDescent="0.35">
      <c r="B108" s="407" t="s">
        <v>40</v>
      </c>
      <c r="C108" s="3" t="s">
        <v>163</v>
      </c>
      <c r="D108"/>
      <c r="E108"/>
      <c r="F108"/>
      <c r="H108" s="223">
        <f>J89</f>
        <v>16</v>
      </c>
      <c r="I108" s="105">
        <f>T14</f>
        <v>23534014</v>
      </c>
      <c r="J108" s="26">
        <f>ROUND(H108*I108,0)</f>
        <v>376544224</v>
      </c>
      <c r="K108" s="362"/>
      <c r="L108" s="365">
        <f>H108</f>
        <v>16</v>
      </c>
      <c r="M108" s="365">
        <f>H108</f>
        <v>16</v>
      </c>
      <c r="N108"/>
      <c r="O108" s="134">
        <f>ROUND(M108*(N109+N110)*(O105-1),0)</f>
        <v>4017727</v>
      </c>
      <c r="Q108" s="278">
        <f>J108+O108</f>
        <v>380561951</v>
      </c>
      <c r="S108"/>
    </row>
    <row r="109" spans="1:19" s="1" customFormat="1" x14ac:dyDescent="0.35">
      <c r="B109" s="406"/>
      <c r="C109" t="s">
        <v>377</v>
      </c>
      <c r="D109" s="121">
        <f>$D$50</f>
        <v>0</v>
      </c>
      <c r="E109" s="122" t="str">
        <f>$E$50</f>
        <v>-</v>
      </c>
      <c r="F109" s="121">
        <f>$F$50</f>
        <v>250</v>
      </c>
      <c r="H109" s="223">
        <f>J90</f>
        <v>0.11125</v>
      </c>
      <c r="I109" s="105">
        <f>V11</f>
        <v>4602273259.2121811</v>
      </c>
      <c r="J109" s="26">
        <f>ROUND(H109*I109,0)</f>
        <v>512002900</v>
      </c>
      <c r="K109" s="362"/>
      <c r="L109" s="365">
        <f>H109</f>
        <v>0.11125</v>
      </c>
      <c r="M109" s="87"/>
      <c r="N109" s="366">
        <f>T11</f>
        <v>12255759.410362491</v>
      </c>
      <c r="O109" s="134">
        <f>ROUND(M109*N109*(O$105-1),0)</f>
        <v>0</v>
      </c>
      <c r="Q109" s="278">
        <f>J109+O109</f>
        <v>512002900</v>
      </c>
      <c r="S109"/>
    </row>
    <row r="110" spans="1:19" s="1" customFormat="1" x14ac:dyDescent="0.35">
      <c r="B110" s="406"/>
      <c r="C110" s="3" t="s">
        <v>376</v>
      </c>
      <c r="D110" s="36"/>
      <c r="E110" s="122" t="str">
        <f>$E$51</f>
        <v>&gt;</v>
      </c>
      <c r="F110" s="121">
        <f>$F$51</f>
        <v>250</v>
      </c>
      <c r="H110" s="223">
        <f>J91</f>
        <v>0.11125</v>
      </c>
      <c r="I110" s="105">
        <f>V12</f>
        <v>3435812875.7878194</v>
      </c>
      <c r="J110" s="26">
        <f>ROUND(H110*I110,0)</f>
        <v>382234182</v>
      </c>
      <c r="K110" s="362"/>
      <c r="L110" s="365">
        <f>H110</f>
        <v>0.11125</v>
      </c>
      <c r="M110" s="87"/>
      <c r="N110" s="366">
        <f>T12</f>
        <v>11278254.589637509</v>
      </c>
      <c r="O110" s="134">
        <f>ROUND(M110*N110*(O$105-1),0)</f>
        <v>0</v>
      </c>
      <c r="Q110" s="278">
        <f>J110+O110</f>
        <v>382234182</v>
      </c>
    </row>
    <row r="111" spans="1:19" s="1" customFormat="1" x14ac:dyDescent="0.35">
      <c r="B111" s="406"/>
      <c r="C111" s="3" t="s">
        <v>421</v>
      </c>
      <c r="D111" s="3"/>
      <c r="E111" s="3"/>
      <c r="F111" s="3"/>
      <c r="H111" s="223"/>
      <c r="I111" s="223"/>
      <c r="J111" s="32">
        <f>SUM(J108:J110)</f>
        <v>1270781306</v>
      </c>
      <c r="K111" s="362"/>
      <c r="L111" s="3"/>
      <c r="M111" s="3"/>
      <c r="N111" s="3"/>
      <c r="O111" s="32">
        <f>SUM(O108:O110)</f>
        <v>4017727</v>
      </c>
      <c r="Q111" s="599">
        <f>SUM(Q108:Q110)</f>
        <v>1274799033</v>
      </c>
    </row>
    <row r="112" spans="1:19" s="1" customFormat="1" ht="15" thickBot="1" x14ac:dyDescent="0.4">
      <c r="B112" s="464"/>
      <c r="C112" s="2"/>
      <c r="D112" s="121"/>
      <c r="E112" s="121"/>
      <c r="F112" s="361"/>
      <c r="H112" s="223"/>
      <c r="I112" s="362"/>
      <c r="J112" s="223"/>
      <c r="K112" s="362"/>
      <c r="L112" s="363"/>
      <c r="M112" s="364"/>
      <c r="N112" s="363"/>
      <c r="Q112" s="223"/>
    </row>
    <row r="113" spans="2:17" s="1" customFormat="1" ht="15.5" thickTop="1" thickBot="1" x14ac:dyDescent="0.4">
      <c r="B113" s="464"/>
      <c r="C113" s="837" t="str">
        <f>CONCATENATE($A$4," - Annual Revenue Price-Out at Proposed Rates:")</f>
        <v>SC1 Rate I - Annual Revenue Price-Out at Proposed Rates:</v>
      </c>
      <c r="D113" s="121"/>
      <c r="E113" s="121"/>
      <c r="F113" s="361"/>
      <c r="H113" s="223"/>
      <c r="I113" s="222" t="s">
        <v>427</v>
      </c>
      <c r="J113" s="243">
        <f>J103+J111</f>
        <v>2116014801</v>
      </c>
      <c r="K113" s="362"/>
      <c r="L113" s="363"/>
      <c r="M113" s="364"/>
      <c r="N113" s="222" t="s">
        <v>428</v>
      </c>
      <c r="O113" s="243">
        <f>O103+O111</f>
        <v>5882913</v>
      </c>
      <c r="Q113" s="243">
        <f>Q103+Q111</f>
        <v>2121897714</v>
      </c>
    </row>
    <row r="114" spans="2:17" s="1" customFormat="1" ht="15" thickTop="1" x14ac:dyDescent="0.35">
      <c r="C114" s="2"/>
      <c r="D114" s="121"/>
      <c r="E114" s="121"/>
      <c r="F114" s="361"/>
      <c r="H114" s="223"/>
      <c r="I114" s="362"/>
      <c r="J114" s="223"/>
      <c r="K114" s="362"/>
      <c r="L114" s="363"/>
      <c r="M114" s="364"/>
      <c r="N114" s="363"/>
      <c r="Q114" s="370">
        <f>J113+O113-Q113</f>
        <v>0</v>
      </c>
    </row>
    <row r="115" spans="2:17" s="1" customFormat="1" x14ac:dyDescent="0.35">
      <c r="C115" s="2"/>
      <c r="D115" s="121"/>
      <c r="E115" s="121"/>
      <c r="F115" s="361"/>
      <c r="H115" s="223"/>
      <c r="I115" s="362"/>
      <c r="J115" s="223"/>
      <c r="K115" s="362"/>
      <c r="L115" s="363"/>
      <c r="M115" s="364"/>
      <c r="N115" s="363"/>
    </row>
    <row r="116" spans="2:17" ht="15" thickBot="1" x14ac:dyDescent="0.4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7"/>
      <c r="O116" s="3"/>
      <c r="P116" s="2"/>
      <c r="Q116" s="2"/>
    </row>
    <row r="117" spans="2:17" x14ac:dyDescent="0.35">
      <c r="B117" s="3"/>
      <c r="C117" s="815" t="str">
        <f>$A$4</f>
        <v>SC1 Rate I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1050" t="s">
        <v>6</v>
      </c>
      <c r="N117" s="96"/>
      <c r="O117" s="2"/>
      <c r="P117" s="2"/>
      <c r="Q117" s="2"/>
    </row>
    <row r="118" spans="2:17" x14ac:dyDescent="0.35">
      <c r="B118" s="3"/>
      <c r="C118" s="11" t="s">
        <v>5</v>
      </c>
      <c r="D118" s="1305">
        <f>L4</f>
        <v>2020</v>
      </c>
      <c r="E118" s="1305"/>
      <c r="F118" s="1305"/>
      <c r="G118" s="10"/>
      <c r="H118" s="10"/>
      <c r="I118" s="10"/>
      <c r="J118" s="10"/>
      <c r="K118" s="10"/>
      <c r="L118" s="10"/>
      <c r="M118" s="10"/>
      <c r="N118" s="1054"/>
      <c r="O118" s="2"/>
      <c r="P118" s="2"/>
      <c r="Q118" s="2"/>
    </row>
    <row r="119" spans="2:17" x14ac:dyDescent="0.35">
      <c r="B119" s="3"/>
      <c r="C119" s="699" t="s">
        <v>4</v>
      </c>
      <c r="D119" s="883"/>
      <c r="E119" s="883"/>
      <c r="F119" s="883"/>
      <c r="G119" s="884"/>
      <c r="H119" s="10"/>
      <c r="I119" s="10"/>
      <c r="J119" s="10"/>
      <c r="K119" s="10"/>
      <c r="L119" s="10"/>
      <c r="M119" s="469">
        <f>Q113</f>
        <v>2121897714</v>
      </c>
      <c r="N119" s="1055"/>
      <c r="O119" s="2"/>
      <c r="P119" s="2"/>
      <c r="Q119" s="2"/>
    </row>
    <row r="120" spans="2:17" x14ac:dyDescent="0.35">
      <c r="B120" s="3"/>
      <c r="C120" s="699" t="s">
        <v>1575</v>
      </c>
      <c r="D120" s="883"/>
      <c r="E120" s="883"/>
      <c r="F120" s="883"/>
      <c r="G120" s="884"/>
      <c r="H120" s="10"/>
      <c r="I120" s="10"/>
      <c r="J120" s="10"/>
      <c r="K120" s="10"/>
      <c r="L120" s="10"/>
      <c r="M120" s="1051">
        <f>L28</f>
        <v>7364634</v>
      </c>
      <c r="N120" s="1055"/>
      <c r="O120" s="2"/>
      <c r="P120" s="2"/>
      <c r="Q120" s="2"/>
    </row>
    <row r="121" spans="2:17" x14ac:dyDescent="0.35">
      <c r="B121" s="3"/>
      <c r="C121" s="699" t="s">
        <v>1576</v>
      </c>
      <c r="D121" s="406"/>
      <c r="E121" s="406"/>
      <c r="F121" s="406"/>
      <c r="G121" s="406"/>
      <c r="M121" s="1051">
        <f>L29</f>
        <v>97574</v>
      </c>
      <c r="N121" s="1055"/>
      <c r="O121" s="2"/>
      <c r="P121" s="2"/>
      <c r="Q121" s="2"/>
    </row>
    <row r="122" spans="2:17" x14ac:dyDescent="0.35">
      <c r="B122" s="3"/>
      <c r="C122" s="699" t="s">
        <v>1577</v>
      </c>
      <c r="D122" s="883"/>
      <c r="E122" s="883"/>
      <c r="F122" s="883"/>
      <c r="G122" s="884"/>
      <c r="H122" s="10"/>
      <c r="I122" s="10"/>
      <c r="J122" s="10"/>
      <c r="K122" s="10"/>
      <c r="L122" s="10"/>
      <c r="M122" s="1051">
        <f>L30</f>
        <v>384305</v>
      </c>
      <c r="N122" s="1055"/>
      <c r="O122" s="2"/>
      <c r="P122" s="2"/>
      <c r="Q122" s="2"/>
    </row>
    <row r="123" spans="2:17" x14ac:dyDescent="0.35">
      <c r="B123" s="3"/>
      <c r="C123" s="699" t="s">
        <v>1578</v>
      </c>
      <c r="D123" s="883"/>
      <c r="E123" s="883"/>
      <c r="F123" s="883"/>
      <c r="G123" s="884"/>
      <c r="H123" s="10"/>
      <c r="I123" s="10"/>
      <c r="J123" s="10"/>
      <c r="K123" s="10"/>
      <c r="L123" s="10"/>
      <c r="M123" s="1052">
        <f>L31</f>
        <v>0</v>
      </c>
      <c r="N123" s="1055"/>
      <c r="O123" s="2"/>
      <c r="P123" s="2"/>
      <c r="Q123" s="2"/>
    </row>
    <row r="124" spans="2:17" x14ac:dyDescent="0.35">
      <c r="B124" s="3"/>
      <c r="C124" s="699" t="s">
        <v>519</v>
      </c>
      <c r="D124" s="884"/>
      <c r="E124" s="884"/>
      <c r="F124" s="884"/>
      <c r="G124" s="884"/>
      <c r="H124" s="10"/>
      <c r="I124" s="10"/>
      <c r="J124" s="10"/>
      <c r="K124" s="10"/>
      <c r="L124" s="10"/>
      <c r="M124" s="469">
        <f>M119+M120+M121+M122+M123</f>
        <v>2129744227</v>
      </c>
      <c r="N124" s="1055"/>
      <c r="O124" s="2"/>
      <c r="P124" s="2"/>
      <c r="Q124" s="2"/>
    </row>
    <row r="125" spans="2:17" x14ac:dyDescent="0.35">
      <c r="B125" s="3"/>
      <c r="C125" s="50"/>
      <c r="N125" s="1055"/>
      <c r="O125" s="3"/>
      <c r="P125" s="2"/>
      <c r="Q125" s="2"/>
    </row>
    <row r="126" spans="2:17" x14ac:dyDescent="0.35">
      <c r="B126" s="3"/>
      <c r="C126" s="11"/>
      <c r="D126" s="10" t="s">
        <v>2</v>
      </c>
      <c r="E126" s="10"/>
      <c r="F126" s="10"/>
      <c r="G126" s="10"/>
      <c r="H126" s="10"/>
      <c r="I126" s="10"/>
      <c r="J126" s="10"/>
      <c r="K126" s="10"/>
      <c r="L126" s="10"/>
      <c r="M126" s="1051">
        <f>L27</f>
        <v>2129367945.6876757</v>
      </c>
      <c r="N126" s="1055"/>
      <c r="O126" s="3"/>
      <c r="P126" s="2"/>
      <c r="Q126" s="2"/>
    </row>
    <row r="127" spans="2:17" x14ac:dyDescent="0.35">
      <c r="B127" s="3"/>
      <c r="C127" s="11"/>
      <c r="D127" s="10" t="s">
        <v>1</v>
      </c>
      <c r="E127" s="10"/>
      <c r="F127" s="10"/>
      <c r="G127" s="10"/>
      <c r="H127" s="10"/>
      <c r="I127" s="10"/>
      <c r="J127" s="10"/>
      <c r="K127" s="10"/>
      <c r="L127" s="10"/>
      <c r="M127" s="469">
        <f>M124-M126</f>
        <v>376281.31232428551</v>
      </c>
      <c r="N127" s="1055"/>
      <c r="O127" s="3"/>
      <c r="P127" s="2"/>
      <c r="Q127" s="2"/>
    </row>
    <row r="128" spans="2:17" x14ac:dyDescent="0.35">
      <c r="B128" s="3"/>
      <c r="C128" s="11"/>
      <c r="D128" s="10" t="s">
        <v>0</v>
      </c>
      <c r="E128" s="10"/>
      <c r="F128" s="10"/>
      <c r="G128" s="10"/>
      <c r="H128" s="10"/>
      <c r="I128" s="10"/>
      <c r="J128" s="10"/>
      <c r="K128" s="10"/>
      <c r="L128" s="10"/>
      <c r="M128" s="1053">
        <f>M124/M126-1</f>
        <v>1.7671032997679248E-4</v>
      </c>
      <c r="N128" s="1056"/>
      <c r="O128" s="3"/>
      <c r="P128" s="2"/>
      <c r="Q128" s="2"/>
    </row>
    <row r="129" spans="1:16" ht="15" thickBot="1" x14ac:dyDescent="0.4">
      <c r="A129" s="3"/>
      <c r="B129" s="3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1057"/>
      <c r="O129" s="3"/>
      <c r="P129" s="2"/>
    </row>
    <row r="130" spans="1:16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2"/>
    </row>
    <row r="131" spans="1:16" s="87" customFormat="1" x14ac:dyDescent="0.35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</row>
    <row r="132" spans="1:16" ht="15.5" hidden="1" outlineLevel="1" x14ac:dyDescent="0.35">
      <c r="A132" s="3"/>
      <c r="B132" s="298" t="s">
        <v>432</v>
      </c>
      <c r="C132" s="3"/>
      <c r="D132" s="3"/>
      <c r="E132" s="3"/>
      <c r="F132" s="3"/>
      <c r="G132" s="30"/>
      <c r="H132" s="3"/>
      <c r="I132" s="30" t="s">
        <v>1168</v>
      </c>
      <c r="J132" s="3"/>
      <c r="K132" s="3"/>
      <c r="L132" s="3"/>
      <c r="M132" s="3"/>
      <c r="N132" s="3"/>
      <c r="O132" s="3"/>
      <c r="P132" s="2"/>
    </row>
    <row r="133" spans="1:16" hidden="1" outlineLevel="1" x14ac:dyDescent="0.35">
      <c r="A133" s="3"/>
      <c r="B133" s="3"/>
      <c r="C133" s="3"/>
      <c r="D133" s="3"/>
      <c r="E133" s="135" t="s">
        <v>1431</v>
      </c>
      <c r="F133" s="3"/>
      <c r="G133" s="135" t="s">
        <v>1432</v>
      </c>
      <c r="H133" s="3"/>
      <c r="I133" s="135" t="s">
        <v>1434</v>
      </c>
      <c r="J133" s="3"/>
      <c r="K133" s="3"/>
      <c r="L133" s="3"/>
      <c r="M133" s="3"/>
      <c r="N133" s="3"/>
      <c r="O133" s="3"/>
      <c r="P133" s="2"/>
    </row>
    <row r="134" spans="1:16" hidden="1" outlineLevel="1" x14ac:dyDescent="0.35">
      <c r="B134" t="s">
        <v>1435</v>
      </c>
      <c r="E134" s="704"/>
      <c r="F134" s="1101"/>
      <c r="G134" s="704"/>
      <c r="I134" s="130"/>
      <c r="J134" s="3"/>
    </row>
    <row r="135" spans="1:16" hidden="1" outlineLevel="1" x14ac:dyDescent="0.35">
      <c r="B135" t="s">
        <v>433</v>
      </c>
      <c r="E135" s="1268"/>
      <c r="F135" s="1"/>
      <c r="G135" s="1268"/>
      <c r="I135" s="130"/>
      <c r="J135" s="143"/>
    </row>
    <row r="136" spans="1:16" hidden="1" outlineLevel="1" x14ac:dyDescent="0.35">
      <c r="B136" t="s">
        <v>1433</v>
      </c>
      <c r="E136" s="130"/>
      <c r="G136" s="130"/>
      <c r="I136" s="130"/>
      <c r="J136" s="143" t="s">
        <v>1438</v>
      </c>
    </row>
    <row r="137" spans="1:16" ht="15" hidden="1" outlineLevel="1" thickBot="1" x14ac:dyDescent="0.4">
      <c r="B137" t="s">
        <v>434</v>
      </c>
      <c r="E137" s="702"/>
      <c r="I137" s="130"/>
      <c r="J137" s="143"/>
    </row>
    <row r="138" spans="1:16" ht="15.5" hidden="1" outlineLevel="1" thickTop="1" thickBot="1" x14ac:dyDescent="0.4">
      <c r="B138" s="1" t="s">
        <v>2286</v>
      </c>
      <c r="C138" s="1"/>
      <c r="E138" s="703"/>
      <c r="G138" s="703"/>
      <c r="I138" s="703"/>
      <c r="J138" s="143" t="s">
        <v>1439</v>
      </c>
    </row>
    <row r="139" spans="1:16" ht="15" hidden="1" outlineLevel="1" thickTop="1" x14ac:dyDescent="0.35">
      <c r="B139" s="1"/>
      <c r="C139" s="1"/>
      <c r="J139" s="143"/>
    </row>
    <row r="140" spans="1:16" hidden="1" outlineLevel="1" x14ac:dyDescent="0.35">
      <c r="B140" s="1" t="s">
        <v>2290</v>
      </c>
      <c r="C140" s="1"/>
      <c r="E140" s="704"/>
      <c r="F140" s="372"/>
      <c r="G140" s="704"/>
      <c r="I140" s="130"/>
      <c r="J140" s="143" t="s">
        <v>2288</v>
      </c>
    </row>
    <row r="141" spans="1:16" hidden="1" outlineLevel="1" x14ac:dyDescent="0.35">
      <c r="B141" s="1" t="s">
        <v>2287</v>
      </c>
      <c r="C141" s="1"/>
      <c r="E141" s="704"/>
      <c r="G141" s="704"/>
      <c r="I141" s="130"/>
      <c r="J141" s="1219" t="s">
        <v>2289</v>
      </c>
    </row>
    <row r="142" spans="1:16" hidden="1" outlineLevel="1" x14ac:dyDescent="0.35">
      <c r="B142" s="1"/>
      <c r="C142" s="1"/>
      <c r="I142" s="130"/>
    </row>
    <row r="143" spans="1:16" collapsed="1" x14ac:dyDescent="0.35">
      <c r="B143" s="1269"/>
      <c r="C143" s="1270"/>
      <c r="D143" s="1271" t="s">
        <v>2293</v>
      </c>
      <c r="E143" s="1272" t="s">
        <v>2294</v>
      </c>
      <c r="F143" s="287"/>
      <c r="G143" s="287"/>
      <c r="H143" s="287"/>
      <c r="I143" s="287"/>
    </row>
    <row r="144" spans="1:16" x14ac:dyDescent="0.35">
      <c r="B144" s="1269" t="s">
        <v>1435</v>
      </c>
      <c r="C144" s="287"/>
      <c r="D144" s="287"/>
      <c r="E144" s="1273">
        <f>'[1]H1.)RevRequirements'!$D$19</f>
        <v>-54700000</v>
      </c>
      <c r="F144" s="1274"/>
      <c r="G144" s="1273">
        <f>'[1]H1.)RevRequirements'!$D$23</f>
        <v>-547000</v>
      </c>
      <c r="H144" s="1275"/>
      <c r="I144" s="1276">
        <f>E144+G144</f>
        <v>-55247000</v>
      </c>
      <c r="J144" s="385"/>
    </row>
    <row r="145" spans="2:10" x14ac:dyDescent="0.35">
      <c r="B145" s="1269" t="s">
        <v>433</v>
      </c>
      <c r="C145" s="287"/>
      <c r="D145" s="287"/>
      <c r="E145" s="1277">
        <f>'[1]H1.)RevRequirements'!$D$20</f>
        <v>-15462668</v>
      </c>
      <c r="F145" s="1275"/>
      <c r="G145" s="1277">
        <f>'[1]H1.)RevRequirements'!$D$24</f>
        <v>-154627</v>
      </c>
      <c r="H145" s="1275"/>
      <c r="I145" s="1276">
        <f>E145+G145</f>
        <v>-15617295</v>
      </c>
      <c r="J145" s="385"/>
    </row>
    <row r="146" spans="2:10" x14ac:dyDescent="0.35">
      <c r="B146" s="1269" t="s">
        <v>1433</v>
      </c>
      <c r="C146" s="287"/>
      <c r="D146" s="287"/>
      <c r="E146" s="1276">
        <f>E144+E145</f>
        <v>-70162668</v>
      </c>
      <c r="F146" s="1275"/>
      <c r="G146" s="1276">
        <f>G144+G145</f>
        <v>-701627</v>
      </c>
      <c r="H146" s="1275"/>
      <c r="I146" s="1276">
        <f>E146+G146</f>
        <v>-70864295</v>
      </c>
      <c r="J146" s="385"/>
    </row>
    <row r="147" spans="2:10" ht="15" thickBot="1" x14ac:dyDescent="0.4">
      <c r="B147" s="1269" t="s">
        <v>434</v>
      </c>
      <c r="C147" s="287"/>
      <c r="D147" s="287"/>
      <c r="E147" s="1275">
        <f>'[2]6A.)RateChange'!$U$18</f>
        <v>0.99146339999999999</v>
      </c>
      <c r="F147" s="1275"/>
      <c r="G147" s="1275">
        <f>E147</f>
        <v>0.99146339999999999</v>
      </c>
      <c r="H147" s="1275"/>
      <c r="I147" s="1276"/>
      <c r="J147" s="385"/>
    </row>
    <row r="148" spans="2:10" ht="15.5" thickTop="1" thickBot="1" x14ac:dyDescent="0.4">
      <c r="B148" s="1269" t="s">
        <v>2286</v>
      </c>
      <c r="C148" s="287"/>
      <c r="D148" s="287"/>
      <c r="E148" s="1278">
        <f>ROUND(E146/E147,0)</f>
        <v>-70766776</v>
      </c>
      <c r="F148" s="1275"/>
      <c r="G148" s="1278">
        <f>ROUND(G146/G147,0)</f>
        <v>-707668</v>
      </c>
      <c r="H148" s="1275"/>
      <c r="I148" s="1278">
        <f>E148+G148</f>
        <v>-71474444</v>
      </c>
      <c r="J148" s="385"/>
    </row>
    <row r="149" spans="2:10" ht="15" thickTop="1" x14ac:dyDescent="0.35">
      <c r="B149" s="1269"/>
      <c r="C149" s="287"/>
      <c r="D149" s="287"/>
      <c r="E149" s="1275"/>
      <c r="F149" s="1275"/>
      <c r="G149" s="1275"/>
      <c r="H149" s="1275"/>
      <c r="I149" s="1275"/>
      <c r="J149" s="385"/>
    </row>
    <row r="150" spans="2:10" x14ac:dyDescent="0.35">
      <c r="B150" s="1269" t="s">
        <v>2290</v>
      </c>
      <c r="C150" s="287"/>
      <c r="D150" s="287"/>
      <c r="E150" s="1273">
        <f>-'[1]A1.)RatesInput'!$D$490</f>
        <v>-54700000</v>
      </c>
      <c r="F150" s="1274"/>
      <c r="G150" s="1273">
        <f>-'[1]A1.)RatesInput'!$D$491</f>
        <v>-547000</v>
      </c>
      <c r="H150" s="1275"/>
      <c r="I150" s="1276">
        <f>E150+G150</f>
        <v>-55247000</v>
      </c>
      <c r="J150" s="385"/>
    </row>
    <row r="151" spans="2:10" x14ac:dyDescent="0.35">
      <c r="B151" s="1269" t="s">
        <v>2287</v>
      </c>
      <c r="C151" s="287"/>
      <c r="D151" s="287"/>
      <c r="E151" s="1273">
        <f>ROUND(E150/E147,0)</f>
        <v>-55170973</v>
      </c>
      <c r="F151" s="1275"/>
      <c r="G151" s="1273">
        <f>ROUND(G150/G147,0)</f>
        <v>-551710</v>
      </c>
      <c r="H151" s="1275"/>
      <c r="I151" s="1276">
        <f>E151+G151</f>
        <v>-55722683</v>
      </c>
    </row>
  </sheetData>
  <mergeCells count="9">
    <mergeCell ref="D118:F118"/>
    <mergeCell ref="H87:J87"/>
    <mergeCell ref="H98:J98"/>
    <mergeCell ref="H46:J46"/>
    <mergeCell ref="L46:N46"/>
    <mergeCell ref="L55:N55"/>
    <mergeCell ref="H106:J106"/>
    <mergeCell ref="L98:O98"/>
    <mergeCell ref="L106:O106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&amp;P/&amp;N</oddFooter>
  </headerFooter>
  <rowBreaks count="1" manualBreakCount="1">
    <brk id="83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8"/>
  <dimension ref="A1:X201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5.26953125" customWidth="1"/>
    <col min="4" max="4" width="9.7265625" customWidth="1"/>
    <col min="5" max="5" width="14.26953125" customWidth="1"/>
    <col min="6" max="6" width="15" customWidth="1"/>
    <col min="7" max="8" width="17.1796875" customWidth="1"/>
    <col min="9" max="9" width="16.7265625" customWidth="1"/>
    <col min="10" max="10" width="17.453125" customWidth="1"/>
    <col min="11" max="11" width="16.1796875" customWidth="1"/>
    <col min="12" max="12" width="17.453125" customWidth="1"/>
    <col min="13" max="13" width="16.1796875" customWidth="1"/>
    <col min="14" max="14" width="17.54296875" customWidth="1"/>
    <col min="15" max="15" width="13.54296875" customWidth="1"/>
    <col min="16" max="16" width="15" style="1" customWidth="1"/>
    <col min="17" max="17" width="17.1796875" style="1" customWidth="1"/>
    <col min="18" max="18" width="11.1796875" customWidth="1"/>
    <col min="19" max="19" width="9.1796875" customWidth="1"/>
    <col min="20" max="20" width="13" customWidth="1"/>
    <col min="21" max="21" width="16.7265625" customWidth="1"/>
    <col min="22" max="22" width="17.453125" customWidth="1"/>
    <col min="23" max="23" width="8.54296875" customWidth="1"/>
    <col min="24" max="24" width="17.453125" customWidth="1"/>
    <col min="25" max="25" width="18.81640625" customWidth="1"/>
    <col min="26" max="26" width="11.7265625" customWidth="1"/>
    <col min="27" max="27" width="16.81640625" customWidth="1"/>
  </cols>
  <sheetData>
    <row r="1" spans="1:22" ht="18.5" x14ac:dyDescent="0.45">
      <c r="A1" s="447" t="s">
        <v>632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 Rate II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438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/>
      <c r="B5" s="75"/>
      <c r="C5" s="3"/>
      <c r="D5" s="3"/>
      <c r="E5" s="3"/>
      <c r="F5" s="3"/>
      <c r="H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B6" s="180"/>
      <c r="C6" s="180"/>
      <c r="D6" s="180"/>
      <c r="E6" s="490" t="str">
        <f>'10A.)EnergyRateDesignSummary'!D33</f>
        <v>Current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/>
      <c r="R6" s="163"/>
      <c r="S6" s="164" t="s">
        <v>1393</v>
      </c>
      <c r="T6" s="386">
        <f>'[2]4D-1.)HY_TODLRatePxOut(SC1&amp;2)'!$L13</f>
        <v>6480</v>
      </c>
      <c r="U6" s="161"/>
      <c r="V6" s="386">
        <f>'[2]4D-1.)HY_TODLRatePxOut(SC1&amp;2)'!$M$13</f>
        <v>9718870</v>
      </c>
    </row>
    <row r="7" spans="1:22" ht="15" outlineLevel="1" thickBot="1" x14ac:dyDescent="0.4">
      <c r="A7" s="3"/>
      <c r="B7" s="3"/>
      <c r="C7" s="3"/>
      <c r="D7" s="3"/>
      <c r="E7" s="101"/>
      <c r="H7" s="3"/>
      <c r="J7" s="3"/>
      <c r="K7" s="17"/>
      <c r="L7" s="118" t="str">
        <f>A4</f>
        <v>SC1 Rate II</v>
      </c>
      <c r="M7" s="3"/>
      <c r="P7" s="170" t="s">
        <v>42</v>
      </c>
      <c r="Q7" s="159"/>
      <c r="R7" s="158"/>
      <c r="S7" s="159" t="s">
        <v>445</v>
      </c>
      <c r="T7" s="387">
        <f>'[2]4D-1.)HY_TODLRatePxOut(SC1&amp;2)'!$L14</f>
        <v>0</v>
      </c>
      <c r="U7" s="156"/>
      <c r="V7" s="387">
        <f>'[2]4D-1.)HY_TODLRatePxOut(SC1&amp;2)'!$M$14</f>
        <v>14833456</v>
      </c>
    </row>
    <row r="8" spans="1:22" ht="15.5" outlineLevel="1" thickTop="1" thickBot="1" x14ac:dyDescent="0.4">
      <c r="A8" s="3" t="s">
        <v>438</v>
      </c>
      <c r="B8" s="3"/>
      <c r="C8" s="190" t="s">
        <v>163</v>
      </c>
      <c r="D8" s="3"/>
      <c r="E8" s="309">
        <f>'10A.)EnergyRateDesignSummary'!D36</f>
        <v>24.3</v>
      </c>
      <c r="F8" s="309">
        <f>'7A.)CustCharge_Summary'!C99</f>
        <v>20.46</v>
      </c>
      <c r="J8" s="33"/>
      <c r="K8" s="17"/>
      <c r="L8" s="688"/>
      <c r="M8" s="3"/>
      <c r="P8" s="168" t="s">
        <v>42</v>
      </c>
      <c r="Q8" s="155"/>
      <c r="R8" s="176"/>
      <c r="S8" s="711"/>
      <c r="T8" s="388"/>
      <c r="U8" s="191"/>
      <c r="V8" s="388"/>
    </row>
    <row r="9" spans="1:22" ht="15.5" outlineLevel="1" thickTop="1" thickBot="1" x14ac:dyDescent="0.4">
      <c r="A9" s="3"/>
      <c r="B9" s="3"/>
      <c r="C9" s="190"/>
      <c r="D9" s="3"/>
      <c r="E9" s="311"/>
      <c r="F9" s="311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6480</v>
      </c>
      <c r="U9" s="151">
        <f>SUM(U6:U8)</f>
        <v>0</v>
      </c>
      <c r="V9" s="151">
        <f>SUM(V6:V8)</f>
        <v>24552326</v>
      </c>
    </row>
    <row r="10" spans="1:22" ht="15" outlineLevel="1" thickTop="1" x14ac:dyDescent="0.35">
      <c r="A10" s="3" t="s">
        <v>893</v>
      </c>
      <c r="B10" s="3"/>
      <c r="C10" s="3"/>
      <c r="D10" s="3"/>
      <c r="E10" s="1230">
        <f>'10A.)EnergyRateDesignSummary'!D37</f>
        <v>0.36759999999999998</v>
      </c>
      <c r="F10" s="1230">
        <f>H126</f>
        <v>0.4007</v>
      </c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894</v>
      </c>
      <c r="B11" s="3"/>
      <c r="C11" s="3"/>
      <c r="D11" s="3"/>
      <c r="E11" s="1230">
        <f>'10A.)EnergyRateDesignSummary'!D38</f>
        <v>1.41E-2</v>
      </c>
      <c r="F11" s="1230">
        <f>H127</f>
        <v>1.54E-2</v>
      </c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/>
      <c r="R11" s="163"/>
      <c r="S11" s="162" t="str">
        <f>$S$6</f>
        <v>On Peak</v>
      </c>
      <c r="T11" s="386">
        <f>'[2]4D-1.)HY_TODLRatePxOut(SC1&amp;2)'!$L8</f>
        <v>12963</v>
      </c>
      <c r="U11" s="161"/>
      <c r="V11" s="386">
        <f>'[2]4D-1.)HY_TODLRatePxOut(SC1&amp;2)'!$M$8</f>
        <v>16789117</v>
      </c>
    </row>
    <row r="12" spans="1:22" outlineLevel="1" x14ac:dyDescent="0.35">
      <c r="A12" s="3" t="s">
        <v>895</v>
      </c>
      <c r="B12" s="3"/>
      <c r="C12" s="3"/>
      <c r="D12" s="3"/>
      <c r="E12" s="1230">
        <f>'10A.)EnergyRateDesignSummary'!D39</f>
        <v>0.13339999999999999</v>
      </c>
      <c r="F12" s="1230">
        <f>J126</f>
        <v>0.1454</v>
      </c>
      <c r="J12" s="372"/>
      <c r="K12" s="372"/>
      <c r="L12" s="372"/>
      <c r="P12" s="160" t="s">
        <v>40</v>
      </c>
      <c r="Q12" s="159"/>
      <c r="R12" s="158"/>
      <c r="S12" s="157" t="str">
        <f>$S$7</f>
        <v>Off Peak</v>
      </c>
      <c r="T12" s="387">
        <f>'[2]4D-1.)HY_TODLRatePxOut(SC1&amp;2)'!$L9</f>
        <v>0</v>
      </c>
      <c r="U12" s="156"/>
      <c r="V12" s="387">
        <f>'[2]4D-1.)HY_TODLRatePxOut(SC1&amp;2)'!$M$9</f>
        <v>25876337</v>
      </c>
    </row>
    <row r="13" spans="1:22" ht="15" outlineLevel="1" thickBot="1" x14ac:dyDescent="0.4">
      <c r="A13" s="3" t="s">
        <v>896</v>
      </c>
      <c r="B13" s="3"/>
      <c r="C13" s="3"/>
      <c r="D13" s="3"/>
      <c r="E13" s="1230">
        <f>'10A.)EnergyRateDesignSummary'!D40</f>
        <v>1.41E-2</v>
      </c>
      <c r="F13" s="1230">
        <f>J127</f>
        <v>1.54E-2</v>
      </c>
      <c r="I13" s="3"/>
      <c r="J13" s="372"/>
      <c r="K13" s="372"/>
      <c r="L13" s="372"/>
      <c r="M13" s="372"/>
      <c r="P13" s="155" t="s">
        <v>40</v>
      </c>
      <c r="Q13" s="154"/>
      <c r="R13" s="154"/>
      <c r="S13" s="154"/>
      <c r="T13" s="388"/>
      <c r="U13" s="191"/>
      <c r="V13" s="388"/>
    </row>
    <row r="14" spans="1:22" ht="15.5" outlineLevel="1" thickTop="1" thickBot="1" x14ac:dyDescent="0.4">
      <c r="A14" s="3"/>
      <c r="B14" s="3"/>
      <c r="C14" s="3"/>
      <c r="D14" s="3"/>
      <c r="E14" s="311"/>
      <c r="F14" s="311"/>
      <c r="G14" s="757"/>
      <c r="H14" s="3"/>
      <c r="J14" s="33" t="s">
        <v>1479</v>
      </c>
      <c r="K14" s="17"/>
      <c r="L14" s="744">
        <f>ROUND('[2]6B.)RateChgAllocation'!$E$16/'[2]6B.)RateChgAllocation'!$H$16,8)</f>
        <v>2.8479879999999999E-2</v>
      </c>
      <c r="Q14" s="2"/>
      <c r="R14" s="3"/>
      <c r="S14" s="3"/>
      <c r="T14" s="151">
        <f>SUM(T11:T13)</f>
        <v>12963</v>
      </c>
      <c r="U14" s="151">
        <f>SUM(U11:U13)</f>
        <v>0</v>
      </c>
      <c r="V14" s="151">
        <f>SUM(V11:V13)</f>
        <v>42665454</v>
      </c>
    </row>
    <row r="15" spans="1:22" ht="15" outlineLevel="1" thickTop="1" x14ac:dyDescent="0.35">
      <c r="A15" s="3"/>
      <c r="B15" s="3"/>
      <c r="C15" s="3"/>
      <c r="D15" s="3"/>
      <c r="E15" s="392"/>
      <c r="F15" s="392"/>
      <c r="G15" s="3"/>
      <c r="H15" s="3"/>
      <c r="L15" s="135"/>
      <c r="M15" s="135"/>
      <c r="Q15" s="2"/>
      <c r="R15" s="3"/>
      <c r="S15" s="3"/>
      <c r="T15" s="150"/>
      <c r="U15" s="150"/>
      <c r="V15" s="150"/>
    </row>
    <row r="16" spans="1:22" outlineLevel="1" x14ac:dyDescent="0.35">
      <c r="A16" s="119" t="s">
        <v>478</v>
      </c>
      <c r="B16" s="3"/>
      <c r="C16" s="3"/>
      <c r="D16" s="3"/>
      <c r="E16" s="392"/>
      <c r="F16" s="392"/>
      <c r="G16" s="3"/>
      <c r="H16" s="3"/>
      <c r="J16" s="33" t="s">
        <v>454</v>
      </c>
      <c r="L16" s="693">
        <f>'7A.)CustCharge_Summary'!$B$10</f>
        <v>35306813</v>
      </c>
      <c r="Q16" s="2"/>
      <c r="R16" s="3"/>
      <c r="S16" s="3"/>
      <c r="T16" s="150"/>
      <c r="U16" s="150"/>
      <c r="V16" s="150"/>
    </row>
    <row r="17" spans="1:24" ht="15" outlineLevel="1" thickBot="1" x14ac:dyDescent="0.4">
      <c r="A17" t="s">
        <v>479</v>
      </c>
      <c r="B17" s="3"/>
      <c r="C17" s="307"/>
      <c r="D17" s="3"/>
      <c r="E17" s="1233">
        <v>3</v>
      </c>
      <c r="F17" s="1280">
        <f>'7A.)CustCharge_Summary'!C52</f>
        <v>4.46</v>
      </c>
      <c r="J17" s="33" t="s">
        <v>455</v>
      </c>
      <c r="L17" s="693">
        <f>'7A.)CustCharge_Summary'!$C$10</f>
        <v>19443</v>
      </c>
      <c r="M17" s="135"/>
      <c r="P17" s="192" t="s">
        <v>160</v>
      </c>
      <c r="Q17" s="2"/>
      <c r="R17" s="372"/>
      <c r="S17" s="3"/>
      <c r="T17" s="3"/>
      <c r="U17" s="3"/>
      <c r="V17" s="3"/>
    </row>
    <row r="18" spans="1:24" ht="15.5" outlineLevel="1" thickTop="1" thickBot="1" x14ac:dyDescent="0.4">
      <c r="A18" s="3" t="s">
        <v>474</v>
      </c>
      <c r="B18" s="3"/>
      <c r="C18" s="3"/>
      <c r="D18" s="3"/>
      <c r="E18" s="1232">
        <f>E8-E17</f>
        <v>21.3</v>
      </c>
      <c r="F18" s="1232">
        <f>F8-F17</f>
        <v>16</v>
      </c>
      <c r="J18" s="33"/>
      <c r="L18" s="135"/>
      <c r="M18" s="135"/>
      <c r="P18" s="181" t="s">
        <v>461</v>
      </c>
      <c r="Q18" s="2"/>
      <c r="R18" s="3"/>
      <c r="S18" s="3"/>
      <c r="T18" s="3"/>
      <c r="U18" s="3"/>
      <c r="V18" s="3"/>
    </row>
    <row r="19" spans="1:24" ht="15" outlineLevel="1" thickTop="1" x14ac:dyDescent="0.35">
      <c r="A19" s="3"/>
      <c r="B19" s="3"/>
      <c r="C19" s="3"/>
      <c r="D19" s="3"/>
      <c r="E19" s="3"/>
      <c r="F19" s="3"/>
      <c r="G19" s="3"/>
      <c r="H19" s="3"/>
      <c r="L19" s="135" t="s">
        <v>135</v>
      </c>
      <c r="M19" s="135"/>
      <c r="P19" s="409" t="s">
        <v>484</v>
      </c>
      <c r="Q19" s="2"/>
      <c r="R19" s="30" t="s">
        <v>175</v>
      </c>
      <c r="S19" s="3"/>
      <c r="T19" s="30" t="s">
        <v>26</v>
      </c>
      <c r="U19" s="30" t="s">
        <v>462</v>
      </c>
      <c r="V19" s="30" t="s">
        <v>44</v>
      </c>
    </row>
    <row r="20" spans="1:24" outlineLevel="1" x14ac:dyDescent="0.35">
      <c r="A20" s="3"/>
      <c r="B20" s="3"/>
      <c r="C20" s="3"/>
      <c r="D20" s="3"/>
      <c r="E20" s="3"/>
      <c r="F20" s="3"/>
      <c r="G20" s="3"/>
      <c r="J20" s="33" t="s">
        <v>1455</v>
      </c>
      <c r="L20" s="245">
        <f>'7A.)CustCharge_Summary'!$B$78</f>
        <v>571172043</v>
      </c>
      <c r="P20" s="165" t="s">
        <v>42</v>
      </c>
      <c r="Q20" s="164"/>
      <c r="R20" s="715">
        <f>ROUND('[1]D3.)On&amp;OffPeak%'!$F$114,4)</f>
        <v>0.37609999999999999</v>
      </c>
      <c r="S20" s="164" t="s">
        <v>1393</v>
      </c>
      <c r="T20" s="161"/>
      <c r="U20" s="161"/>
      <c r="V20" s="386">
        <f>ROUND(U23*R20,0)</f>
        <v>2055853443</v>
      </c>
      <c r="W20" s="384"/>
    </row>
    <row r="21" spans="1:24" outlineLevel="1" x14ac:dyDescent="0.35">
      <c r="A21" s="3"/>
      <c r="B21" s="3"/>
      <c r="C21" s="3"/>
      <c r="D21" s="3"/>
      <c r="E21" s="3"/>
      <c r="F21" s="3"/>
      <c r="G21" s="230"/>
      <c r="J21" s="33" t="s">
        <v>1518</v>
      </c>
      <c r="L21" s="718">
        <f>'7A.)CustCharge_Summary'!$C$78</f>
        <v>402214</v>
      </c>
      <c r="M21" s="465"/>
      <c r="P21" s="170" t="s">
        <v>42</v>
      </c>
      <c r="Q21" s="159"/>
      <c r="R21" s="716">
        <f>ROUND('[1]D3.)On&amp;OffPeak%'!$G$114,4)</f>
        <v>0.62390000000000001</v>
      </c>
      <c r="S21" s="159" t="s">
        <v>445</v>
      </c>
      <c r="T21" s="156"/>
      <c r="U21" s="156"/>
      <c r="V21" s="387">
        <f>ROUND(U23*R21,0)</f>
        <v>3410388096</v>
      </c>
      <c r="W21" s="384"/>
    </row>
    <row r="22" spans="1:24" ht="15" outlineLevel="1" thickBot="1" x14ac:dyDescent="0.4">
      <c r="A22" s="3"/>
      <c r="B22" s="3"/>
      <c r="C22" s="3"/>
      <c r="D22" s="3"/>
      <c r="E22" s="3"/>
      <c r="F22" s="3"/>
      <c r="G22" s="230"/>
      <c r="H22" s="3"/>
      <c r="J22" s="33"/>
      <c r="P22" s="168" t="s">
        <v>42</v>
      </c>
      <c r="Q22" s="155"/>
      <c r="R22" s="710"/>
      <c r="S22" s="154"/>
      <c r="T22" s="191"/>
      <c r="U22" s="191"/>
      <c r="V22" s="388"/>
      <c r="W22" s="385"/>
    </row>
    <row r="23" spans="1:24" ht="15.5" outlineLevel="1" thickTop="1" thickBot="1" x14ac:dyDescent="0.4">
      <c r="A23" s="3"/>
      <c r="B23" s="3"/>
      <c r="C23" s="3"/>
      <c r="D23" s="3"/>
      <c r="E23" s="3"/>
      <c r="F23" s="3"/>
      <c r="L23" s="135" t="s">
        <v>135</v>
      </c>
      <c r="R23" s="382">
        <f>R20+R21</f>
        <v>1</v>
      </c>
      <c r="T23" s="915">
        <f>'10B.)Energy_RateDesign_SC1_I'!T9</f>
        <v>11772799</v>
      </c>
      <c r="U23" s="915">
        <f>'10B.)Energy_RateDesign_SC1_I'!V9</f>
        <v>5466241539</v>
      </c>
      <c r="V23" s="717">
        <f>SUM(V20:V22)</f>
        <v>5466241539</v>
      </c>
      <c r="W23" s="385"/>
    </row>
    <row r="24" spans="1:24" ht="15" outlineLevel="1" thickTop="1" x14ac:dyDescent="0.35">
      <c r="A24" s="3"/>
      <c r="B24" s="3"/>
      <c r="C24" s="3"/>
      <c r="D24" s="3"/>
      <c r="E24" s="3"/>
      <c r="F24" s="3"/>
      <c r="G24" s="230"/>
      <c r="H24" s="3"/>
      <c r="J24" s="33" t="s">
        <v>1445</v>
      </c>
      <c r="L24" s="245">
        <f>'10B.)Energy_RateDesign_SC1_I'!L19+'10B.)Energy_RateDesign_SC1_I'!L22</f>
        <v>1507794406.6876757</v>
      </c>
      <c r="N24" s="130"/>
      <c r="R24" s="383"/>
      <c r="V24" s="1"/>
      <c r="W24" s="385"/>
    </row>
    <row r="25" spans="1:24" outlineLevel="1" x14ac:dyDescent="0.35">
      <c r="G25" s="230"/>
      <c r="H25" s="3"/>
      <c r="J25" s="33" t="s">
        <v>1442</v>
      </c>
      <c r="L25" s="1026">
        <f>'[2]4D-1.)HY_TODLRatePxOut(SC1&amp;2)'!$T$18+'[2]4D-1.)HY_TODLRatePxOut(SC1&amp;2)'!$T$19</f>
        <v>6386333</v>
      </c>
      <c r="N25" s="130"/>
      <c r="P25" s="165" t="s">
        <v>40</v>
      </c>
      <c r="Q25" s="164"/>
      <c r="R25" s="715">
        <f>ROUND('[1]D3.)On&amp;OffPeak%'!$H$114,4)</f>
        <v>0.37459999999999999</v>
      </c>
      <c r="S25" s="162" t="str">
        <f>$S$6</f>
        <v>On Peak</v>
      </c>
      <c r="T25" s="161"/>
      <c r="U25" s="161"/>
      <c r="V25" s="386">
        <f>ROUND(U28*R25,0)</f>
        <v>3011067066</v>
      </c>
      <c r="W25" s="384"/>
    </row>
    <row r="26" spans="1:24" outlineLevel="1" x14ac:dyDescent="0.35">
      <c r="J26" s="33" t="s">
        <v>1388</v>
      </c>
      <c r="L26" s="377">
        <f>L24+L25</f>
        <v>1514180739.6876757</v>
      </c>
      <c r="P26" s="160" t="s">
        <v>40</v>
      </c>
      <c r="Q26" s="159"/>
      <c r="R26" s="716">
        <f>ROUND('[1]D3.)On&amp;OffPeak%'!$I$114,4)</f>
        <v>0.62539999999999996</v>
      </c>
      <c r="S26" s="157" t="str">
        <f>$S$7</f>
        <v>Off Peak</v>
      </c>
      <c r="T26" s="156"/>
      <c r="U26" s="156"/>
      <c r="V26" s="387">
        <f>ROUND(U28*R26,0)</f>
        <v>5027019069</v>
      </c>
      <c r="W26" s="384"/>
    </row>
    <row r="27" spans="1:24" ht="15" outlineLevel="1" thickBot="1" x14ac:dyDescent="0.4">
      <c r="P27" s="155" t="s">
        <v>40</v>
      </c>
      <c r="Q27" s="154"/>
      <c r="R27" s="710"/>
      <c r="S27" s="154"/>
      <c r="T27" s="191"/>
      <c r="U27" s="191"/>
      <c r="V27" s="388"/>
    </row>
    <row r="28" spans="1:24" ht="15.5" outlineLevel="1" thickTop="1" thickBot="1" x14ac:dyDescent="0.4">
      <c r="L28" s="135" t="s">
        <v>135</v>
      </c>
      <c r="Q28" s="2"/>
      <c r="R28" s="382">
        <f>R25+R26</f>
        <v>1</v>
      </c>
      <c r="S28" s="3"/>
      <c r="T28" s="915">
        <f>'10B.)Energy_RateDesign_SC1_I'!T14</f>
        <v>23534014</v>
      </c>
      <c r="U28" s="915">
        <f>'10B.)Energy_RateDesign_SC1_I'!V14</f>
        <v>8038086135</v>
      </c>
      <c r="V28" s="717">
        <f>SUM(V25:V27)</f>
        <v>8038086135</v>
      </c>
    </row>
    <row r="29" spans="1:24" ht="15" outlineLevel="1" thickTop="1" x14ac:dyDescent="0.35">
      <c r="J29" s="222" t="s">
        <v>1386</v>
      </c>
      <c r="L29" s="245">
        <f>'[2]6B.)RateChgAllocation'!$M$14+'[2]6B.)RateChgAllocation'!$M$16</f>
        <v>43123684</v>
      </c>
    </row>
    <row r="30" spans="1:24" outlineLevel="1" x14ac:dyDescent="0.35">
      <c r="T30" s="366"/>
      <c r="U30" s="967" t="s">
        <v>463</v>
      </c>
      <c r="V30" s="967" t="s">
        <v>463</v>
      </c>
      <c r="X30" s="372"/>
    </row>
    <row r="31" spans="1:24" outlineLevel="1" x14ac:dyDescent="0.35">
      <c r="J31" s="33" t="s">
        <v>1408</v>
      </c>
      <c r="L31" s="245">
        <f>'[2]6A.)RateChange'!$BJ$18</f>
        <v>2129367945.6876757</v>
      </c>
      <c r="M31" s="143"/>
      <c r="T31" s="150"/>
      <c r="U31" s="30" t="s">
        <v>26</v>
      </c>
      <c r="V31" s="30" t="s">
        <v>44</v>
      </c>
    </row>
    <row r="32" spans="1:24" outlineLevel="1" x14ac:dyDescent="0.35">
      <c r="J32" s="33" t="s">
        <v>1387</v>
      </c>
      <c r="L32" s="245">
        <f>'14A.)Riders__RateDesignSummary'!$E$22+'14A.)Riders__RateDesignSummary'!$E$37</f>
        <v>384305</v>
      </c>
      <c r="M32" s="143"/>
      <c r="P32" s="165" t="s">
        <v>42</v>
      </c>
      <c r="Q32" s="449"/>
      <c r="R32" s="449"/>
      <c r="S32" s="449"/>
      <c r="T32" s="449"/>
      <c r="U32" s="161"/>
      <c r="V32" s="386">
        <f>V6+V20</f>
        <v>2065572313</v>
      </c>
    </row>
    <row r="33" spans="1:22" outlineLevel="1" x14ac:dyDescent="0.35">
      <c r="P33" s="170" t="s">
        <v>42</v>
      </c>
      <c r="Q33" s="450"/>
      <c r="R33" s="450"/>
      <c r="S33" s="450"/>
      <c r="T33" s="450"/>
      <c r="U33" s="156"/>
      <c r="V33" s="387">
        <f>V7+V21</f>
        <v>3425221552</v>
      </c>
    </row>
    <row r="34" spans="1:22" ht="15" outlineLevel="1" thickBot="1" x14ac:dyDescent="0.4">
      <c r="P34" s="168" t="s">
        <v>42</v>
      </c>
      <c r="Q34" s="451"/>
      <c r="R34" s="451"/>
      <c r="S34" s="451"/>
      <c r="T34" s="451"/>
      <c r="U34" s="191"/>
      <c r="V34" s="388"/>
    </row>
    <row r="35" spans="1:22" ht="15.5" outlineLevel="1" thickTop="1" thickBot="1" x14ac:dyDescent="0.4">
      <c r="U35" s="151">
        <f>T9+T23</f>
        <v>11779279</v>
      </c>
      <c r="V35" s="151">
        <f>SUM(V32:V34)</f>
        <v>5490793865</v>
      </c>
    </row>
    <row r="36" spans="1:22" ht="15" outlineLevel="1" thickTop="1" x14ac:dyDescent="0.35"/>
    <row r="37" spans="1:22" outlineLevel="1" x14ac:dyDescent="0.35">
      <c r="P37" s="165" t="s">
        <v>40</v>
      </c>
      <c r="Q37" s="449"/>
      <c r="R37" s="449"/>
      <c r="S37" s="449"/>
      <c r="T37" s="449"/>
      <c r="U37" s="161"/>
      <c r="V37" s="386">
        <f>V11+V25</f>
        <v>3027856183</v>
      </c>
    </row>
    <row r="38" spans="1:22" outlineLevel="1" x14ac:dyDescent="0.35">
      <c r="P38" s="160" t="s">
        <v>40</v>
      </c>
      <c r="Q38" s="450"/>
      <c r="R38" s="450"/>
      <c r="S38" s="450"/>
      <c r="T38" s="450"/>
      <c r="U38" s="156"/>
      <c r="V38" s="387">
        <f>V12+V26</f>
        <v>5052895406</v>
      </c>
    </row>
    <row r="39" spans="1:22" ht="15" outlineLevel="1" thickBot="1" x14ac:dyDescent="0.4">
      <c r="P39" s="155" t="s">
        <v>40</v>
      </c>
      <c r="Q39" s="451"/>
      <c r="R39" s="451"/>
      <c r="S39" s="451"/>
      <c r="T39" s="451"/>
      <c r="U39" s="191"/>
      <c r="V39" s="388"/>
    </row>
    <row r="40" spans="1:22" ht="15.5" outlineLevel="1" thickTop="1" thickBot="1" x14ac:dyDescent="0.4">
      <c r="U40" s="151">
        <f>T14+T28</f>
        <v>23546977</v>
      </c>
      <c r="V40" s="151">
        <f>SUM(V37:V39)</f>
        <v>8080751589</v>
      </c>
    </row>
    <row r="41" spans="1:22" ht="15" outlineLevel="1" thickTop="1" x14ac:dyDescent="0.35"/>
    <row r="42" spans="1:22" s="148" customFormat="1" outlineLevel="1" x14ac:dyDescent="0.35"/>
    <row r="43" spans="1:22" x14ac:dyDescent="0.35">
      <c r="A43" s="407" t="s">
        <v>1651</v>
      </c>
      <c r="B43" s="147"/>
      <c r="C43" s="131"/>
      <c r="D43" s="131"/>
      <c r="E43" s="131"/>
      <c r="F43" s="131"/>
    </row>
    <row r="44" spans="1:22" x14ac:dyDescent="0.35">
      <c r="A44" s="407"/>
      <c r="B44" s="407" t="s">
        <v>150</v>
      </c>
      <c r="C44" s="706">
        <f>$L$3</f>
        <v>2019</v>
      </c>
      <c r="D44" s="131"/>
      <c r="E44" s="131"/>
      <c r="F44" s="131"/>
    </row>
    <row r="45" spans="1:22" x14ac:dyDescent="0.35">
      <c r="A45" s="407"/>
      <c r="B45" s="131" t="s">
        <v>5</v>
      </c>
      <c r="C45" s="706">
        <f>$L$4</f>
        <v>2020</v>
      </c>
      <c r="D45" s="131"/>
      <c r="E45" s="131"/>
      <c r="F45" s="131"/>
    </row>
    <row r="46" spans="1:22" x14ac:dyDescent="0.35">
      <c r="A46" s="406"/>
      <c r="B46" s="41" t="str">
        <f>$A$4</f>
        <v>SC1 Rate II</v>
      </c>
      <c r="C46" s="380" t="s">
        <v>458</v>
      </c>
      <c r="D46" s="133"/>
      <c r="E46" s="133"/>
      <c r="F46" s="133"/>
      <c r="P46"/>
      <c r="Q46"/>
    </row>
    <row r="47" spans="1:22" x14ac:dyDescent="0.35">
      <c r="A47" s="406"/>
      <c r="B47" s="389" t="s">
        <v>463</v>
      </c>
      <c r="C47" t="s">
        <v>1444</v>
      </c>
      <c r="J47" s="894">
        <f>L26</f>
        <v>1514180739.6876757</v>
      </c>
      <c r="K47" s="892" t="s">
        <v>79</v>
      </c>
      <c r="L47" s="143"/>
      <c r="N47" s="130"/>
      <c r="P47"/>
      <c r="Q47"/>
    </row>
    <row r="48" spans="1:22" x14ac:dyDescent="0.35">
      <c r="A48" s="406"/>
      <c r="C48" t="s">
        <v>1389</v>
      </c>
      <c r="J48" s="904">
        <f>L29</f>
        <v>43123684</v>
      </c>
      <c r="K48" s="892" t="s">
        <v>78</v>
      </c>
      <c r="N48" s="130"/>
      <c r="P48"/>
      <c r="Q48"/>
    </row>
    <row r="49" spans="1:17" x14ac:dyDescent="0.35">
      <c r="A49" s="406"/>
      <c r="C49" t="s">
        <v>446</v>
      </c>
      <c r="J49" s="130">
        <f>J47+J48</f>
        <v>1557304423.6876757</v>
      </c>
      <c r="K49" s="892" t="s">
        <v>1580</v>
      </c>
      <c r="N49" s="130"/>
      <c r="P49"/>
      <c r="Q49"/>
    </row>
    <row r="50" spans="1:17" x14ac:dyDescent="0.35">
      <c r="A50" s="406"/>
      <c r="D50" t="s">
        <v>451</v>
      </c>
      <c r="I50" s="894">
        <f>L20</f>
        <v>571172043</v>
      </c>
      <c r="J50" s="136"/>
      <c r="K50" s="892" t="s">
        <v>1173</v>
      </c>
      <c r="P50"/>
      <c r="Q50"/>
    </row>
    <row r="51" spans="1:17" x14ac:dyDescent="0.35">
      <c r="A51" s="406"/>
      <c r="D51" t="s">
        <v>452</v>
      </c>
      <c r="I51" s="903">
        <f>L21</f>
        <v>402214</v>
      </c>
      <c r="J51" s="136"/>
      <c r="K51" s="892" t="s">
        <v>177</v>
      </c>
      <c r="P51"/>
      <c r="Q51"/>
    </row>
    <row r="52" spans="1:17" x14ac:dyDescent="0.35">
      <c r="A52" s="406"/>
      <c r="C52" t="s">
        <v>448</v>
      </c>
      <c r="J52" s="130">
        <f>I50+I51</f>
        <v>571574257</v>
      </c>
      <c r="K52" s="892" t="s">
        <v>1581</v>
      </c>
      <c r="N52" s="130"/>
      <c r="P52"/>
      <c r="Q52"/>
    </row>
    <row r="53" spans="1:17" x14ac:dyDescent="0.35">
      <c r="A53" s="406"/>
      <c r="J53" s="130"/>
      <c r="P53"/>
      <c r="Q53"/>
    </row>
    <row r="54" spans="1:17" x14ac:dyDescent="0.35">
      <c r="A54" s="406"/>
      <c r="C54" s="75" t="s">
        <v>449</v>
      </c>
      <c r="D54" s="75"/>
      <c r="E54" s="75"/>
      <c r="F54" s="75"/>
      <c r="J54" s="347">
        <f>J49+J52</f>
        <v>2128878680.6876757</v>
      </c>
      <c r="K54" s="892" t="s">
        <v>1582</v>
      </c>
      <c r="N54" s="130"/>
      <c r="P54"/>
      <c r="Q54"/>
    </row>
    <row r="55" spans="1:17" x14ac:dyDescent="0.35">
      <c r="A55" s="406"/>
      <c r="L55" s="141"/>
      <c r="P55"/>
      <c r="Q55"/>
    </row>
    <row r="56" spans="1:17" x14ac:dyDescent="0.35">
      <c r="A56" s="406"/>
      <c r="C56" t="s">
        <v>459</v>
      </c>
      <c r="L56" s="141"/>
      <c r="P56"/>
      <c r="Q56"/>
    </row>
    <row r="57" spans="1:17" x14ac:dyDescent="0.35">
      <c r="A57" s="406"/>
      <c r="C57" s="380" t="s">
        <v>450</v>
      </c>
      <c r="L57" s="141"/>
      <c r="P57"/>
      <c r="Q57"/>
    </row>
    <row r="58" spans="1:17" ht="15" thickBot="1" x14ac:dyDescent="0.4">
      <c r="A58" s="406"/>
      <c r="C58" t="s">
        <v>453</v>
      </c>
      <c r="I58" s="540">
        <f>L16+L17</f>
        <v>35326256</v>
      </c>
      <c r="K58" s="892" t="s">
        <v>1583</v>
      </c>
      <c r="L58" s="141"/>
      <c r="P58"/>
      <c r="Q58"/>
    </row>
    <row r="59" spans="1:17" ht="15" thickBot="1" x14ac:dyDescent="0.4">
      <c r="A59" s="406"/>
      <c r="C59" s="400" t="s">
        <v>1519</v>
      </c>
      <c r="D59" s="401"/>
      <c r="E59" s="401"/>
      <c r="F59" s="401"/>
      <c r="G59" s="401"/>
      <c r="H59" s="401"/>
      <c r="I59" s="917">
        <f>F8</f>
        <v>20.46</v>
      </c>
      <c r="J59" s="465"/>
      <c r="K59" s="892" t="s">
        <v>1304</v>
      </c>
      <c r="L59" s="141"/>
      <c r="P59"/>
      <c r="Q59"/>
    </row>
    <row r="60" spans="1:17" x14ac:dyDescent="0.35">
      <c r="A60" s="406"/>
      <c r="C60" t="s">
        <v>457</v>
      </c>
      <c r="J60" s="345">
        <f>ROUND(I58*I59,0)</f>
        <v>722775198</v>
      </c>
      <c r="K60" s="892" t="s">
        <v>1584</v>
      </c>
      <c r="L60" s="141"/>
      <c r="P60"/>
      <c r="Q60"/>
    </row>
    <row r="61" spans="1:17" x14ac:dyDescent="0.35">
      <c r="A61" s="406"/>
      <c r="C61" t="s">
        <v>460</v>
      </c>
      <c r="H61" s="381">
        <f>L9</f>
        <v>1.01108</v>
      </c>
      <c r="I61" s="892" t="s">
        <v>1302</v>
      </c>
      <c r="J61" s="347">
        <f>ROUND(J60*H61,0)</f>
        <v>730783547</v>
      </c>
      <c r="K61" s="892" t="s">
        <v>1585</v>
      </c>
      <c r="L61" s="141"/>
      <c r="N61" s="130"/>
    </row>
    <row r="62" spans="1:17" ht="15" thickBot="1" x14ac:dyDescent="0.4">
      <c r="A62" s="406"/>
      <c r="L62" s="141"/>
    </row>
    <row r="63" spans="1:17" ht="15.5" thickTop="1" thickBot="1" x14ac:dyDescent="0.4">
      <c r="A63" s="406"/>
      <c r="C63" s="131" t="s">
        <v>464</v>
      </c>
      <c r="J63" s="635">
        <f>J54-J61</f>
        <v>1398095133.6876757</v>
      </c>
      <c r="K63" s="892" t="s">
        <v>1586</v>
      </c>
      <c r="L63" s="713"/>
      <c r="M63" s="707"/>
      <c r="N63" s="130"/>
    </row>
    <row r="64" spans="1:17" ht="15" thickTop="1" x14ac:dyDescent="0.35">
      <c r="A64" s="406"/>
      <c r="L64" s="714"/>
    </row>
    <row r="65" spans="1:17" x14ac:dyDescent="0.35">
      <c r="A65" s="406"/>
      <c r="C65" s="380" t="s">
        <v>469</v>
      </c>
      <c r="L65" s="141"/>
    </row>
    <row r="66" spans="1:17" x14ac:dyDescent="0.35">
      <c r="A66" s="406"/>
      <c r="C66" t="s">
        <v>470</v>
      </c>
      <c r="L66" s="141"/>
    </row>
    <row r="67" spans="1:17" x14ac:dyDescent="0.35">
      <c r="A67" s="406"/>
      <c r="C67" t="s">
        <v>465</v>
      </c>
      <c r="L67" s="141"/>
    </row>
    <row r="68" spans="1:17" x14ac:dyDescent="0.35">
      <c r="A68" s="406"/>
      <c r="L68" s="141"/>
    </row>
    <row r="69" spans="1:17" x14ac:dyDescent="0.35">
      <c r="A69" s="406"/>
      <c r="G69" s="30" t="s">
        <v>463</v>
      </c>
      <c r="H69" s="30" t="s">
        <v>293</v>
      </c>
      <c r="I69" s="30" t="s">
        <v>311</v>
      </c>
      <c r="J69" s="30"/>
      <c r="K69" s="30"/>
      <c r="L69" s="30"/>
    </row>
    <row r="70" spans="1:17" x14ac:dyDescent="0.35">
      <c r="A70" s="406"/>
      <c r="D70" s="3" t="s">
        <v>42</v>
      </c>
      <c r="E70" s="3" t="s">
        <v>1392</v>
      </c>
      <c r="G70" s="72">
        <f>$V$32</f>
        <v>2065572313</v>
      </c>
      <c r="H70" s="365">
        <f>E10</f>
        <v>0.36759999999999998</v>
      </c>
      <c r="I70" s="134">
        <f>G70*H70</f>
        <v>759304382.25879991</v>
      </c>
      <c r="K70" s="892" t="s">
        <v>1612</v>
      </c>
      <c r="L70" s="134"/>
    </row>
    <row r="71" spans="1:17" x14ac:dyDescent="0.35">
      <c r="A71" s="406"/>
      <c r="D71" s="3" t="s">
        <v>42</v>
      </c>
      <c r="E71" s="3" t="s">
        <v>467</v>
      </c>
      <c r="G71" s="72">
        <f>$V$33</f>
        <v>3425221552</v>
      </c>
      <c r="H71" s="365">
        <f>E11</f>
        <v>1.41E-2</v>
      </c>
      <c r="I71" s="134">
        <f t="shared" ref="I71:I73" si="0">G71*H71</f>
        <v>48295623.883199997</v>
      </c>
      <c r="K71" s="892" t="s">
        <v>1613</v>
      </c>
      <c r="L71" s="30"/>
    </row>
    <row r="72" spans="1:17" x14ac:dyDescent="0.35">
      <c r="A72" s="406"/>
      <c r="D72" s="3" t="s">
        <v>40</v>
      </c>
      <c r="E72" s="3" t="s">
        <v>1392</v>
      </c>
      <c r="G72" s="72">
        <f>$V$37</f>
        <v>3027856183</v>
      </c>
      <c r="H72" s="365">
        <f>E12</f>
        <v>0.13339999999999999</v>
      </c>
      <c r="I72" s="134">
        <f t="shared" si="0"/>
        <v>403916014.81219995</v>
      </c>
      <c r="K72" s="892" t="s">
        <v>1614</v>
      </c>
      <c r="L72" s="134"/>
    </row>
    <row r="73" spans="1:17" ht="15" thickBot="1" x14ac:dyDescent="0.4">
      <c r="A73" s="406"/>
      <c r="D73" s="3" t="s">
        <v>40</v>
      </c>
      <c r="E73" s="3" t="s">
        <v>467</v>
      </c>
      <c r="G73" s="67">
        <f>$V$38</f>
        <v>5052895406</v>
      </c>
      <c r="H73" s="365">
        <f>E13</f>
        <v>1.41E-2</v>
      </c>
      <c r="I73" s="134">
        <f t="shared" si="0"/>
        <v>71245825.224600002</v>
      </c>
      <c r="K73" s="892" t="s">
        <v>1615</v>
      </c>
      <c r="L73" s="141"/>
    </row>
    <row r="74" spans="1:17" ht="15.5" thickTop="1" thickBot="1" x14ac:dyDescent="0.4">
      <c r="A74" s="406"/>
      <c r="C74" s="390" t="s">
        <v>1587</v>
      </c>
      <c r="D74" s="3"/>
      <c r="E74" s="3"/>
      <c r="G74" s="905">
        <f>SUM(G70:G73)</f>
        <v>13571545454</v>
      </c>
      <c r="H74" s="892" t="s">
        <v>1588</v>
      </c>
      <c r="I74" s="134"/>
      <c r="J74" s="128">
        <f>ROUND(SUM(I70:I73),0)</f>
        <v>1282761846</v>
      </c>
      <c r="K74" s="892" t="s">
        <v>1589</v>
      </c>
      <c r="L74" s="141"/>
    </row>
    <row r="75" spans="1:17" ht="15" thickTop="1" x14ac:dyDescent="0.35">
      <c r="A75" s="406"/>
      <c r="L75" s="141"/>
    </row>
    <row r="76" spans="1:17" x14ac:dyDescent="0.35">
      <c r="A76" s="406"/>
      <c r="I76" s="367" t="s">
        <v>468</v>
      </c>
      <c r="J76" s="909">
        <f>ROUND(J63/J74-1,8)</f>
        <v>8.9910130000000005E-2</v>
      </c>
      <c r="K76" s="892" t="s">
        <v>1590</v>
      </c>
      <c r="L76" s="141"/>
    </row>
    <row r="77" spans="1:17" x14ac:dyDescent="0.35">
      <c r="A77" s="406"/>
      <c r="L77" s="141"/>
    </row>
    <row r="78" spans="1:17" x14ac:dyDescent="0.35">
      <c r="A78" s="407" t="s">
        <v>413</v>
      </c>
      <c r="P78"/>
      <c r="Q78"/>
    </row>
    <row r="79" spans="1:17" ht="15" thickBot="1" x14ac:dyDescent="0.4">
      <c r="A79" s="406"/>
    </row>
    <row r="80" spans="1:17" ht="15.5" thickTop="1" thickBot="1" x14ac:dyDescent="0.4">
      <c r="A80" s="406"/>
      <c r="B80" s="41" t="str">
        <f>$A$4</f>
        <v>SC1 Rate II</v>
      </c>
      <c r="C80" s="3"/>
      <c r="D80" s="3"/>
      <c r="E80" s="3"/>
      <c r="F80" s="3"/>
      <c r="G80" s="3"/>
      <c r="H80" s="1316" t="s">
        <v>680</v>
      </c>
      <c r="I80" s="1317"/>
      <c r="J80" s="1318"/>
      <c r="K80" s="3"/>
      <c r="L80" s="1307" t="s">
        <v>81</v>
      </c>
      <c r="M80" s="1308"/>
      <c r="N80" s="1309"/>
      <c r="P80"/>
      <c r="Q80"/>
    </row>
    <row r="81" spans="1:17" ht="15" thickTop="1" x14ac:dyDescent="0.35">
      <c r="A81" s="406"/>
      <c r="B81" s="3"/>
      <c r="C81" s="3"/>
      <c r="E81" s="30"/>
      <c r="F81" s="3"/>
      <c r="G81" s="3"/>
      <c r="H81" s="30" t="s">
        <v>42</v>
      </c>
      <c r="I81" s="30"/>
      <c r="J81" s="30" t="s">
        <v>40</v>
      </c>
      <c r="K81" s="3"/>
      <c r="L81" s="30" t="s">
        <v>42</v>
      </c>
      <c r="M81" s="86"/>
      <c r="N81" s="30" t="s">
        <v>40</v>
      </c>
      <c r="P81"/>
      <c r="Q81"/>
    </row>
    <row r="82" spans="1:17" x14ac:dyDescent="0.35">
      <c r="A82" s="406"/>
      <c r="B82" s="3"/>
      <c r="C82" s="3"/>
      <c r="G82" s="3"/>
      <c r="H82" s="35"/>
      <c r="I82" s="35"/>
      <c r="J82" s="35"/>
      <c r="K82" s="3"/>
      <c r="L82" s="30"/>
      <c r="M82" s="86"/>
      <c r="N82" s="30"/>
      <c r="P82"/>
      <c r="Q82"/>
    </row>
    <row r="83" spans="1:17" x14ac:dyDescent="0.35">
      <c r="A83" s="406"/>
      <c r="B83" s="3"/>
      <c r="C83" s="3" t="s">
        <v>163</v>
      </c>
      <c r="G83" s="3"/>
      <c r="H83" s="35"/>
      <c r="I83" s="35"/>
      <c r="J83" s="35"/>
      <c r="K83" s="3"/>
      <c r="L83" s="30"/>
      <c r="M83" s="86"/>
      <c r="N83" s="30"/>
      <c r="P83"/>
      <c r="Q83"/>
    </row>
    <row r="84" spans="1:17" x14ac:dyDescent="0.35">
      <c r="A84" s="406"/>
      <c r="C84" t="s">
        <v>377</v>
      </c>
      <c r="E84" s="123"/>
      <c r="F84" s="121" t="str">
        <f>S6</f>
        <v>On Peak</v>
      </c>
      <c r="G84" s="123"/>
      <c r="H84" s="348">
        <f>E10</f>
        <v>0.36759999999999998</v>
      </c>
      <c r="I84" s="892" t="s">
        <v>165</v>
      </c>
      <c r="J84" s="348">
        <f>E12</f>
        <v>0.13339999999999999</v>
      </c>
      <c r="K84" s="892" t="s">
        <v>138</v>
      </c>
      <c r="L84" s="27">
        <f>H84-J$85</f>
        <v>0.35349999999999998</v>
      </c>
      <c r="M84" s="61" t="s">
        <v>1553</v>
      </c>
      <c r="N84" s="27">
        <f>J84-J$85</f>
        <v>0.11929999999999999</v>
      </c>
      <c r="O84" s="61" t="s">
        <v>1555</v>
      </c>
      <c r="P84"/>
      <c r="Q84"/>
    </row>
    <row r="85" spans="1:17" x14ac:dyDescent="0.35">
      <c r="B85" s="3"/>
      <c r="C85" s="3" t="s">
        <v>376</v>
      </c>
      <c r="D85" s="3"/>
      <c r="E85" s="123"/>
      <c r="F85" s="121" t="str">
        <f>S7</f>
        <v>Off Peak</v>
      </c>
      <c r="G85" s="36"/>
      <c r="H85" s="348">
        <f>E11</f>
        <v>1.41E-2</v>
      </c>
      <c r="I85" s="892" t="s">
        <v>166</v>
      </c>
      <c r="J85" s="348">
        <f>E13</f>
        <v>1.41E-2</v>
      </c>
      <c r="K85" s="892" t="s">
        <v>101</v>
      </c>
      <c r="L85" s="27">
        <f>H85-J$85</f>
        <v>0</v>
      </c>
      <c r="M85" s="61" t="s">
        <v>1554</v>
      </c>
      <c r="N85" s="112"/>
      <c r="O85" s="61" t="s">
        <v>1091</v>
      </c>
      <c r="P85"/>
      <c r="Q85"/>
    </row>
    <row r="86" spans="1:17" x14ac:dyDescent="0.35">
      <c r="B86" s="3"/>
      <c r="C86" s="3"/>
      <c r="D86" s="3"/>
      <c r="E86" s="3"/>
      <c r="F86" s="3"/>
      <c r="G86" s="36"/>
      <c r="P86"/>
      <c r="Q86"/>
    </row>
    <row r="87" spans="1:17" x14ac:dyDescent="0.35">
      <c r="B87" s="3"/>
      <c r="E87" s="123"/>
      <c r="F87" s="123"/>
      <c r="G87" s="36"/>
      <c r="I87" s="120"/>
      <c r="J87" s="120"/>
      <c r="K87" s="3"/>
      <c r="L87" s="27"/>
      <c r="M87" s="61"/>
      <c r="N87" s="61"/>
      <c r="P87"/>
      <c r="Q87"/>
    </row>
    <row r="88" spans="1:17" ht="15" thickBot="1" x14ac:dyDescent="0.4">
      <c r="K88" s="100" t="s">
        <v>431</v>
      </c>
      <c r="L88" s="906">
        <f>J76</f>
        <v>8.9910130000000005E-2</v>
      </c>
      <c r="M88" s="61" t="s">
        <v>1591</v>
      </c>
      <c r="P88"/>
    </row>
    <row r="89" spans="1:17" ht="15.5" thickTop="1" thickBot="1" x14ac:dyDescent="0.4">
      <c r="D89" s="1"/>
      <c r="E89" s="1"/>
      <c r="F89" s="1"/>
      <c r="L89" s="1307" t="s">
        <v>76</v>
      </c>
      <c r="M89" s="1308"/>
      <c r="N89" s="1309"/>
      <c r="P89"/>
      <c r="Q89"/>
    </row>
    <row r="90" spans="1:17" ht="15.5" thickTop="1" thickBot="1" x14ac:dyDescent="0.4">
      <c r="C90" s="70" t="s">
        <v>77</v>
      </c>
      <c r="D90" s="1"/>
      <c r="E90" s="1"/>
      <c r="F90" s="1"/>
      <c r="G90" s="118" t="s">
        <v>42</v>
      </c>
      <c r="H90" s="118" t="s">
        <v>40</v>
      </c>
      <c r="L90" s="30" t="s">
        <v>42</v>
      </c>
      <c r="M90" s="86"/>
      <c r="N90" s="30" t="s">
        <v>40</v>
      </c>
      <c r="P90"/>
      <c r="Q90"/>
    </row>
    <row r="91" spans="1:17" x14ac:dyDescent="0.35">
      <c r="C91" t="s">
        <v>377</v>
      </c>
      <c r="D91" s="121"/>
      <c r="E91" s="122"/>
      <c r="F91" s="121" t="str">
        <f>$F$84</f>
        <v>On Peak</v>
      </c>
      <c r="G91" s="117" t="str">
        <f>CONCATENATE("X + ",L91)</f>
        <v>X + 0.3853</v>
      </c>
      <c r="H91" s="116" t="str">
        <f>CONCATENATE("X + ",N91)</f>
        <v>X + 0.13</v>
      </c>
      <c r="L91" s="907">
        <f>ROUND(L84*(1+$L$88),4)</f>
        <v>0.38529999999999998</v>
      </c>
      <c r="M91" s="61" t="s">
        <v>1592</v>
      </c>
      <c r="N91" s="223">
        <f>ROUND(N84*(1+$L$88),4)</f>
        <v>0.13</v>
      </c>
      <c r="O91" s="61" t="s">
        <v>1594</v>
      </c>
      <c r="P91"/>
      <c r="Q91"/>
    </row>
    <row r="92" spans="1:17" x14ac:dyDescent="0.35">
      <c r="D92" s="1"/>
      <c r="E92" s="1"/>
      <c r="F92" s="1"/>
      <c r="G92" s="114"/>
      <c r="H92" s="113"/>
      <c r="L92" s="3"/>
      <c r="M92" s="61"/>
      <c r="N92" s="3"/>
      <c r="O92" s="61"/>
      <c r="P92"/>
      <c r="Q92"/>
    </row>
    <row r="93" spans="1:17" ht="15" thickBot="1" x14ac:dyDescent="0.4">
      <c r="C93" s="3" t="s">
        <v>376</v>
      </c>
      <c r="D93" s="2"/>
      <c r="E93" s="122"/>
      <c r="F93" s="121" t="str">
        <f>$F$85</f>
        <v>Off Peak</v>
      </c>
      <c r="G93" s="111" t="str">
        <f>CONCATENATE("X + ",L93)</f>
        <v>X + 0</v>
      </c>
      <c r="H93" s="350" t="s">
        <v>32</v>
      </c>
      <c r="L93" s="223">
        <f>ROUND(L85*(1+$L$88),4)</f>
        <v>0</v>
      </c>
      <c r="M93" s="61" t="s">
        <v>1593</v>
      </c>
      <c r="N93" s="223">
        <f>ROUND(N85*(1+$L$88),4)</f>
        <v>0</v>
      </c>
      <c r="O93" s="61" t="s">
        <v>1595</v>
      </c>
      <c r="P93"/>
      <c r="Q93"/>
    </row>
    <row r="94" spans="1:17" x14ac:dyDescent="0.35">
      <c r="D94" s="1"/>
      <c r="E94" s="1"/>
      <c r="F94" s="1"/>
      <c r="P94"/>
      <c r="Q94"/>
    </row>
    <row r="95" spans="1:17" x14ac:dyDescent="0.35">
      <c r="D95" s="1"/>
      <c r="E95" s="1"/>
      <c r="F95" s="1"/>
      <c r="P95"/>
      <c r="Q95"/>
    </row>
    <row r="96" spans="1:17" x14ac:dyDescent="0.35">
      <c r="B96" s="334" t="s">
        <v>46</v>
      </c>
      <c r="P96"/>
      <c r="Q96"/>
    </row>
    <row r="97" spans="2:17" x14ac:dyDescent="0.35">
      <c r="B97" s="41" t="str">
        <f>$A$4</f>
        <v>SC1 Rate II</v>
      </c>
      <c r="P97"/>
      <c r="Q97"/>
    </row>
    <row r="98" spans="2:17" ht="15" thickBot="1" x14ac:dyDescent="0.4">
      <c r="B98" s="70" t="s">
        <v>414</v>
      </c>
      <c r="C98" s="70"/>
      <c r="D98" s="70"/>
      <c r="E98" s="3"/>
      <c r="F98" s="3"/>
      <c r="I98" s="30" t="s">
        <v>463</v>
      </c>
      <c r="J98" s="3"/>
      <c r="K98" s="3"/>
      <c r="P98"/>
      <c r="Q98"/>
    </row>
    <row r="99" spans="2:17" x14ac:dyDescent="0.35">
      <c r="B99" s="3"/>
      <c r="C99" s="3" t="s">
        <v>42</v>
      </c>
      <c r="D99" s="108" t="str">
        <f>CONCATENATE(D84,E84,F84," kWh")</f>
        <v>On Peak kWh</v>
      </c>
      <c r="I99" s="72">
        <f>$V$32</f>
        <v>2065572313</v>
      </c>
      <c r="J99" s="36" t="s">
        <v>39</v>
      </c>
      <c r="K99" s="74" t="str">
        <f>CONCATENATE("[",G91,"]")</f>
        <v>[X + 0.3853]</v>
      </c>
      <c r="L99" s="61" t="s">
        <v>1558</v>
      </c>
      <c r="P99"/>
      <c r="Q99"/>
    </row>
    <row r="100" spans="2:17" x14ac:dyDescent="0.35">
      <c r="B100" s="3"/>
      <c r="C100" s="3" t="s">
        <v>42</v>
      </c>
      <c r="D100" s="108" t="str">
        <f>CONCATENATE(D85,E85,F85," kWh")</f>
        <v>Off Peak kWh</v>
      </c>
      <c r="I100" s="72">
        <f>$V$33</f>
        <v>3425221552</v>
      </c>
      <c r="J100" s="36" t="s">
        <v>39</v>
      </c>
      <c r="K100" s="107" t="str">
        <f>CONCATENATE("[",G93,"]")</f>
        <v>[X + 0]</v>
      </c>
      <c r="L100" s="61" t="s">
        <v>1559</v>
      </c>
      <c r="P100"/>
      <c r="Q100"/>
    </row>
    <row r="101" spans="2:17" x14ac:dyDescent="0.35">
      <c r="B101" s="3"/>
      <c r="C101" s="3" t="s">
        <v>40</v>
      </c>
      <c r="D101" s="3" t="str">
        <f>D99</f>
        <v>On Peak kWh</v>
      </c>
      <c r="I101" s="72">
        <f>$V$37</f>
        <v>3027856183</v>
      </c>
      <c r="J101" s="36" t="s">
        <v>39</v>
      </c>
      <c r="K101" s="73" t="str">
        <f>CONCATENATE("[",H91,"]")</f>
        <v>[X + 0.13]</v>
      </c>
      <c r="L101" s="61" t="s">
        <v>1560</v>
      </c>
      <c r="P101"/>
      <c r="Q101"/>
    </row>
    <row r="102" spans="2:17" ht="15" thickBot="1" x14ac:dyDescent="0.4">
      <c r="B102" s="3"/>
      <c r="C102" s="3" t="s">
        <v>40</v>
      </c>
      <c r="D102" s="3" t="str">
        <f>D100</f>
        <v>Off Peak kWh</v>
      </c>
      <c r="I102" s="351">
        <f>$V$38</f>
        <v>5052895406</v>
      </c>
      <c r="J102" s="36" t="s">
        <v>39</v>
      </c>
      <c r="K102" s="71" t="str">
        <f>CONCATENATE("[",H93,"]")</f>
        <v>[X]</v>
      </c>
      <c r="L102" s="61" t="s">
        <v>1642</v>
      </c>
      <c r="P102"/>
      <c r="Q102"/>
    </row>
    <row r="103" spans="2:17" x14ac:dyDescent="0.35">
      <c r="I103" s="28">
        <f>SUM(I99:I102)</f>
        <v>13571545454</v>
      </c>
      <c r="J103" s="61" t="s">
        <v>1596</v>
      </c>
    </row>
    <row r="105" spans="2:17" x14ac:dyDescent="0.35">
      <c r="B105" s="70" t="s">
        <v>472</v>
      </c>
      <c r="P105"/>
      <c r="Q105"/>
    </row>
    <row r="106" spans="2:17" x14ac:dyDescent="0.35">
      <c r="B106" s="41" t="str">
        <f>$A$4</f>
        <v>SC1 Rate II</v>
      </c>
      <c r="F106" s="3"/>
      <c r="G106" s="3"/>
      <c r="H106" s="3"/>
      <c r="I106" s="69" t="s">
        <v>44</v>
      </c>
      <c r="J106" s="3"/>
      <c r="K106" s="106"/>
      <c r="L106" s="3"/>
      <c r="M106" s="3"/>
      <c r="N106" s="17"/>
      <c r="P106"/>
      <c r="Q106"/>
    </row>
    <row r="107" spans="2:17" x14ac:dyDescent="0.35">
      <c r="C107" s="3" t="s">
        <v>42</v>
      </c>
      <c r="D107" s="392" t="str">
        <f>D99</f>
        <v>On Peak kWh</v>
      </c>
      <c r="H107" s="3"/>
      <c r="I107" s="105">
        <f>I99</f>
        <v>2065572313</v>
      </c>
      <c r="J107" s="65" t="s">
        <v>63</v>
      </c>
      <c r="K107" s="26">
        <f>ROUND(I107*L91,0)</f>
        <v>795865012</v>
      </c>
      <c r="L107" s="3" t="s">
        <v>62</v>
      </c>
      <c r="M107" s="61" t="s">
        <v>1564</v>
      </c>
      <c r="N107" s="17"/>
      <c r="P107"/>
      <c r="Q107"/>
    </row>
    <row r="108" spans="2:17" x14ac:dyDescent="0.35">
      <c r="C108" s="3" t="s">
        <v>42</v>
      </c>
      <c r="D108" s="392" t="str">
        <f>D100</f>
        <v>Off Peak kWh</v>
      </c>
      <c r="H108" s="3"/>
      <c r="I108" s="105">
        <f>I100</f>
        <v>3425221552</v>
      </c>
      <c r="J108" s="65" t="s">
        <v>63</v>
      </c>
      <c r="K108" s="26">
        <f>ROUND(I108*L93,0)</f>
        <v>0</v>
      </c>
      <c r="L108" s="3" t="s">
        <v>62</v>
      </c>
      <c r="M108" s="61" t="s">
        <v>1565</v>
      </c>
      <c r="N108" s="17"/>
      <c r="P108"/>
      <c r="Q108"/>
    </row>
    <row r="109" spans="2:17" x14ac:dyDescent="0.35">
      <c r="C109" s="3" t="s">
        <v>40</v>
      </c>
      <c r="D109" s="392" t="str">
        <f>D101</f>
        <v>On Peak kWh</v>
      </c>
      <c r="H109" s="3"/>
      <c r="I109" s="105">
        <f>I101</f>
        <v>3027856183</v>
      </c>
      <c r="J109" s="65" t="s">
        <v>63</v>
      </c>
      <c r="K109" s="26">
        <f>ROUND(I109*N91,0)</f>
        <v>393621304</v>
      </c>
      <c r="L109" s="3" t="s">
        <v>62</v>
      </c>
      <c r="M109" s="61" t="s">
        <v>1566</v>
      </c>
      <c r="N109" s="17"/>
      <c r="P109"/>
      <c r="Q109"/>
    </row>
    <row r="110" spans="2:17" x14ac:dyDescent="0.35">
      <c r="C110" s="3" t="s">
        <v>40</v>
      </c>
      <c r="D110" s="392" t="str">
        <f>D102</f>
        <v>Off Peak kWh</v>
      </c>
      <c r="H110" s="3"/>
      <c r="I110" s="351">
        <f>I102</f>
        <v>5052895406</v>
      </c>
      <c r="J110" s="65" t="s">
        <v>63</v>
      </c>
      <c r="K110" s="37">
        <f>ROUND(I110*N93,0)</f>
        <v>0</v>
      </c>
      <c r="L110" s="3" t="s">
        <v>62</v>
      </c>
      <c r="M110" s="61" t="s">
        <v>1561</v>
      </c>
      <c r="N110" s="17"/>
      <c r="P110"/>
      <c r="Q110"/>
    </row>
    <row r="111" spans="2:17" x14ac:dyDescent="0.35">
      <c r="C111" s="3"/>
      <c r="F111" s="66"/>
      <c r="G111" s="908">
        <f>J63</f>
        <v>1398095133.6876757</v>
      </c>
      <c r="H111" s="63" t="s">
        <v>31</v>
      </c>
      <c r="I111" s="28">
        <f>SUM(I107:I110)</f>
        <v>13571545454</v>
      </c>
      <c r="J111" s="65" t="s">
        <v>63</v>
      </c>
      <c r="K111" s="103">
        <f>SUM(K107:K110)</f>
        <v>1189486316</v>
      </c>
      <c r="L111" s="3" t="s">
        <v>1597</v>
      </c>
      <c r="M111" s="61" t="s">
        <v>1598</v>
      </c>
      <c r="N111" s="17"/>
      <c r="P111"/>
      <c r="Q111"/>
    </row>
    <row r="112" spans="2:17" x14ac:dyDescent="0.35">
      <c r="F112" s="3"/>
      <c r="G112" s="3"/>
      <c r="H112" s="3"/>
      <c r="I112" s="3"/>
      <c r="J112" s="3"/>
      <c r="K112" s="3"/>
      <c r="L112" s="3"/>
      <c r="M112" s="61" t="s">
        <v>1599</v>
      </c>
      <c r="N112" s="17"/>
      <c r="P112"/>
      <c r="Q112"/>
    </row>
    <row r="113" spans="2:17" x14ac:dyDescent="0.35">
      <c r="F113" s="34"/>
      <c r="G113" s="34">
        <f>G111-K111</f>
        <v>208608817.68767571</v>
      </c>
      <c r="H113" s="63" t="s">
        <v>31</v>
      </c>
      <c r="I113" s="28">
        <f>I111</f>
        <v>13571545454</v>
      </c>
      <c r="J113" s="65" t="s">
        <v>32</v>
      </c>
      <c r="K113" s="3"/>
      <c r="L113" s="3"/>
      <c r="M113" s="61" t="s">
        <v>1600</v>
      </c>
      <c r="N113" s="17"/>
      <c r="P113"/>
      <c r="Q113"/>
    </row>
    <row r="114" spans="2:17" ht="15" thickBot="1" x14ac:dyDescent="0.4">
      <c r="F114" s="3"/>
      <c r="G114" s="3"/>
      <c r="H114" s="3"/>
      <c r="I114" s="3"/>
      <c r="J114" s="3"/>
      <c r="K114" s="34"/>
      <c r="L114" s="34"/>
      <c r="M114" s="34"/>
      <c r="N114" s="17"/>
      <c r="P114"/>
      <c r="Q114"/>
    </row>
    <row r="115" spans="2:17" ht="15.5" thickTop="1" thickBot="1" x14ac:dyDescent="0.4">
      <c r="F115" s="64"/>
      <c r="G115" s="101" t="s">
        <v>32</v>
      </c>
      <c r="H115" s="63" t="s">
        <v>31</v>
      </c>
      <c r="I115" s="352">
        <f>ROUND(G113/I113,4)</f>
        <v>1.54E-2</v>
      </c>
      <c r="J115" s="61" t="s">
        <v>1601</v>
      </c>
      <c r="K115" s="143"/>
      <c r="L115" s="34"/>
      <c r="M115" s="61" t="s">
        <v>1602</v>
      </c>
      <c r="N115" s="17"/>
      <c r="P115"/>
      <c r="Q115"/>
    </row>
    <row r="116" spans="2:17" ht="15" thickTop="1" x14ac:dyDescent="0.35">
      <c r="P116"/>
      <c r="Q116"/>
    </row>
    <row r="118" spans="2:17" x14ac:dyDescent="0.35">
      <c r="B118" s="334" t="str">
        <f>CONCATENATE($A$4," at Proposed T&amp;D Rates")</f>
        <v>SC1 Rate II at Proposed T&amp;D Rates</v>
      </c>
      <c r="P118"/>
      <c r="Q118"/>
    </row>
    <row r="119" spans="2:17" ht="15" thickBot="1" x14ac:dyDescent="0.4">
      <c r="B119" s="42"/>
      <c r="P119"/>
      <c r="Q119"/>
    </row>
    <row r="120" spans="2:17" ht="15" thickBot="1" x14ac:dyDescent="0.4">
      <c r="C120" s="60" t="s">
        <v>5</v>
      </c>
      <c r="D120" s="353">
        <f>$L$4</f>
        <v>2020</v>
      </c>
      <c r="E120" s="58"/>
      <c r="F120" s="58"/>
      <c r="G120" s="59"/>
      <c r="H120" s="59"/>
      <c r="I120" s="59"/>
      <c r="J120" s="59"/>
      <c r="K120" s="98"/>
      <c r="L120" s="3"/>
      <c r="M120" s="3"/>
      <c r="N120" s="17"/>
      <c r="O120" s="3"/>
      <c r="P120"/>
      <c r="Q120"/>
    </row>
    <row r="121" spans="2:17" ht="15.5" thickTop="1" thickBot="1" x14ac:dyDescent="0.4">
      <c r="C121" s="96"/>
      <c r="D121" s="44"/>
      <c r="E121" s="44"/>
      <c r="F121" s="44"/>
      <c r="G121" s="44"/>
      <c r="H121" s="1307" t="s">
        <v>415</v>
      </c>
      <c r="I121" s="1308"/>
      <c r="J121" s="1309"/>
      <c r="K121" s="94"/>
      <c r="L121" s="3"/>
      <c r="M121" s="1307" t="s">
        <v>471</v>
      </c>
      <c r="N121" s="1308"/>
      <c r="O121" s="1309"/>
      <c r="P121"/>
      <c r="Q121"/>
    </row>
    <row r="122" spans="2:17" ht="15" thickTop="1" x14ac:dyDescent="0.35">
      <c r="C122" s="96"/>
      <c r="D122" s="44"/>
      <c r="E122" s="44"/>
      <c r="F122" s="44"/>
      <c r="G122" s="44"/>
      <c r="H122" s="56" t="s">
        <v>10</v>
      </c>
      <c r="I122" s="44"/>
      <c r="J122" s="56" t="s">
        <v>7</v>
      </c>
      <c r="K122" s="94"/>
      <c r="L122" s="3"/>
      <c r="M122" s="56" t="s">
        <v>10</v>
      </c>
      <c r="N122" s="44"/>
      <c r="O122" s="56" t="s">
        <v>7</v>
      </c>
      <c r="P122"/>
      <c r="Q122"/>
    </row>
    <row r="123" spans="2:17" x14ac:dyDescent="0.35">
      <c r="C123" s="96" t="s">
        <v>474</v>
      </c>
      <c r="D123" s="44"/>
      <c r="E123" s="44"/>
      <c r="F123" s="44"/>
      <c r="G123" s="44"/>
      <c r="H123" s="354">
        <f>F18</f>
        <v>16</v>
      </c>
      <c r="I123" s="44"/>
      <c r="J123" s="354">
        <f>J125-J124</f>
        <v>16</v>
      </c>
      <c r="K123" s="94"/>
      <c r="L123" s="3"/>
      <c r="M123" s="56"/>
      <c r="N123" s="44"/>
      <c r="O123" s="56"/>
      <c r="P123"/>
      <c r="Q123"/>
    </row>
    <row r="124" spans="2:17" x14ac:dyDescent="0.35">
      <c r="C124" s="96" t="s">
        <v>1391</v>
      </c>
      <c r="D124" s="44"/>
      <c r="E124" s="44"/>
      <c r="F124" s="44"/>
      <c r="G124" s="44"/>
      <c r="H124" s="921">
        <f>F17</f>
        <v>4.46</v>
      </c>
      <c r="I124" s="852"/>
      <c r="J124" s="921">
        <f>H124</f>
        <v>4.46</v>
      </c>
      <c r="K124" s="94"/>
      <c r="L124" s="3"/>
      <c r="M124" s="56"/>
      <c r="N124" s="44"/>
      <c r="O124" s="56"/>
      <c r="P124"/>
      <c r="Q124"/>
    </row>
    <row r="125" spans="2:17" x14ac:dyDescent="0.35">
      <c r="C125" s="96" t="s">
        <v>1394</v>
      </c>
      <c r="D125" s="44"/>
      <c r="E125" s="44"/>
      <c r="F125" s="44"/>
      <c r="G125" s="44"/>
      <c r="H125" s="354">
        <f>H123+H124</f>
        <v>20.46</v>
      </c>
      <c r="I125" s="358" t="s">
        <v>109</v>
      </c>
      <c r="J125" s="354">
        <f>H125</f>
        <v>20.46</v>
      </c>
      <c r="K125" s="359" t="s">
        <v>1638</v>
      </c>
      <c r="L125" s="3"/>
      <c r="M125" s="3"/>
      <c r="N125" s="3"/>
      <c r="P125"/>
      <c r="Q125"/>
    </row>
    <row r="126" spans="2:17" x14ac:dyDescent="0.35">
      <c r="C126" s="96" t="s">
        <v>377</v>
      </c>
      <c r="D126" s="355"/>
      <c r="E126" s="356"/>
      <c r="F126" s="355" t="str">
        <f>$F$84</f>
        <v>On Peak</v>
      </c>
      <c r="G126" s="44"/>
      <c r="H126" s="357">
        <f>$I$115+L91</f>
        <v>0.4007</v>
      </c>
      <c r="I126" s="358" t="s">
        <v>108</v>
      </c>
      <c r="J126" s="357">
        <f>$I$115+N91</f>
        <v>0.1454</v>
      </c>
      <c r="K126" s="359" t="s">
        <v>1639</v>
      </c>
      <c r="L126" s="3"/>
      <c r="M126" s="81">
        <f>ROUND(H126/H84-1,4)</f>
        <v>0.09</v>
      </c>
      <c r="N126" s="358" t="s">
        <v>1605</v>
      </c>
      <c r="O126" s="81">
        <f>ROUND(J126/J84-1,4)</f>
        <v>0.09</v>
      </c>
      <c r="P126" s="54" t="s">
        <v>1607</v>
      </c>
      <c r="Q126"/>
    </row>
    <row r="127" spans="2:17" x14ac:dyDescent="0.35">
      <c r="C127" s="96" t="s">
        <v>376</v>
      </c>
      <c r="D127" s="360"/>
      <c r="E127" s="356"/>
      <c r="F127" s="355" t="str">
        <f>$F$85</f>
        <v>Off Peak</v>
      </c>
      <c r="G127" s="44"/>
      <c r="H127" s="357">
        <f>$I$115+L93</f>
        <v>1.54E-2</v>
      </c>
      <c r="I127" s="358" t="s">
        <v>1574</v>
      </c>
      <c r="J127" s="357">
        <f>I115</f>
        <v>1.54E-2</v>
      </c>
      <c r="K127" s="359" t="s">
        <v>1640</v>
      </c>
      <c r="L127" s="3"/>
      <c r="M127" s="81">
        <f>ROUND(H127/H85-1,4)</f>
        <v>9.2200000000000004E-2</v>
      </c>
      <c r="N127" s="358" t="s">
        <v>1606</v>
      </c>
      <c r="O127" s="81">
        <f>ROUND(J127/J85-1,4)</f>
        <v>9.2200000000000004E-2</v>
      </c>
      <c r="P127" s="54" t="s">
        <v>1608</v>
      </c>
      <c r="Q127"/>
    </row>
    <row r="128" spans="2:17" ht="15" thickBot="1" x14ac:dyDescent="0.4">
      <c r="C128" s="93"/>
      <c r="D128" s="46"/>
      <c r="E128" s="46"/>
      <c r="F128" s="46"/>
      <c r="G128" s="46"/>
      <c r="H128" s="46"/>
      <c r="I128" s="46"/>
      <c r="J128" s="46"/>
      <c r="K128" s="91"/>
      <c r="L128" s="3"/>
      <c r="M128" s="81"/>
      <c r="N128" s="3"/>
      <c r="O128" s="81"/>
      <c r="P128"/>
      <c r="Q128"/>
    </row>
    <row r="129" spans="1:17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/>
      <c r="Q129"/>
    </row>
    <row r="130" spans="1:17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/>
      <c r="Q130"/>
    </row>
    <row r="131" spans="1:17" x14ac:dyDescent="0.35">
      <c r="A131" s="334" t="s">
        <v>1579</v>
      </c>
      <c r="B131" s="410"/>
      <c r="C131" s="3"/>
      <c r="D131" s="3"/>
      <c r="E131" s="3"/>
      <c r="F131" s="3"/>
      <c r="G131" s="3"/>
      <c r="H131" s="3"/>
      <c r="I131" s="3"/>
      <c r="P131"/>
      <c r="Q131"/>
    </row>
    <row r="132" spans="1:17" x14ac:dyDescent="0.35">
      <c r="A132" s="334"/>
      <c r="B132" s="410"/>
      <c r="C132" s="3"/>
      <c r="D132" s="3"/>
      <c r="E132" s="3"/>
      <c r="F132" s="3"/>
      <c r="G132" s="3"/>
      <c r="H132" s="3"/>
      <c r="I132" s="3"/>
      <c r="P132"/>
      <c r="Q132"/>
    </row>
    <row r="133" spans="1:17" ht="15" thickBot="1" x14ac:dyDescent="0.4">
      <c r="A133" s="334"/>
      <c r="B133" s="334" t="str">
        <f>CONCATENATE($A$4," at Proposed T&amp;D Rates")</f>
        <v>SC1 Rate II at Proposed T&amp;D Rates</v>
      </c>
      <c r="C133" s="3"/>
      <c r="D133" s="3"/>
      <c r="E133" s="3"/>
      <c r="F133" s="3"/>
      <c r="G133" s="3"/>
      <c r="H133" s="3"/>
      <c r="I133" s="3"/>
      <c r="K133" s="367" t="s">
        <v>426</v>
      </c>
      <c r="L133" s="368">
        <f>$L$10</f>
        <v>1.0119199999999999</v>
      </c>
      <c r="N133" s="344" t="str">
        <f>$A$4</f>
        <v>SC1 Rate II</v>
      </c>
      <c r="P133"/>
    </row>
    <row r="134" spans="1:17" ht="15.5" thickTop="1" thickBot="1" x14ac:dyDescent="0.4">
      <c r="A134" s="406"/>
      <c r="B134" s="407"/>
      <c r="H134" s="1307" t="s">
        <v>417</v>
      </c>
      <c r="I134" s="1308"/>
      <c r="J134" s="1309"/>
      <c r="L134" s="378" t="s">
        <v>475</v>
      </c>
      <c r="N134" s="369" t="s">
        <v>42</v>
      </c>
      <c r="P134"/>
    </row>
    <row r="135" spans="1:17" ht="15" thickTop="1" x14ac:dyDescent="0.35">
      <c r="A135" s="406"/>
      <c r="B135" s="410"/>
      <c r="H135" s="30" t="s">
        <v>416</v>
      </c>
      <c r="I135" s="30" t="s">
        <v>418</v>
      </c>
      <c r="J135" s="30" t="s">
        <v>419</v>
      </c>
      <c r="L135" s="30" t="s">
        <v>425</v>
      </c>
      <c r="N135" s="36" t="s">
        <v>429</v>
      </c>
      <c r="P135"/>
    </row>
    <row r="136" spans="1:17" x14ac:dyDescent="0.35">
      <c r="A136" s="406"/>
      <c r="B136" s="407" t="s">
        <v>42</v>
      </c>
      <c r="C136" s="3" t="s">
        <v>163</v>
      </c>
      <c r="G136" s="465"/>
      <c r="H136" s="223">
        <f>H125</f>
        <v>20.46</v>
      </c>
      <c r="I136" s="105">
        <f>U35</f>
        <v>11779279</v>
      </c>
      <c r="J136" s="26">
        <f>ROUND(H136*I136,0)</f>
        <v>241004048</v>
      </c>
      <c r="L136" s="134">
        <f>ROUND(J136*(L$133-1),0)</f>
        <v>2872768</v>
      </c>
      <c r="N136" s="26">
        <f>J136+L136</f>
        <v>243876816</v>
      </c>
      <c r="P136"/>
    </row>
    <row r="137" spans="1:17" x14ac:dyDescent="0.35">
      <c r="A137" s="406"/>
      <c r="B137" s="406"/>
      <c r="C137" s="121" t="str">
        <f>$F$84</f>
        <v>On Peak</v>
      </c>
      <c r="D137" s="121"/>
      <c r="E137" s="122"/>
      <c r="H137" s="223">
        <f>H126</f>
        <v>0.4007</v>
      </c>
      <c r="I137" s="105">
        <f>V32</f>
        <v>2065572313</v>
      </c>
      <c r="J137" s="26">
        <f>ROUND(H137*I137,0)</f>
        <v>827674826</v>
      </c>
      <c r="L137" s="397"/>
      <c r="N137" s="26">
        <f>J137+L137</f>
        <v>827674826</v>
      </c>
      <c r="P137"/>
    </row>
    <row r="138" spans="1:17" x14ac:dyDescent="0.35">
      <c r="A138" s="406"/>
      <c r="B138" s="406"/>
      <c r="C138" s="121" t="str">
        <f>$F$85</f>
        <v>Off Peak</v>
      </c>
      <c r="D138" s="36"/>
      <c r="E138" s="122"/>
      <c r="H138" s="223">
        <f>H127</f>
        <v>1.54E-2</v>
      </c>
      <c r="I138" s="105">
        <f>V33</f>
        <v>3425221552</v>
      </c>
      <c r="J138" s="26">
        <f>ROUND(H138*I138,0)</f>
        <v>52748412</v>
      </c>
      <c r="L138" s="397"/>
      <c r="N138" s="26">
        <f>J138+L138</f>
        <v>52748412</v>
      </c>
      <c r="P138"/>
    </row>
    <row r="139" spans="1:17" x14ac:dyDescent="0.35">
      <c r="A139" s="406"/>
      <c r="B139" s="406"/>
      <c r="C139" s="3" t="s">
        <v>420</v>
      </c>
      <c r="D139" s="3"/>
      <c r="E139" s="3"/>
      <c r="F139" s="3"/>
      <c r="H139" s="223"/>
      <c r="I139" s="223"/>
      <c r="J139" s="32">
        <f>SUM(J136:J138)</f>
        <v>1121427286</v>
      </c>
      <c r="L139" s="32">
        <f>SUM(L136:L138)</f>
        <v>2872768</v>
      </c>
      <c r="N139" s="32">
        <f>SUM(N136:N138)</f>
        <v>1124300054</v>
      </c>
      <c r="P139"/>
    </row>
    <row r="140" spans="1:17" s="1" customFormat="1" x14ac:dyDescent="0.35">
      <c r="A140" s="464"/>
      <c r="B140" s="464"/>
      <c r="C140" s="2"/>
      <c r="D140" s="121"/>
      <c r="E140" s="121"/>
      <c r="F140" s="361"/>
      <c r="H140" s="223"/>
      <c r="I140" s="362"/>
      <c r="J140" s="395"/>
      <c r="K140"/>
    </row>
    <row r="141" spans="1:17" s="1" customFormat="1" ht="15" thickBot="1" x14ac:dyDescent="0.4">
      <c r="A141" s="464"/>
      <c r="B141" s="464"/>
      <c r="C141" s="2"/>
      <c r="D141" s="121"/>
      <c r="E141" s="121"/>
      <c r="F141" s="361"/>
      <c r="H141" s="223"/>
      <c r="I141" s="362"/>
      <c r="J141" s="223"/>
      <c r="K141"/>
      <c r="L141" s="368">
        <f>$L$11</f>
        <v>1.01067</v>
      </c>
    </row>
    <row r="142" spans="1:17" s="1" customFormat="1" ht="15.5" thickTop="1" thickBot="1" x14ac:dyDescent="0.4">
      <c r="A142" s="464"/>
      <c r="B142" s="464"/>
      <c r="C142" s="2"/>
      <c r="D142" s="121"/>
      <c r="E142" s="121"/>
      <c r="F142" s="361"/>
      <c r="H142" s="1307" t="s">
        <v>417</v>
      </c>
      <c r="I142" s="1308"/>
      <c r="J142" s="1309"/>
      <c r="K142"/>
      <c r="L142" s="378" t="s">
        <v>475</v>
      </c>
      <c r="N142" s="369" t="s">
        <v>40</v>
      </c>
    </row>
    <row r="143" spans="1:17" s="1" customFormat="1" ht="15" thickTop="1" x14ac:dyDescent="0.35">
      <c r="A143" s="464"/>
      <c r="B143" s="464"/>
      <c r="C143" s="2"/>
      <c r="D143" s="121"/>
      <c r="E143" s="121"/>
      <c r="F143" s="361"/>
      <c r="H143" s="30" t="s">
        <v>416</v>
      </c>
      <c r="I143" s="30" t="s">
        <v>418</v>
      </c>
      <c r="J143" s="30" t="s">
        <v>419</v>
      </c>
      <c r="K143"/>
      <c r="L143" s="30" t="s">
        <v>425</v>
      </c>
      <c r="N143" s="36" t="s">
        <v>429</v>
      </c>
    </row>
    <row r="144" spans="1:17" s="1" customFormat="1" x14ac:dyDescent="0.35">
      <c r="A144" s="464"/>
      <c r="B144" s="407" t="s">
        <v>40</v>
      </c>
      <c r="C144" s="3" t="s">
        <v>163</v>
      </c>
      <c r="D144"/>
      <c r="E144"/>
      <c r="F144"/>
      <c r="G144" s="465"/>
      <c r="H144" s="223">
        <f>J125</f>
        <v>20.46</v>
      </c>
      <c r="I144" s="105">
        <f>U40</f>
        <v>23546977</v>
      </c>
      <c r="J144" s="26">
        <f>ROUND(H144*I144,0)</f>
        <v>481771149</v>
      </c>
      <c r="K144"/>
      <c r="L144" s="134">
        <f>ROUND(J144*(L$141-1),0)</f>
        <v>5140498</v>
      </c>
      <c r="N144" s="26">
        <f>J144+L144</f>
        <v>486911647</v>
      </c>
    </row>
    <row r="145" spans="1:18" s="1" customFormat="1" x14ac:dyDescent="0.35">
      <c r="A145" s="464"/>
      <c r="B145" s="406"/>
      <c r="C145" s="121" t="str">
        <f>$F$84</f>
        <v>On Peak</v>
      </c>
      <c r="D145" s="121"/>
      <c r="E145" s="122"/>
      <c r="H145" s="223">
        <f>J126</f>
        <v>0.1454</v>
      </c>
      <c r="I145" s="105">
        <f>V37</f>
        <v>3027856183</v>
      </c>
      <c r="J145" s="26">
        <f>ROUND(H145*I145,0)</f>
        <v>440250289</v>
      </c>
      <c r="K145"/>
      <c r="L145" s="397"/>
      <c r="N145" s="26">
        <f>J145+L145</f>
        <v>440250289</v>
      </c>
    </row>
    <row r="146" spans="1:18" s="1" customFormat="1" x14ac:dyDescent="0.35">
      <c r="A146" s="464"/>
      <c r="B146" s="406"/>
      <c r="C146" s="121" t="str">
        <f>$F$85</f>
        <v>Off Peak</v>
      </c>
      <c r="D146" s="36"/>
      <c r="E146" s="122"/>
      <c r="H146" s="223">
        <f>J127</f>
        <v>1.54E-2</v>
      </c>
      <c r="I146" s="105">
        <f>V38</f>
        <v>5052895406</v>
      </c>
      <c r="J146" s="26">
        <f>ROUND(H146*I146,0)</f>
        <v>77814589</v>
      </c>
      <c r="K146"/>
      <c r="L146" s="397"/>
      <c r="N146" s="26">
        <f>J146+L146</f>
        <v>77814589</v>
      </c>
    </row>
    <row r="147" spans="1:18" s="1" customFormat="1" x14ac:dyDescent="0.35">
      <c r="A147" s="464"/>
      <c r="B147" s="406"/>
      <c r="C147" s="3" t="s">
        <v>421</v>
      </c>
      <c r="D147" s="3"/>
      <c r="E147" s="3"/>
      <c r="F147" s="3"/>
      <c r="H147" s="223"/>
      <c r="I147" s="223"/>
      <c r="J147" s="32">
        <f>SUM(J144:J146)</f>
        <v>999836027</v>
      </c>
      <c r="K147"/>
      <c r="L147" s="32">
        <f>SUM(L144:L146)</f>
        <v>5140498</v>
      </c>
      <c r="N147" s="32">
        <f>SUM(N144:N146)</f>
        <v>1004976525</v>
      </c>
    </row>
    <row r="148" spans="1:18" s="1" customFormat="1" ht="15" thickBot="1" x14ac:dyDescent="0.4">
      <c r="A148" s="464"/>
      <c r="B148" s="464"/>
      <c r="C148" s="2"/>
      <c r="D148" s="121"/>
      <c r="E148" s="121"/>
      <c r="F148" s="361"/>
      <c r="H148" s="223"/>
      <c r="I148" s="362"/>
      <c r="J148" s="395"/>
      <c r="K148"/>
      <c r="N148" s="223"/>
    </row>
    <row r="149" spans="1:18" s="1" customFormat="1" ht="15.5" thickTop="1" thickBot="1" x14ac:dyDescent="0.4">
      <c r="A149" s="464"/>
      <c r="B149" s="464"/>
      <c r="C149" s="837" t="str">
        <f>CONCATENATE($A$4," - Annual Revenue Price-Out at Proposed Rates:")</f>
        <v>SC1 Rate II - Annual Revenue Price-Out at Proposed Rates:</v>
      </c>
      <c r="D149" s="121"/>
      <c r="E149" s="121"/>
      <c r="F149" s="361"/>
      <c r="H149" s="223"/>
      <c r="I149" s="222" t="s">
        <v>427</v>
      </c>
      <c r="J149" s="243">
        <f>J139+J147</f>
        <v>2121263313</v>
      </c>
      <c r="K149" s="222" t="s">
        <v>428</v>
      </c>
      <c r="L149" s="243">
        <f>L139+L147</f>
        <v>8013266</v>
      </c>
      <c r="N149" s="243">
        <f>N139+N147</f>
        <v>2129276579</v>
      </c>
    </row>
    <row r="150" spans="1:18" s="1" customFormat="1" ht="15" thickTop="1" x14ac:dyDescent="0.35">
      <c r="A150" s="464"/>
      <c r="B150" s="464"/>
      <c r="C150" s="25"/>
      <c r="D150" s="121"/>
      <c r="E150" s="121"/>
      <c r="F150" s="361"/>
      <c r="H150" s="223"/>
      <c r="I150" s="222"/>
      <c r="J150" s="396"/>
      <c r="K150" s="362"/>
      <c r="L150" s="363"/>
      <c r="M150" s="364"/>
      <c r="N150" s="222"/>
      <c r="O150" s="26"/>
      <c r="Q150" s="26"/>
      <c r="R150" s="374"/>
    </row>
    <row r="151" spans="1:18" s="1" customFormat="1" x14ac:dyDescent="0.35">
      <c r="C151" s="25"/>
      <c r="D151" s="121"/>
      <c r="E151" s="121"/>
      <c r="F151" s="361"/>
      <c r="H151" s="223"/>
      <c r="I151" s="222"/>
      <c r="J151" s="26"/>
      <c r="K151" s="362"/>
      <c r="L151" s="363"/>
      <c r="M151" s="364"/>
      <c r="N151" s="222"/>
      <c r="O151" s="26"/>
      <c r="Q151" s="26"/>
      <c r="R151" s="374"/>
    </row>
    <row r="152" spans="1:18" ht="15" thickBot="1" x14ac:dyDescent="0.4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7"/>
      <c r="O152" s="3"/>
      <c r="P152" s="2"/>
      <c r="Q152" s="2"/>
    </row>
    <row r="153" spans="1:18" x14ac:dyDescent="0.35">
      <c r="B153" s="3"/>
      <c r="C153" s="815" t="str">
        <f>$A$4</f>
        <v>SC1 Rate II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1" t="s">
        <v>6</v>
      </c>
      <c r="N153" s="3"/>
      <c r="O153" s="2"/>
      <c r="P153" s="2"/>
      <c r="Q153" s="2"/>
    </row>
    <row r="154" spans="1:18" x14ac:dyDescent="0.35">
      <c r="B154" s="3"/>
      <c r="C154" s="11" t="s">
        <v>5</v>
      </c>
      <c r="D154" s="1305">
        <f>L4</f>
        <v>2020</v>
      </c>
      <c r="E154" s="1305"/>
      <c r="F154" s="1305"/>
      <c r="G154" s="10"/>
      <c r="H154" s="10"/>
      <c r="I154" s="10"/>
      <c r="J154" s="10"/>
      <c r="K154" s="10"/>
      <c r="L154" s="10"/>
      <c r="M154" s="13"/>
      <c r="N154" s="1"/>
      <c r="O154" s="2"/>
      <c r="P154" s="2"/>
      <c r="Q154" s="2"/>
    </row>
    <row r="155" spans="1:18" x14ac:dyDescent="0.35">
      <c r="B155" s="3"/>
      <c r="C155" s="699" t="s">
        <v>522</v>
      </c>
      <c r="D155" s="883"/>
      <c r="E155" s="883"/>
      <c r="F155" s="883"/>
      <c r="G155" s="910"/>
      <c r="H155" s="10"/>
      <c r="I155" s="10"/>
      <c r="J155" s="10"/>
      <c r="K155" s="10"/>
      <c r="L155" s="10"/>
      <c r="M155" s="12">
        <f>N149</f>
        <v>2129276579</v>
      </c>
      <c r="N155" s="1"/>
      <c r="O155" s="2"/>
      <c r="P155" s="2"/>
      <c r="Q155" s="2"/>
    </row>
    <row r="156" spans="1:18" x14ac:dyDescent="0.35">
      <c r="B156" s="3"/>
      <c r="C156" s="699" t="s">
        <v>1577</v>
      </c>
      <c r="D156" s="883"/>
      <c r="E156" s="883"/>
      <c r="F156" s="883"/>
      <c r="G156" s="910"/>
      <c r="H156" s="10"/>
      <c r="I156" s="10"/>
      <c r="J156" s="10"/>
      <c r="K156" s="10"/>
      <c r="L156" s="10"/>
      <c r="M156" s="828">
        <f>L32</f>
        <v>384305</v>
      </c>
      <c r="N156" s="1"/>
      <c r="O156" s="2"/>
      <c r="P156" s="2"/>
      <c r="Q156" s="2"/>
    </row>
    <row r="157" spans="1:18" x14ac:dyDescent="0.35">
      <c r="B157" s="3"/>
      <c r="C157" s="699"/>
      <c r="D157" s="883"/>
      <c r="E157" s="883"/>
      <c r="F157" s="883"/>
      <c r="G157" s="910"/>
      <c r="H157" s="10"/>
      <c r="I157" s="10"/>
      <c r="J157" s="10"/>
      <c r="K157" s="10"/>
      <c r="L157" s="10"/>
      <c r="M157" s="18"/>
      <c r="N157" s="1"/>
      <c r="O157" s="2"/>
      <c r="P157" s="2"/>
      <c r="Q157" s="2"/>
    </row>
    <row r="158" spans="1:18" x14ac:dyDescent="0.35">
      <c r="B158" s="3"/>
      <c r="C158" s="699"/>
      <c r="D158" s="883"/>
      <c r="E158" s="883"/>
      <c r="F158" s="883"/>
      <c r="G158" s="910"/>
      <c r="H158" s="10"/>
      <c r="I158" s="10"/>
      <c r="J158" s="10"/>
      <c r="K158" s="10"/>
      <c r="L158" s="10"/>
      <c r="M158" s="376"/>
      <c r="N158" s="1"/>
      <c r="O158" s="2"/>
      <c r="P158" s="2"/>
      <c r="Q158" s="2"/>
    </row>
    <row r="159" spans="1:18" x14ac:dyDescent="0.35">
      <c r="B159" s="3"/>
      <c r="C159" s="699" t="s">
        <v>519</v>
      </c>
      <c r="D159" s="884"/>
      <c r="E159" s="884"/>
      <c r="F159" s="884"/>
      <c r="G159" s="910"/>
      <c r="H159" s="10"/>
      <c r="I159" s="10"/>
      <c r="J159" s="10"/>
      <c r="K159" s="10"/>
      <c r="L159" s="10"/>
      <c r="M159" s="12">
        <f>M155+M156+M157-M158</f>
        <v>2129660884</v>
      </c>
      <c r="N159" s="1"/>
      <c r="O159" s="2"/>
      <c r="P159" s="2"/>
      <c r="Q159" s="2"/>
    </row>
    <row r="160" spans="1:18" x14ac:dyDescent="0.35">
      <c r="B160" s="3"/>
      <c r="C160" s="11"/>
      <c r="D160" s="10"/>
      <c r="E160" s="10"/>
      <c r="F160" s="10"/>
      <c r="G160" s="10"/>
      <c r="H160" s="10"/>
      <c r="I160" s="10"/>
      <c r="J160" s="10"/>
      <c r="K160" s="10"/>
      <c r="L160" s="10"/>
      <c r="M160" s="13"/>
      <c r="N160" s="1"/>
      <c r="O160" s="2"/>
      <c r="P160" s="2"/>
      <c r="Q160" s="2"/>
    </row>
    <row r="161" spans="1:22" x14ac:dyDescent="0.35">
      <c r="B161" s="3"/>
      <c r="C161" s="11"/>
      <c r="D161" s="10" t="s">
        <v>2</v>
      </c>
      <c r="E161" s="10"/>
      <c r="F161" s="10"/>
      <c r="G161" s="10"/>
      <c r="H161" s="10"/>
      <c r="I161" s="10"/>
      <c r="J161" s="10"/>
      <c r="K161" s="10"/>
      <c r="L161" s="10"/>
      <c r="M161" s="828">
        <f>L31</f>
        <v>2129367945.6876757</v>
      </c>
      <c r="N161" s="1"/>
      <c r="O161" s="3"/>
      <c r="P161" s="2"/>
      <c r="Q161" s="2"/>
    </row>
    <row r="162" spans="1:22" x14ac:dyDescent="0.35">
      <c r="B162" s="3"/>
      <c r="C162" s="11"/>
      <c r="D162" s="10" t="s">
        <v>1</v>
      </c>
      <c r="E162" s="10"/>
      <c r="F162" s="10"/>
      <c r="G162" s="10"/>
      <c r="H162" s="10"/>
      <c r="I162" s="10"/>
      <c r="J162" s="10"/>
      <c r="K162" s="10"/>
      <c r="L162" s="10"/>
      <c r="M162" s="12">
        <f>M159-M161</f>
        <v>292938.31232428551</v>
      </c>
      <c r="N162" s="1"/>
      <c r="O162" s="3"/>
      <c r="P162" s="2"/>
      <c r="Q162" s="2"/>
    </row>
    <row r="163" spans="1:22" x14ac:dyDescent="0.35">
      <c r="B163" s="3"/>
      <c r="C163" s="11"/>
      <c r="D163" s="10" t="s">
        <v>0</v>
      </c>
      <c r="E163" s="10"/>
      <c r="F163" s="10"/>
      <c r="G163" s="10"/>
      <c r="H163" s="10"/>
      <c r="I163" s="10"/>
      <c r="J163" s="10"/>
      <c r="K163" s="10"/>
      <c r="L163" s="10"/>
      <c r="M163" s="9">
        <f>M159/M161-1</f>
        <v>1.3757054665797241E-4</v>
      </c>
      <c r="N163" s="8"/>
      <c r="O163" s="3"/>
      <c r="P163" s="2"/>
      <c r="Q163" s="2"/>
    </row>
    <row r="164" spans="1:22" ht="15" thickBot="1" x14ac:dyDescent="0.4">
      <c r="B164" s="3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4"/>
      <c r="O164" s="3"/>
      <c r="P164" s="2"/>
      <c r="Q164" s="2"/>
    </row>
    <row r="165" spans="1:22" s="1" customForma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/>
      <c r="R165"/>
      <c r="S165"/>
      <c r="T165"/>
      <c r="U165"/>
      <c r="V165"/>
    </row>
    <row r="166" spans="1:22" s="1" customForma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2"/>
      <c r="R166"/>
      <c r="S166"/>
      <c r="T166"/>
      <c r="U166"/>
      <c r="V166"/>
    </row>
    <row r="167" spans="1:22" s="1" customFormat="1" x14ac:dyDescent="0.35">
      <c r="A167" s="3"/>
      <c r="B167"/>
      <c r="C167"/>
      <c r="D167"/>
      <c r="E167"/>
      <c r="F167"/>
      <c r="G167"/>
      <c r="H167"/>
      <c r="I167" s="3"/>
      <c r="J167" s="3"/>
      <c r="K167" s="3"/>
      <c r="L167" s="3"/>
      <c r="M167" s="3"/>
      <c r="N167" s="3"/>
      <c r="O167" s="3"/>
      <c r="P167" s="2"/>
      <c r="R167"/>
      <c r="S167"/>
      <c r="T167"/>
      <c r="U167"/>
      <c r="V167"/>
    </row>
    <row r="168" spans="1:22" s="1" customFormat="1" x14ac:dyDescent="0.35">
      <c r="A168" s="3"/>
      <c r="B168"/>
      <c r="C168"/>
      <c r="D168"/>
      <c r="E168"/>
      <c r="F168"/>
      <c r="G168"/>
      <c r="H168"/>
      <c r="I168" s="3"/>
      <c r="J168" s="3"/>
      <c r="K168" s="3"/>
      <c r="L168" s="3"/>
      <c r="M168" s="3"/>
      <c r="N168" s="3"/>
      <c r="O168" s="3"/>
      <c r="P168" s="2"/>
      <c r="R168"/>
      <c r="S168"/>
      <c r="T168"/>
      <c r="U168"/>
      <c r="V168"/>
    </row>
    <row r="169" spans="1:22" s="1" customFormat="1" x14ac:dyDescent="0.35">
      <c r="A169" s="3"/>
      <c r="B169"/>
      <c r="C169"/>
      <c r="D169"/>
      <c r="E169"/>
      <c r="F169"/>
      <c r="G169"/>
      <c r="H169"/>
      <c r="I169" s="3"/>
      <c r="J169" s="3"/>
      <c r="K169" s="3"/>
      <c r="L169" s="3"/>
      <c r="M169" s="3"/>
      <c r="N169" s="3"/>
      <c r="O169" s="3"/>
      <c r="P169" s="2"/>
      <c r="R169"/>
      <c r="S169"/>
      <c r="T169"/>
      <c r="U169"/>
      <c r="V169"/>
    </row>
    <row r="170" spans="1:22" s="1" customForma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R170"/>
      <c r="S170"/>
      <c r="T170"/>
      <c r="U170"/>
      <c r="V170"/>
    </row>
    <row r="171" spans="1:22" s="1" customForma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R171"/>
      <c r="S171"/>
      <c r="T171"/>
      <c r="U171"/>
      <c r="V171"/>
    </row>
    <row r="172" spans="1:22" s="1" customForma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R172"/>
      <c r="S172"/>
      <c r="T172"/>
      <c r="U172"/>
      <c r="V172"/>
    </row>
    <row r="173" spans="1:22" s="1" customForma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R173"/>
      <c r="S173"/>
      <c r="T173"/>
      <c r="U173"/>
      <c r="V173"/>
    </row>
    <row r="174" spans="1:22" s="1" customForma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R174"/>
      <c r="S174"/>
      <c r="T174"/>
      <c r="U174"/>
      <c r="V174"/>
    </row>
    <row r="175" spans="1:22" s="1" customForma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R175"/>
      <c r="S175"/>
      <c r="T175"/>
      <c r="U175"/>
      <c r="V175"/>
    </row>
    <row r="177" spans="1:16" s="87" customFormat="1" x14ac:dyDescent="0.35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</row>
    <row r="178" spans="1:16" ht="15.5" x14ac:dyDescent="0.35">
      <c r="B178" s="298" t="s">
        <v>481</v>
      </c>
    </row>
    <row r="179" spans="1:16" x14ac:dyDescent="0.35">
      <c r="B179" s="372" t="s">
        <v>482</v>
      </c>
    </row>
    <row r="181" spans="1:16" ht="15" thickBot="1" x14ac:dyDescent="0.4">
      <c r="B181" s="42" t="str">
        <f>CONCATENATE($A$4," at Proposed T&amp;D Rates")</f>
        <v>SC1 Rate II at Proposed T&amp;D Rates</v>
      </c>
      <c r="C181" s="3"/>
      <c r="D181" s="3"/>
      <c r="E181" s="3"/>
      <c r="F181" s="3"/>
      <c r="G181" s="3"/>
      <c r="H181" s="3"/>
      <c r="K181" s="367" t="s">
        <v>426</v>
      </c>
      <c r="L181" s="368">
        <f>$L$10</f>
        <v>1.0119199999999999</v>
      </c>
      <c r="N181" s="344" t="str">
        <f>$A$4</f>
        <v>SC1 Rate II</v>
      </c>
    </row>
    <row r="182" spans="1:16" ht="15.5" thickTop="1" thickBot="1" x14ac:dyDescent="0.4">
      <c r="B182" s="41"/>
      <c r="H182" s="1307" t="s">
        <v>417</v>
      </c>
      <c r="I182" s="1308"/>
      <c r="J182" s="1309"/>
      <c r="L182" s="399" t="s">
        <v>475</v>
      </c>
      <c r="N182" s="369" t="s">
        <v>42</v>
      </c>
    </row>
    <row r="183" spans="1:16" ht="15" thickTop="1" x14ac:dyDescent="0.35">
      <c r="B183" s="3"/>
      <c r="H183" s="30" t="s">
        <v>416</v>
      </c>
      <c r="I183" s="30" t="s">
        <v>418</v>
      </c>
      <c r="J183" s="36" t="s">
        <v>419</v>
      </c>
      <c r="L183" s="30" t="s">
        <v>425</v>
      </c>
      <c r="N183" s="36" t="s">
        <v>429</v>
      </c>
    </row>
    <row r="184" spans="1:16" x14ac:dyDescent="0.35">
      <c r="B184" s="126" t="s">
        <v>42</v>
      </c>
      <c r="C184" s="3" t="s">
        <v>163</v>
      </c>
      <c r="H184" s="223">
        <f>H125</f>
        <v>20.46</v>
      </c>
      <c r="I184" s="105">
        <f>T9</f>
        <v>6480</v>
      </c>
      <c r="J184" s="26">
        <f>ROUND(H184*I184,0)</f>
        <v>132581</v>
      </c>
      <c r="L184" s="134">
        <f>ROUND(J184*(L$133-1),0)</f>
        <v>1580</v>
      </c>
      <c r="N184" s="26">
        <f>J184+L184</f>
        <v>134161</v>
      </c>
    </row>
    <row r="185" spans="1:16" x14ac:dyDescent="0.35">
      <c r="C185" s="121" t="str">
        <f>$F$84</f>
        <v>On Peak</v>
      </c>
      <c r="D185" s="121"/>
      <c r="E185" s="122"/>
      <c r="H185" s="223">
        <f t="shared" ref="H185:H186" si="1">H126</f>
        <v>0.4007</v>
      </c>
      <c r="I185" s="105">
        <f>V6</f>
        <v>9718870</v>
      </c>
      <c r="J185" s="26">
        <f>ROUND(H185*I185,0)</f>
        <v>3894351</v>
      </c>
      <c r="L185" s="397"/>
      <c r="N185" s="26">
        <f>J185+L185</f>
        <v>3894351</v>
      </c>
    </row>
    <row r="186" spans="1:16" x14ac:dyDescent="0.35">
      <c r="C186" s="121" t="str">
        <f>$F$85</f>
        <v>Off Peak</v>
      </c>
      <c r="D186" s="36"/>
      <c r="E186" s="122"/>
      <c r="H186" s="223">
        <f t="shared" si="1"/>
        <v>1.54E-2</v>
      </c>
      <c r="I186" s="105">
        <f>V7</f>
        <v>14833456</v>
      </c>
      <c r="J186" s="26">
        <f>ROUND(H186*I186,0)</f>
        <v>228435</v>
      </c>
      <c r="L186" s="397"/>
      <c r="N186" s="26">
        <f>J186+L186</f>
        <v>228435</v>
      </c>
    </row>
    <row r="187" spans="1:16" x14ac:dyDescent="0.35">
      <c r="C187" s="3" t="s">
        <v>420</v>
      </c>
      <c r="D187" s="3"/>
      <c r="E187" s="3"/>
      <c r="F187" s="3"/>
      <c r="H187" s="223"/>
      <c r="I187" s="223"/>
      <c r="J187" s="32">
        <f>SUM(J184:J186)</f>
        <v>4255367</v>
      </c>
      <c r="L187" s="32">
        <f>SUM(L184:L186)</f>
        <v>1580</v>
      </c>
      <c r="N187" s="32">
        <f>SUM(N184:N186)</f>
        <v>4256947</v>
      </c>
    </row>
    <row r="188" spans="1:16" x14ac:dyDescent="0.35">
      <c r="B188" s="1"/>
      <c r="C188" s="2"/>
      <c r="D188" s="121"/>
      <c r="E188" s="121"/>
      <c r="F188" s="361"/>
      <c r="G188" s="1"/>
      <c r="H188" s="223"/>
      <c r="I188" s="362"/>
      <c r="J188" s="395"/>
      <c r="L188" s="1"/>
      <c r="M188" s="1"/>
      <c r="N188" s="1"/>
    </row>
    <row r="189" spans="1:16" ht="15" thickBot="1" x14ac:dyDescent="0.4">
      <c r="B189" s="1"/>
      <c r="C189" s="2"/>
      <c r="D189" s="121"/>
      <c r="E189" s="121"/>
      <c r="F189" s="361"/>
      <c r="G189" s="1"/>
      <c r="H189" s="223"/>
      <c r="I189" s="362"/>
      <c r="J189" s="223"/>
      <c r="L189" s="368">
        <f>$L$11</f>
        <v>1.01067</v>
      </c>
      <c r="M189" s="1"/>
      <c r="N189" s="1"/>
    </row>
    <row r="190" spans="1:16" ht="15.5" thickTop="1" thickBot="1" x14ac:dyDescent="0.4">
      <c r="B190" s="1"/>
      <c r="C190" s="2"/>
      <c r="D190" s="121"/>
      <c r="E190" s="121"/>
      <c r="F190" s="361"/>
      <c r="G190" s="1"/>
      <c r="H190" s="1307" t="s">
        <v>417</v>
      </c>
      <c r="I190" s="1308"/>
      <c r="J190" s="1309"/>
      <c r="L190" s="399" t="s">
        <v>475</v>
      </c>
      <c r="M190" s="1"/>
      <c r="N190" s="369" t="s">
        <v>40</v>
      </c>
    </row>
    <row r="191" spans="1:16" ht="15" thickTop="1" x14ac:dyDescent="0.35">
      <c r="B191" s="1"/>
      <c r="C191" s="2"/>
      <c r="D191" s="121"/>
      <c r="E191" s="121"/>
      <c r="F191" s="361"/>
      <c r="G191" s="1"/>
      <c r="H191" s="30" t="s">
        <v>416</v>
      </c>
      <c r="I191" s="30" t="s">
        <v>418</v>
      </c>
      <c r="J191" s="36" t="s">
        <v>419</v>
      </c>
      <c r="L191" s="30" t="s">
        <v>425</v>
      </c>
      <c r="M191" s="1"/>
      <c r="N191" s="36" t="s">
        <v>429</v>
      </c>
    </row>
    <row r="192" spans="1:16" x14ac:dyDescent="0.35">
      <c r="B192" s="126" t="s">
        <v>40</v>
      </c>
      <c r="C192" s="3" t="s">
        <v>163</v>
      </c>
      <c r="G192" s="1"/>
      <c r="H192" s="223">
        <f>J125</f>
        <v>20.46</v>
      </c>
      <c r="I192" s="105">
        <f>T14</f>
        <v>12963</v>
      </c>
      <c r="J192" s="26">
        <f>ROUND(H192*I192,0)</f>
        <v>265223</v>
      </c>
      <c r="L192" s="134">
        <f>ROUND(J192*(L$141-1),0)</f>
        <v>2830</v>
      </c>
      <c r="M192" s="1"/>
      <c r="N192" s="26">
        <f>J192+L192</f>
        <v>268053</v>
      </c>
    </row>
    <row r="193" spans="2:15" x14ac:dyDescent="0.35">
      <c r="C193" s="121" t="str">
        <f>$F$84</f>
        <v>On Peak</v>
      </c>
      <c r="D193" s="121"/>
      <c r="E193" s="122"/>
      <c r="F193" s="1"/>
      <c r="G193" s="1"/>
      <c r="H193" s="223">
        <f t="shared" ref="H193:H194" si="2">J126</f>
        <v>0.1454</v>
      </c>
      <c r="I193" s="105">
        <f>V11</f>
        <v>16789117</v>
      </c>
      <c r="J193" s="26">
        <f>ROUND(H193*I193,0)</f>
        <v>2441138</v>
      </c>
      <c r="L193" s="397"/>
      <c r="M193" s="1"/>
      <c r="N193" s="26">
        <f>J193+L193</f>
        <v>2441138</v>
      </c>
    </row>
    <row r="194" spans="2:15" x14ac:dyDescent="0.35">
      <c r="C194" s="121" t="str">
        <f>$F$85</f>
        <v>Off Peak</v>
      </c>
      <c r="D194" s="36"/>
      <c r="E194" s="122"/>
      <c r="F194" s="1"/>
      <c r="G194" s="1"/>
      <c r="H194" s="223">
        <f t="shared" si="2"/>
        <v>1.54E-2</v>
      </c>
      <c r="I194" s="105">
        <f>V12</f>
        <v>25876337</v>
      </c>
      <c r="J194" s="26">
        <f>ROUND(H194*I194,0)</f>
        <v>398496</v>
      </c>
      <c r="L194" s="397"/>
      <c r="M194" s="1"/>
      <c r="N194" s="26">
        <f>J194+L194</f>
        <v>398496</v>
      </c>
    </row>
    <row r="195" spans="2:15" x14ac:dyDescent="0.35">
      <c r="C195" s="3" t="s">
        <v>421</v>
      </c>
      <c r="D195" s="3"/>
      <c r="E195" s="3"/>
      <c r="F195" s="3"/>
      <c r="G195" s="1"/>
      <c r="H195" s="223"/>
      <c r="I195" s="223"/>
      <c r="J195" s="32">
        <f>SUM(J192:J194)</f>
        <v>3104857</v>
      </c>
      <c r="L195" s="32">
        <f>SUM(L192:L194)</f>
        <v>2830</v>
      </c>
      <c r="M195" s="1"/>
      <c r="N195" s="32">
        <f>SUM(N192:N194)</f>
        <v>3107687</v>
      </c>
    </row>
    <row r="196" spans="2:15" ht="15" thickBot="1" x14ac:dyDescent="0.4">
      <c r="B196" s="1"/>
      <c r="C196" s="2"/>
      <c r="D196" s="121"/>
      <c r="E196" s="121"/>
      <c r="F196" s="361"/>
      <c r="G196" s="1"/>
      <c r="H196" s="223"/>
      <c r="I196" s="362"/>
      <c r="J196" s="395"/>
      <c r="L196" s="1"/>
      <c r="M196" s="1"/>
      <c r="N196" s="223"/>
    </row>
    <row r="197" spans="2:15" ht="15.5" thickTop="1" thickBot="1" x14ac:dyDescent="0.4">
      <c r="B197" s="1"/>
      <c r="C197" s="25" t="str">
        <f>CONCATENATE($A$4," - Annual Revenue Price-Out at Proposed Rates:")</f>
        <v>SC1 Rate II - Annual Revenue Price-Out at Proposed Rates:</v>
      </c>
      <c r="D197" s="121"/>
      <c r="E197" s="121"/>
      <c r="F197" s="361"/>
      <c r="G197" s="1"/>
      <c r="H197" s="223"/>
      <c r="I197" s="222" t="s">
        <v>427</v>
      </c>
      <c r="J197" s="243">
        <f>J187+J195</f>
        <v>7360224</v>
      </c>
      <c r="K197" s="222" t="s">
        <v>428</v>
      </c>
      <c r="L197" s="243">
        <f>L187+L195</f>
        <v>4410</v>
      </c>
      <c r="M197" s="1"/>
      <c r="N197" s="405">
        <f>N187+N195</f>
        <v>7364634</v>
      </c>
      <c r="O197" s="1"/>
    </row>
    <row r="198" spans="2:15" ht="15" thickTop="1" x14ac:dyDescent="0.35"/>
    <row r="199" spans="2:15" x14ac:dyDescent="0.35">
      <c r="N199" s="134"/>
    </row>
    <row r="200" spans="2:15" x14ac:dyDescent="0.35">
      <c r="N200" s="130"/>
    </row>
    <row r="201" spans="2:15" x14ac:dyDescent="0.35">
      <c r="N201" s="130"/>
    </row>
  </sheetData>
  <mergeCells count="10">
    <mergeCell ref="L80:N80"/>
    <mergeCell ref="L89:N89"/>
    <mergeCell ref="H121:J121"/>
    <mergeCell ref="H134:J134"/>
    <mergeCell ref="M121:O121"/>
    <mergeCell ref="H182:J182"/>
    <mergeCell ref="H190:J190"/>
    <mergeCell ref="H142:J142"/>
    <mergeCell ref="D154:F154"/>
    <mergeCell ref="H80:J80"/>
  </mergeCells>
  <printOptions horizontalCentered="1"/>
  <pageMargins left="0.2" right="0.2" top="0.75" bottom="0.75" header="0.3" footer="0.3"/>
  <pageSetup scale="40" orientation="landscape" r:id="rId1"/>
  <headerFooter>
    <oddFooter>&amp;C&amp;F (Tab: &amp;A)&amp;RPage &amp;P/&amp;N</oddFooter>
  </headerFooter>
  <rowBreaks count="2" manualBreakCount="2">
    <brk id="77" max="16383" man="1"/>
    <brk id="130" max="16383" man="1"/>
  </rowBreaks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9"/>
  <dimension ref="A1:AE193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9.26953125" customWidth="1"/>
    <col min="5" max="5" width="14.26953125" customWidth="1"/>
    <col min="6" max="6" width="13.4531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6.26953125" customWidth="1"/>
    <col min="12" max="14" width="16" customWidth="1"/>
    <col min="15" max="15" width="10.81640625" customWidth="1"/>
    <col min="16" max="16" width="11.7265625" style="1" customWidth="1"/>
    <col min="17" max="17" width="9.26953125" style="1" hidden="1" customWidth="1"/>
    <col min="18" max="18" width="12.1796875" customWidth="1"/>
    <col min="19" max="19" width="9.453125" customWidth="1"/>
    <col min="20" max="20" width="13.1796875" customWidth="1"/>
    <col min="21" max="21" width="16.1796875" customWidth="1"/>
    <col min="22" max="22" width="15.453125" customWidth="1"/>
    <col min="23" max="23" width="15.7265625" customWidth="1"/>
    <col min="24" max="24" width="3.453125" customWidth="1"/>
    <col min="25" max="25" width="11" customWidth="1"/>
    <col min="26" max="26" width="9.453125" hidden="1" customWidth="1"/>
    <col min="27" max="27" width="7.7265625" hidden="1" customWidth="1"/>
    <col min="28" max="28" width="12.453125" customWidth="1"/>
    <col min="29" max="29" width="10.1796875" customWidth="1"/>
    <col min="30" max="30" width="12.453125" hidden="1" customWidth="1"/>
    <col min="31" max="31" width="15.26953125" customWidth="1"/>
    <col min="32" max="32" width="12.453125" customWidth="1"/>
  </cols>
  <sheetData>
    <row r="1" spans="1:31" ht="18.5" x14ac:dyDescent="0.45">
      <c r="A1" s="447" t="s">
        <v>633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31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">
        <v>438</v>
      </c>
      <c r="Q3" s="2"/>
      <c r="R3" s="3"/>
      <c r="S3" s="3"/>
      <c r="T3" s="3"/>
      <c r="U3" s="3"/>
      <c r="V3" s="3"/>
      <c r="Y3" s="192" t="s">
        <v>476</v>
      </c>
      <c r="Z3" s="3"/>
      <c r="AA3" s="3"/>
      <c r="AB3" s="3"/>
      <c r="AC3" s="3"/>
      <c r="AD3" s="3"/>
      <c r="AE3" s="3"/>
    </row>
    <row r="4" spans="1:31" outlineLevel="1" x14ac:dyDescent="0.35">
      <c r="A4" s="864" t="s">
        <v>476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6"/>
      <c r="W4" s="36" t="s">
        <v>1454</v>
      </c>
      <c r="Y4" s="181" t="s">
        <v>147</v>
      </c>
      <c r="Z4" s="2"/>
      <c r="AA4" s="3"/>
      <c r="AB4" s="3"/>
      <c r="AC4" s="3"/>
      <c r="AD4" s="3"/>
      <c r="AE4" s="36" t="s">
        <v>480</v>
      </c>
    </row>
    <row r="5" spans="1:31" outlineLevel="1" x14ac:dyDescent="0.35">
      <c r="A5" s="902"/>
      <c r="B5" s="75"/>
      <c r="C5" s="3"/>
      <c r="D5" s="3"/>
      <c r="E5" s="3"/>
      <c r="F5" s="3"/>
      <c r="H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/>
      <c r="V5" s="30" t="s">
        <v>44</v>
      </c>
      <c r="W5" s="30" t="s">
        <v>44</v>
      </c>
      <c r="Y5" s="2"/>
      <c r="Z5" s="2"/>
      <c r="AA5" s="3"/>
      <c r="AB5" s="3"/>
      <c r="AC5" s="30" t="s">
        <v>26</v>
      </c>
      <c r="AD5" s="30" t="s">
        <v>25</v>
      </c>
      <c r="AE5" s="30" t="s">
        <v>44</v>
      </c>
    </row>
    <row r="6" spans="1:31" outlineLevel="1" x14ac:dyDescent="0.35">
      <c r="B6" s="180"/>
      <c r="C6" s="180"/>
      <c r="D6" s="180"/>
      <c r="E6" s="490" t="str">
        <f>'10A.)EnergyRateDesignSummary'!D54</f>
        <v>Current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/>
      <c r="R6" s="163"/>
      <c r="S6" s="164" t="s">
        <v>1393</v>
      </c>
      <c r="T6" s="386">
        <f>'[2]4D-1.)HY_TODLRatePxOut(SC1&amp;2)'!$L13</f>
        <v>6480</v>
      </c>
      <c r="U6" s="161"/>
      <c r="V6" s="386">
        <f>'[2]4D-1.)HY_TODLRatePxOut(SC1&amp;2)'!$M$13</f>
        <v>9718870</v>
      </c>
      <c r="W6" s="402">
        <f>V9*R20</f>
        <v>17577894.067136001</v>
      </c>
      <c r="Y6" s="165" t="s">
        <v>42</v>
      </c>
      <c r="Z6" s="164"/>
      <c r="AA6" s="163"/>
      <c r="AB6" s="164" t="s">
        <v>1393</v>
      </c>
      <c r="AC6" s="386">
        <f>'[2]4D-1.)HY_TODLRatePxOut(SC1&amp;2)'!$L$55</f>
        <v>359</v>
      </c>
      <c r="AD6" s="161"/>
      <c r="AE6" s="386">
        <f>'[2]4D-1.)HY_TODLRatePxOut(SC1&amp;2)'!$M$55</f>
        <v>205956.93636626186</v>
      </c>
    </row>
    <row r="7" spans="1:31" ht="15" outlineLevel="1" thickBot="1" x14ac:dyDescent="0.4">
      <c r="A7" s="3"/>
      <c r="B7" s="3"/>
      <c r="C7" s="3"/>
      <c r="D7" s="3"/>
      <c r="E7" s="101"/>
      <c r="H7" s="3"/>
      <c r="J7" s="3"/>
      <c r="K7" s="17"/>
      <c r="L7" s="118" t="str">
        <f>A4</f>
        <v>SC1 Rate III</v>
      </c>
      <c r="M7" s="3"/>
      <c r="P7" s="170" t="s">
        <v>42</v>
      </c>
      <c r="Q7" s="159"/>
      <c r="R7" s="158"/>
      <c r="S7" s="159" t="s">
        <v>445</v>
      </c>
      <c r="T7" s="387">
        <f>'[2]4D-1.)HY_TODLRatePxOut(SC1&amp;2)'!$L14</f>
        <v>0</v>
      </c>
      <c r="U7" s="156"/>
      <c r="V7" s="387">
        <f>'[2]4D-1.)HY_TODLRatePxOut(SC1&amp;2)'!$M$14</f>
        <v>14833456</v>
      </c>
      <c r="W7" s="403">
        <f>V9*R21</f>
        <v>6974431.9328639992</v>
      </c>
      <c r="Y7" s="170" t="s">
        <v>42</v>
      </c>
      <c r="Z7" s="159"/>
      <c r="AA7" s="158"/>
      <c r="AB7" s="159" t="s">
        <v>445</v>
      </c>
      <c r="AC7" s="387">
        <f>'[2]4D-1.)HY_TODLRatePxOut(SC1&amp;2)'!$L$56</f>
        <v>0</v>
      </c>
      <c r="AD7" s="156"/>
      <c r="AE7" s="387">
        <f>'[2]4D-1.)HY_TODLRatePxOut(SC1&amp;2)'!$M$56</f>
        <v>123877.06363373811</v>
      </c>
    </row>
    <row r="8" spans="1:31" ht="15.5" outlineLevel="1" thickTop="1" thickBot="1" x14ac:dyDescent="0.4">
      <c r="A8" s="3" t="s">
        <v>476</v>
      </c>
      <c r="B8" s="3"/>
      <c r="C8" s="190" t="s">
        <v>163</v>
      </c>
      <c r="D8" s="3"/>
      <c r="E8" s="309">
        <f>'10A.)EnergyRateDesignSummary'!D57</f>
        <v>19.87</v>
      </c>
      <c r="F8" s="309">
        <f>'7A.)CustCharge_Summary'!$D$99</f>
        <v>20.46</v>
      </c>
      <c r="J8" s="33"/>
      <c r="K8" s="17"/>
      <c r="L8" s="688"/>
      <c r="M8" s="3"/>
      <c r="P8" s="168" t="s">
        <v>42</v>
      </c>
      <c r="Q8" s="155"/>
      <c r="R8" s="176"/>
      <c r="S8" s="711"/>
      <c r="T8" s="388"/>
      <c r="U8" s="191"/>
      <c r="V8" s="388"/>
      <c r="W8" s="388"/>
      <c r="Y8" s="168" t="s">
        <v>42</v>
      </c>
      <c r="Z8" s="155"/>
      <c r="AA8" s="176"/>
      <c r="AB8" s="711"/>
      <c r="AC8" s="388"/>
      <c r="AD8" s="191"/>
      <c r="AE8" s="388"/>
    </row>
    <row r="9" spans="1:31" ht="15.5" outlineLevel="1" thickTop="1" thickBot="1" x14ac:dyDescent="0.4">
      <c r="A9" s="3"/>
      <c r="B9" s="3"/>
      <c r="C9" s="190"/>
      <c r="D9" s="3"/>
      <c r="E9" s="311"/>
      <c r="F9" s="311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6480</v>
      </c>
      <c r="U9" s="151">
        <f>SUM(U6:U8)</f>
        <v>0</v>
      </c>
      <c r="V9" s="151">
        <f>SUM(V6:V8)</f>
        <v>24552326</v>
      </c>
      <c r="W9" s="151">
        <f>SUM(W6:W8)</f>
        <v>24552326</v>
      </c>
      <c r="Y9" s="1"/>
      <c r="Z9" s="1"/>
      <c r="AC9" s="151">
        <f>SUM(AC6:AC8)</f>
        <v>359</v>
      </c>
      <c r="AD9" s="151">
        <f>SUM(AD6:AD8)</f>
        <v>0</v>
      </c>
      <c r="AE9" s="151">
        <f>SUM(AE6:AE8)</f>
        <v>329834</v>
      </c>
    </row>
    <row r="10" spans="1:31" ht="15" outlineLevel="1" thickTop="1" x14ac:dyDescent="0.35">
      <c r="A10" s="3" t="s">
        <v>897</v>
      </c>
      <c r="B10" s="3"/>
      <c r="C10" s="3"/>
      <c r="D10" s="3"/>
      <c r="E10" s="1230">
        <f>'10A.)EnergyRateDesignSummary'!D58</f>
        <v>0.23070000000000002</v>
      </c>
      <c r="F10" s="1230">
        <f>H126</f>
        <v>0.21970000000000001</v>
      </c>
      <c r="G10" s="139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Y10" s="1"/>
      <c r="Z10" s="1"/>
    </row>
    <row r="11" spans="1:31" outlineLevel="1" x14ac:dyDescent="0.35">
      <c r="A11" s="3" t="s">
        <v>898</v>
      </c>
      <c r="B11" s="3"/>
      <c r="C11" s="3"/>
      <c r="D11" s="3"/>
      <c r="E11" s="1230">
        <f>'10A.)EnergyRateDesignSummary'!D59</f>
        <v>1.6299999999999999E-2</v>
      </c>
      <c r="F11" s="1230">
        <f>H127</f>
        <v>1.55E-2</v>
      </c>
      <c r="G11" s="139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/>
      <c r="R11" s="163"/>
      <c r="S11" s="162" t="str">
        <f>$S$6</f>
        <v>On Peak</v>
      </c>
      <c r="T11" s="386">
        <f>'[2]4D-1.)HY_TODLRatePxOut(SC1&amp;2)'!$L8</f>
        <v>12963</v>
      </c>
      <c r="U11" s="161"/>
      <c r="V11" s="386">
        <f>'[2]4D-1.)HY_TODLRatePxOut(SC1&amp;2)'!$M$8</f>
        <v>16789117</v>
      </c>
      <c r="W11" s="402">
        <f>V14*R25</f>
        <v>30871954.536227997</v>
      </c>
      <c r="Y11" s="165" t="s">
        <v>40</v>
      </c>
      <c r="Z11" s="164"/>
      <c r="AA11" s="163"/>
      <c r="AB11" s="162" t="str">
        <f>$S$6</f>
        <v>On Peak</v>
      </c>
      <c r="AC11" s="386">
        <f>'[2]4D-1.)HY_TODLRatePxOut(SC1&amp;2)'!$L$50</f>
        <v>714</v>
      </c>
      <c r="AD11" s="161"/>
      <c r="AE11" s="386">
        <f>'[2]4D-1.)HY_TODLRatePxOut(SC1&amp;2)'!$M$50</f>
        <v>307880.31670308241</v>
      </c>
    </row>
    <row r="12" spans="1:31" outlineLevel="1" x14ac:dyDescent="0.35">
      <c r="A12" s="3" t="s">
        <v>899</v>
      </c>
      <c r="B12" s="3"/>
      <c r="C12" s="3"/>
      <c r="D12" s="3"/>
      <c r="E12" s="1230">
        <f>'10A.)EnergyRateDesignSummary'!D60</f>
        <v>8.539999999999999E-2</v>
      </c>
      <c r="F12" s="1230">
        <f>J126</f>
        <v>8.1299999999999997E-2</v>
      </c>
      <c r="G12" s="139"/>
      <c r="J12" s="372"/>
      <c r="K12" s="372"/>
      <c r="L12" s="372"/>
      <c r="P12" s="160" t="s">
        <v>40</v>
      </c>
      <c r="Q12" s="159"/>
      <c r="R12" s="158"/>
      <c r="S12" s="157" t="str">
        <f>$S$7</f>
        <v>Off Peak</v>
      </c>
      <c r="T12" s="387">
        <f>'[2]4D-1.)HY_TODLRatePxOut(SC1&amp;2)'!$L9</f>
        <v>0</v>
      </c>
      <c r="U12" s="156"/>
      <c r="V12" s="387">
        <f>'[2]4D-1.)HY_TODLRatePxOut(SC1&amp;2)'!$M$9</f>
        <v>25876337</v>
      </c>
      <c r="W12" s="403">
        <f>V14*R26</f>
        <v>11793499.463772001</v>
      </c>
      <c r="Y12" s="160" t="s">
        <v>40</v>
      </c>
      <c r="Z12" s="159"/>
      <c r="AA12" s="158"/>
      <c r="AB12" s="157" t="str">
        <f>$S$7</f>
        <v>Off Peak</v>
      </c>
      <c r="AC12" s="387">
        <f>'[2]4D-1.)HY_TODLRatePxOut(SC1&amp;2)'!$L$51</f>
        <v>0</v>
      </c>
      <c r="AD12" s="156"/>
      <c r="AE12" s="387">
        <f>'[2]4D-1.)HY_TODLRatePxOut(SC1&amp;2)'!$M$51</f>
        <v>204935.68329691765</v>
      </c>
    </row>
    <row r="13" spans="1:31" ht="15" outlineLevel="1" thickBot="1" x14ac:dyDescent="0.4">
      <c r="A13" s="3" t="s">
        <v>900</v>
      </c>
      <c r="B13" s="3"/>
      <c r="C13" s="3"/>
      <c r="D13" s="3"/>
      <c r="E13" s="1230">
        <f>'10A.)EnergyRateDesignSummary'!D61</f>
        <v>1.6299999999999999E-2</v>
      </c>
      <c r="F13" s="1230">
        <f>J127</f>
        <v>1.55E-2</v>
      </c>
      <c r="G13" s="139"/>
      <c r="I13" s="3"/>
      <c r="J13" s="372"/>
      <c r="K13" s="372"/>
      <c r="L13" s="372"/>
      <c r="M13" s="372"/>
      <c r="P13" s="155" t="s">
        <v>40</v>
      </c>
      <c r="Q13" s="154"/>
      <c r="R13" s="154"/>
      <c r="S13" s="154"/>
      <c r="T13" s="388"/>
      <c r="U13" s="191"/>
      <c r="V13" s="388"/>
      <c r="W13" s="388"/>
      <c r="Y13" s="155" t="s">
        <v>40</v>
      </c>
      <c r="Z13" s="154"/>
      <c r="AA13" s="154"/>
      <c r="AB13" s="154"/>
      <c r="AC13" s="388"/>
      <c r="AD13" s="191"/>
      <c r="AE13" s="388"/>
    </row>
    <row r="14" spans="1:31" ht="15.5" outlineLevel="1" thickTop="1" thickBot="1" x14ac:dyDescent="0.4">
      <c r="A14" s="3"/>
      <c r="B14" s="3"/>
      <c r="C14" s="3"/>
      <c r="D14" s="3"/>
      <c r="E14" s="311"/>
      <c r="F14" s="311"/>
      <c r="J14" s="33" t="s">
        <v>1480</v>
      </c>
      <c r="K14" s="17"/>
      <c r="L14" s="744">
        <f>ROUND('[2]6B.)RateChgAllocation'!$E$15/'[2]6B.)RateChgAllocation'!$H$15,8)</f>
        <v>2.8479879999999999E-2</v>
      </c>
      <c r="Q14" s="2"/>
      <c r="R14" s="3"/>
      <c r="S14" s="3"/>
      <c r="T14" s="151">
        <f>SUM(T11:T13)</f>
        <v>12963</v>
      </c>
      <c r="U14" s="151">
        <f>SUM(U11:U13)</f>
        <v>0</v>
      </c>
      <c r="V14" s="151">
        <f>SUM(V11:V13)</f>
        <v>42665454</v>
      </c>
      <c r="W14" s="151">
        <f>SUM(W11:W13)</f>
        <v>42665454</v>
      </c>
      <c r="Y14" s="1"/>
      <c r="Z14" s="2"/>
      <c r="AA14" s="3"/>
      <c r="AB14" s="3"/>
      <c r="AC14" s="151">
        <f>SUM(AC11:AC13)</f>
        <v>714</v>
      </c>
      <c r="AD14" s="151">
        <f>SUM(AD11:AD13)</f>
        <v>0</v>
      </c>
      <c r="AE14" s="151">
        <f>SUM(AE11:AE13)</f>
        <v>512816.00000000006</v>
      </c>
    </row>
    <row r="15" spans="1:31" ht="15" outlineLevel="1" thickTop="1" x14ac:dyDescent="0.35">
      <c r="A15" s="3"/>
      <c r="B15" s="3"/>
      <c r="C15" s="3"/>
      <c r="D15" s="3"/>
      <c r="E15" s="392"/>
      <c r="F15" s="392"/>
      <c r="G15" s="3"/>
      <c r="H15" s="3"/>
      <c r="L15" s="135"/>
      <c r="M15" s="135"/>
      <c r="Q15" s="2"/>
      <c r="R15" s="3"/>
      <c r="S15" s="3"/>
      <c r="T15" s="150"/>
      <c r="U15" s="150"/>
      <c r="V15" s="150"/>
    </row>
    <row r="16" spans="1:31" outlineLevel="1" x14ac:dyDescent="0.35">
      <c r="A16" s="119" t="s">
        <v>477</v>
      </c>
      <c r="B16" s="3"/>
      <c r="C16" s="3"/>
      <c r="D16" s="3"/>
      <c r="E16" s="392"/>
      <c r="F16" s="392"/>
      <c r="G16" s="3"/>
      <c r="H16" s="3"/>
      <c r="J16" s="33" t="s">
        <v>454</v>
      </c>
      <c r="L16" s="693">
        <f>'7A.)CustCharge_Summary'!$B$10</f>
        <v>35306813</v>
      </c>
      <c r="M16" s="406"/>
      <c r="Q16" s="2"/>
      <c r="R16" s="3"/>
      <c r="S16" s="3"/>
      <c r="T16" s="150"/>
      <c r="U16" s="150"/>
      <c r="V16" s="150"/>
    </row>
    <row r="17" spans="1:25" ht="15" outlineLevel="1" thickBot="1" x14ac:dyDescent="0.4">
      <c r="A17" t="s">
        <v>479</v>
      </c>
      <c r="B17" s="3"/>
      <c r="C17" s="307"/>
      <c r="D17" s="3"/>
      <c r="E17" s="1233">
        <v>4.1100000000000003</v>
      </c>
      <c r="F17" s="1280">
        <f>'7A.)CustCharge_Summary'!D52</f>
        <v>4.46</v>
      </c>
      <c r="J17" s="33" t="s">
        <v>455</v>
      </c>
      <c r="L17" s="693">
        <f>'7A.)CustCharge_Summary'!$C$10</f>
        <v>19443</v>
      </c>
      <c r="M17" s="408"/>
      <c r="P17" s="192" t="s">
        <v>160</v>
      </c>
      <c r="Q17" s="2"/>
      <c r="R17" s="372"/>
      <c r="S17" s="3"/>
      <c r="T17" s="3"/>
      <c r="U17" s="3"/>
      <c r="V17" s="3"/>
    </row>
    <row r="18" spans="1:25" ht="15.5" outlineLevel="1" thickTop="1" thickBot="1" x14ac:dyDescent="0.4">
      <c r="A18" s="3" t="s">
        <v>474</v>
      </c>
      <c r="B18" s="3"/>
      <c r="C18" s="3"/>
      <c r="D18" s="3"/>
      <c r="E18" s="1232">
        <f>E8-E17</f>
        <v>15.760000000000002</v>
      </c>
      <c r="F18" s="1232">
        <f>F8-F17</f>
        <v>16</v>
      </c>
      <c r="J18" s="33" t="s">
        <v>1395</v>
      </c>
      <c r="L18" s="693">
        <f>'7A.)CustCharge_Summary'!$D$10</f>
        <v>1073</v>
      </c>
      <c r="M18" s="408"/>
      <c r="P18" s="181" t="s">
        <v>461</v>
      </c>
      <c r="Q18" s="2"/>
      <c r="R18" s="3"/>
      <c r="S18" s="3"/>
      <c r="T18" s="3"/>
      <c r="U18" s="3"/>
      <c r="V18" s="3"/>
    </row>
    <row r="19" spans="1:25" ht="15" outlineLevel="1" thickTop="1" x14ac:dyDescent="0.35">
      <c r="A19" s="3"/>
      <c r="B19" s="3"/>
      <c r="C19" s="3"/>
      <c r="D19" s="3"/>
      <c r="E19" s="3"/>
      <c r="F19" s="3"/>
      <c r="G19" s="3"/>
      <c r="H19" s="3"/>
      <c r="P19" s="409"/>
      <c r="Q19" s="2"/>
      <c r="R19" s="30" t="s">
        <v>1312</v>
      </c>
      <c r="S19" s="3"/>
      <c r="T19" s="30" t="s">
        <v>26</v>
      </c>
      <c r="U19" s="30" t="s">
        <v>462</v>
      </c>
      <c r="V19" s="30" t="s">
        <v>44</v>
      </c>
    </row>
    <row r="20" spans="1:25" outlineLevel="1" x14ac:dyDescent="0.35">
      <c r="A20" s="3"/>
      <c r="B20" s="3"/>
      <c r="C20" s="3"/>
      <c r="D20" s="3"/>
      <c r="E20" s="3"/>
      <c r="F20" s="3"/>
      <c r="G20" s="3"/>
      <c r="P20" s="165" t="s">
        <v>42</v>
      </c>
      <c r="Q20" s="164"/>
      <c r="R20" s="913">
        <f>ROUND('[1]D3.)On&amp;OffPeak%'!$F$117,6)</f>
        <v>0.71593600000000002</v>
      </c>
      <c r="S20" s="164" t="s">
        <v>1393</v>
      </c>
      <c r="T20" s="161"/>
      <c r="U20" s="161"/>
      <c r="V20" s="735">
        <f>ROUND(U23*R20,0)</f>
        <v>3913479102</v>
      </c>
      <c r="W20" s="384"/>
    </row>
    <row r="21" spans="1:25" outlineLevel="1" x14ac:dyDescent="0.35">
      <c r="A21" s="3"/>
      <c r="B21" s="3"/>
      <c r="C21" s="3"/>
      <c r="D21" s="3"/>
      <c r="E21" s="3"/>
      <c r="F21" s="3"/>
      <c r="G21" s="230"/>
      <c r="L21" s="408" t="s">
        <v>135</v>
      </c>
      <c r="P21" s="170" t="s">
        <v>42</v>
      </c>
      <c r="Q21" s="159"/>
      <c r="R21" s="914">
        <f>ROUND('[1]D3.)On&amp;OffPeak%'!$G$117,6)</f>
        <v>0.28406399999999998</v>
      </c>
      <c r="S21" s="159" t="s">
        <v>445</v>
      </c>
      <c r="T21" s="156"/>
      <c r="U21" s="156"/>
      <c r="V21" s="733">
        <f>ROUND(U23*R21,0)</f>
        <v>1552762437</v>
      </c>
      <c r="W21" s="384"/>
    </row>
    <row r="22" spans="1:25" ht="15" outlineLevel="1" thickBot="1" x14ac:dyDescent="0.4">
      <c r="A22" s="3"/>
      <c r="B22" s="3"/>
      <c r="C22" s="3"/>
      <c r="D22" s="3"/>
      <c r="E22" s="3"/>
      <c r="F22" s="3"/>
      <c r="G22" s="230"/>
      <c r="J22" s="33" t="s">
        <v>1441</v>
      </c>
      <c r="L22" s="537">
        <f>'10C.)Energy_RateDesign_SC1_II'!L24</f>
        <v>1507794406.6876757</v>
      </c>
      <c r="P22" s="168" t="s">
        <v>42</v>
      </c>
      <c r="Q22" s="155"/>
      <c r="R22" s="710"/>
      <c r="S22" s="711"/>
      <c r="T22" s="191"/>
      <c r="U22" s="191"/>
      <c r="V22" s="388"/>
      <c r="W22" s="385"/>
    </row>
    <row r="23" spans="1:25" ht="15.5" outlineLevel="1" thickTop="1" thickBot="1" x14ac:dyDescent="0.4">
      <c r="A23" s="3"/>
      <c r="B23" s="3"/>
      <c r="C23" s="3"/>
      <c r="D23" s="3"/>
      <c r="E23" s="3"/>
      <c r="F23" s="3"/>
      <c r="G23" s="230"/>
      <c r="H23" s="3"/>
      <c r="J23" s="33" t="s">
        <v>1442</v>
      </c>
      <c r="L23" s="537">
        <f>'10C.)Energy_RateDesign_SC1_II'!L25</f>
        <v>6386333</v>
      </c>
      <c r="R23" s="382">
        <f>R20+R21</f>
        <v>1</v>
      </c>
      <c r="T23" s="915">
        <f>'10B.)Energy_RateDesign_SC1_I'!T9</f>
        <v>11772799</v>
      </c>
      <c r="U23" s="915">
        <f>'10B.)Energy_RateDesign_SC1_I'!V9</f>
        <v>5466241539</v>
      </c>
      <c r="V23" s="151">
        <f>SUM(V20:V22)</f>
        <v>5466241539</v>
      </c>
      <c r="W23" s="385"/>
    </row>
    <row r="24" spans="1:25" ht="15" outlineLevel="1" thickTop="1" x14ac:dyDescent="0.35">
      <c r="A24" s="3"/>
      <c r="B24" s="3"/>
      <c r="C24" s="3"/>
      <c r="D24" s="3"/>
      <c r="E24" s="3"/>
      <c r="F24" s="3"/>
      <c r="G24" s="230"/>
      <c r="H24" s="3"/>
      <c r="J24" s="33" t="s">
        <v>1443</v>
      </c>
      <c r="L24" s="691">
        <f>'[2]4D-1.)HY_TODLRatePxOut(SC1&amp;2)'!$T$60+'[2]4D-1.)HY_TODLRatePxOut(SC1&amp;2)'!$T$61</f>
        <v>79166</v>
      </c>
      <c r="R24" s="383"/>
      <c r="W24" s="385"/>
    </row>
    <row r="25" spans="1:25" outlineLevel="1" x14ac:dyDescent="0.35">
      <c r="J25" s="33" t="s">
        <v>1470</v>
      </c>
      <c r="L25" s="377">
        <f>L22+L23+L24</f>
        <v>1514259905.6876757</v>
      </c>
      <c r="P25" s="165" t="s">
        <v>40</v>
      </c>
      <c r="Q25" s="164"/>
      <c r="R25" s="913">
        <f>ROUND('[1]D3.)On&amp;OffPeak%'!$H$117,6)</f>
        <v>0.72358199999999995</v>
      </c>
      <c r="S25" s="162" t="str">
        <f>$S$6</f>
        <v>On Peak</v>
      </c>
      <c r="T25" s="161"/>
      <c r="U25" s="161"/>
      <c r="V25" s="735">
        <f>ROUND(U28*R25,0)</f>
        <v>5816214442</v>
      </c>
      <c r="W25" s="384"/>
    </row>
    <row r="26" spans="1:25" outlineLevel="1" x14ac:dyDescent="0.35">
      <c r="H26" s="3"/>
      <c r="M26" s="465"/>
      <c r="N26" s="130"/>
      <c r="P26" s="160" t="s">
        <v>40</v>
      </c>
      <c r="Q26" s="159"/>
      <c r="R26" s="914">
        <f>ROUND('[1]D3.)On&amp;OffPeak%'!$I$117,6)</f>
        <v>0.276418</v>
      </c>
      <c r="S26" s="157" t="str">
        <f>$S$7</f>
        <v>Off Peak</v>
      </c>
      <c r="T26" s="156"/>
      <c r="U26" s="156"/>
      <c r="V26" s="733">
        <f>ROUND(U28*R26,0)</f>
        <v>2221871693</v>
      </c>
      <c r="W26" s="384"/>
    </row>
    <row r="27" spans="1:25" ht="15" outlineLevel="1" thickBot="1" x14ac:dyDescent="0.4">
      <c r="L27" s="408" t="s">
        <v>26</v>
      </c>
      <c r="M27" s="408" t="s">
        <v>163</v>
      </c>
      <c r="N27" s="408" t="s">
        <v>1475</v>
      </c>
      <c r="P27" s="155" t="s">
        <v>40</v>
      </c>
      <c r="Q27" s="154"/>
      <c r="R27" s="710"/>
      <c r="S27" s="154"/>
      <c r="T27" s="191"/>
      <c r="U27" s="191"/>
      <c r="V27" s="388"/>
    </row>
    <row r="28" spans="1:25" ht="15.5" outlineLevel="1" thickTop="1" thickBot="1" x14ac:dyDescent="0.4">
      <c r="J28" s="33" t="s">
        <v>1471</v>
      </c>
      <c r="L28" s="540">
        <f>T23+T28</f>
        <v>35306813</v>
      </c>
      <c r="M28" s="912">
        <f>'10B.)Energy_RateDesign_SC1_I'!F8</f>
        <v>16</v>
      </c>
      <c r="N28" s="134">
        <f>ROUND(L28*M28,0)</f>
        <v>564909008</v>
      </c>
      <c r="Q28" s="2"/>
      <c r="R28" s="382">
        <f>R25+R26</f>
        <v>1</v>
      </c>
      <c r="S28" s="3"/>
      <c r="T28" s="915">
        <f>'10B.)Energy_RateDesign_SC1_I'!T14</f>
        <v>23534014</v>
      </c>
      <c r="U28" s="915">
        <f>'10B.)Energy_RateDesign_SC1_I'!V14</f>
        <v>8038086135</v>
      </c>
      <c r="V28" s="151">
        <f>SUM(V25:V27)</f>
        <v>8038086135</v>
      </c>
    </row>
    <row r="29" spans="1:25" ht="15" outlineLevel="1" thickTop="1" x14ac:dyDescent="0.35">
      <c r="J29" s="33" t="s">
        <v>1472</v>
      </c>
      <c r="L29" s="540">
        <f>T9+T14</f>
        <v>19443</v>
      </c>
      <c r="M29" s="912">
        <f>'10C.)Energy_RateDesign_SC1_II'!F8</f>
        <v>20.46</v>
      </c>
      <c r="N29" s="134">
        <f t="shared" ref="N29:N30" si="0">ROUND(L29*M29,0)</f>
        <v>397804</v>
      </c>
    </row>
    <row r="30" spans="1:25" outlineLevel="1" x14ac:dyDescent="0.35">
      <c r="J30" s="33" t="s">
        <v>1473</v>
      </c>
      <c r="L30" s="743">
        <f>AC9+AC14</f>
        <v>1073</v>
      </c>
      <c r="M30" s="912">
        <f>F8</f>
        <v>20.46</v>
      </c>
      <c r="N30" s="418">
        <f t="shared" si="0"/>
        <v>21954</v>
      </c>
      <c r="U30" s="916" t="s">
        <v>1397</v>
      </c>
      <c r="V30" s="916" t="str">
        <f>U30</f>
        <v>(Rate I, II, III)</v>
      </c>
      <c r="Y30" s="366"/>
    </row>
    <row r="31" spans="1:25" outlineLevel="1" x14ac:dyDescent="0.35">
      <c r="J31" s="33" t="s">
        <v>1474</v>
      </c>
      <c r="L31" s="366">
        <f>L28+L29+L30</f>
        <v>35327329</v>
      </c>
      <c r="M31" s="707"/>
      <c r="N31" s="134">
        <f>N28+N29+N30</f>
        <v>565328766</v>
      </c>
      <c r="U31" s="30" t="s">
        <v>26</v>
      </c>
      <c r="V31" s="30" t="s">
        <v>44</v>
      </c>
    </row>
    <row r="32" spans="1:25" outlineLevel="1" x14ac:dyDescent="0.35">
      <c r="P32" s="165" t="s">
        <v>42</v>
      </c>
      <c r="Q32" s="449"/>
      <c r="R32" s="449"/>
      <c r="S32" s="449"/>
      <c r="T32" s="449"/>
      <c r="U32" s="161"/>
      <c r="V32" s="386">
        <f>W6+V20+AE6</f>
        <v>3931262953.0035019</v>
      </c>
      <c r="W32" s="281"/>
    </row>
    <row r="33" spans="1:23" outlineLevel="1" x14ac:dyDescent="0.35">
      <c r="L33" s="406"/>
      <c r="M33" s="406"/>
      <c r="P33" s="170" t="s">
        <v>42</v>
      </c>
      <c r="Q33" s="450"/>
      <c r="R33" s="450"/>
      <c r="S33" s="450"/>
      <c r="T33" s="450"/>
      <c r="U33" s="156"/>
      <c r="V33" s="387">
        <f>W7+V21+AE7</f>
        <v>1559860745.9964976</v>
      </c>
      <c r="W33" s="281"/>
    </row>
    <row r="34" spans="1:23" ht="15" outlineLevel="1" thickBot="1" x14ac:dyDescent="0.4">
      <c r="L34" s="408" t="s">
        <v>135</v>
      </c>
      <c r="P34" s="168" t="s">
        <v>42</v>
      </c>
      <c r="Q34" s="451"/>
      <c r="R34" s="451"/>
      <c r="S34" s="451"/>
      <c r="T34" s="451"/>
      <c r="U34" s="191"/>
      <c r="V34" s="172"/>
    </row>
    <row r="35" spans="1:23" ht="15.5" outlineLevel="1" thickTop="1" thickBot="1" x14ac:dyDescent="0.4">
      <c r="J35" s="33" t="s">
        <v>1396</v>
      </c>
      <c r="L35" s="245">
        <f>'[2]6B.)RateChgAllocation'!$M$14+'[2]6B.)RateChgAllocation'!$M$16+'[2]6B.)RateChgAllocation'!$M$15</f>
        <v>43125939</v>
      </c>
      <c r="U35" s="151">
        <f>T9+T23+AC9</f>
        <v>11779638</v>
      </c>
      <c r="V35" s="151">
        <f>SUM(V32:V34)</f>
        <v>5491123699</v>
      </c>
    </row>
    <row r="36" spans="1:23" ht="15" outlineLevel="1" thickTop="1" x14ac:dyDescent="0.35"/>
    <row r="37" spans="1:23" outlineLevel="1" x14ac:dyDescent="0.35">
      <c r="J37" s="33" t="s">
        <v>1409</v>
      </c>
      <c r="L37" s="245">
        <f>'[2]6A.)RateChange'!$BJ$18-('[2]6B.)RateChgAllocation'!$J$17+'[2]6B.)RateChgAllocation'!$O$17)</f>
        <v>2128982298.6876757</v>
      </c>
      <c r="P37" s="165" t="s">
        <v>40</v>
      </c>
      <c r="Q37" s="449"/>
      <c r="R37" s="449"/>
      <c r="S37" s="449"/>
      <c r="T37" s="449"/>
      <c r="U37" s="161"/>
      <c r="V37" s="386">
        <f>W11+V25+AE11</f>
        <v>5847394276.852931</v>
      </c>
      <c r="W37" s="281"/>
    </row>
    <row r="38" spans="1:23" outlineLevel="1" x14ac:dyDescent="0.35">
      <c r="J38" s="33" t="s">
        <v>1316</v>
      </c>
      <c r="L38" s="709"/>
      <c r="P38" s="160" t="s">
        <v>40</v>
      </c>
      <c r="Q38" s="450"/>
      <c r="R38" s="450"/>
      <c r="S38" s="450"/>
      <c r="T38" s="450"/>
      <c r="U38" s="156"/>
      <c r="V38" s="387">
        <f>W12+V26+AE12</f>
        <v>2233870128.1470685</v>
      </c>
      <c r="W38" s="281"/>
    </row>
    <row r="39" spans="1:23" ht="15" outlineLevel="1" thickBot="1" x14ac:dyDescent="0.4">
      <c r="L39" s="130"/>
      <c r="P39" s="155" t="s">
        <v>40</v>
      </c>
      <c r="Q39" s="451"/>
      <c r="R39" s="451"/>
      <c r="S39" s="451"/>
      <c r="T39" s="451"/>
      <c r="U39" s="191"/>
      <c r="V39" s="172"/>
    </row>
    <row r="40" spans="1:23" ht="15.5" outlineLevel="1" thickTop="1" thickBot="1" x14ac:dyDescent="0.4">
      <c r="L40" s="130"/>
      <c r="U40" s="151">
        <f>T14+T28+AC14</f>
        <v>23547691</v>
      </c>
      <c r="V40" s="151">
        <f>SUM(V37:V39)</f>
        <v>8081264405</v>
      </c>
    </row>
    <row r="41" spans="1:23" ht="15" outlineLevel="1" thickTop="1" x14ac:dyDescent="0.35">
      <c r="L41" s="130"/>
    </row>
    <row r="42" spans="1:23" s="148" customFormat="1" outlineLevel="1" x14ac:dyDescent="0.35"/>
    <row r="43" spans="1:23" x14ac:dyDescent="0.35">
      <c r="A43" s="407" t="s">
        <v>1651</v>
      </c>
      <c r="B43" s="407"/>
      <c r="C43" s="131"/>
      <c r="D43" s="131"/>
      <c r="E43" s="131"/>
      <c r="F43" s="131"/>
    </row>
    <row r="44" spans="1:23" x14ac:dyDescent="0.35">
      <c r="A44" s="407"/>
      <c r="B44" s="407" t="s">
        <v>150</v>
      </c>
      <c r="C44" s="706">
        <f>$L$3</f>
        <v>2019</v>
      </c>
      <c r="D44" s="131"/>
      <c r="E44" s="131"/>
      <c r="F44" s="131"/>
    </row>
    <row r="45" spans="1:23" x14ac:dyDescent="0.35">
      <c r="A45" s="407"/>
      <c r="B45" s="131" t="s">
        <v>5</v>
      </c>
      <c r="C45" s="706">
        <f>$L$4</f>
        <v>2020</v>
      </c>
      <c r="D45" s="131"/>
      <c r="E45" s="131"/>
      <c r="F45" s="131"/>
    </row>
    <row r="46" spans="1:23" x14ac:dyDescent="0.35">
      <c r="A46" s="406"/>
      <c r="B46" s="41" t="str">
        <f>$A$4</f>
        <v>SC1 Rate III</v>
      </c>
      <c r="C46" s="380" t="s">
        <v>458</v>
      </c>
      <c r="D46" s="133"/>
      <c r="E46" s="133"/>
      <c r="F46" s="133"/>
      <c r="P46"/>
      <c r="Q46"/>
    </row>
    <row r="47" spans="1:23" x14ac:dyDescent="0.35">
      <c r="A47" s="406"/>
      <c r="B47" s="389" t="s">
        <v>1397</v>
      </c>
      <c r="C47" t="s">
        <v>1398</v>
      </c>
      <c r="J47" s="894">
        <f>L25</f>
        <v>1514259905.6876757</v>
      </c>
      <c r="K47" s="892" t="s">
        <v>79</v>
      </c>
      <c r="P47"/>
      <c r="Q47"/>
    </row>
    <row r="48" spans="1:23" x14ac:dyDescent="0.35">
      <c r="A48" s="406"/>
      <c r="C48" t="s">
        <v>1399</v>
      </c>
      <c r="J48" s="904">
        <f>L35</f>
        <v>43125939</v>
      </c>
      <c r="K48" s="892" t="s">
        <v>78</v>
      </c>
      <c r="P48"/>
      <c r="Q48"/>
    </row>
    <row r="49" spans="1:17" x14ac:dyDescent="0.35">
      <c r="A49" s="406"/>
      <c r="C49" t="s">
        <v>1400</v>
      </c>
      <c r="J49" s="130">
        <f>J47+J48</f>
        <v>1557385844.6876757</v>
      </c>
      <c r="K49" s="892" t="s">
        <v>1580</v>
      </c>
      <c r="P49"/>
      <c r="Q49"/>
    </row>
    <row r="50" spans="1:17" x14ac:dyDescent="0.35">
      <c r="A50" s="406"/>
      <c r="D50" t="s">
        <v>1520</v>
      </c>
      <c r="I50" s="894">
        <f>N31</f>
        <v>565328766</v>
      </c>
      <c r="J50" s="136"/>
      <c r="K50" s="892" t="s">
        <v>1173</v>
      </c>
      <c r="P50"/>
      <c r="Q50"/>
    </row>
    <row r="51" spans="1:17" x14ac:dyDescent="0.35">
      <c r="A51" s="406"/>
      <c r="D51" t="s">
        <v>701</v>
      </c>
      <c r="I51" s="896">
        <f>L9</f>
        <v>1.01108</v>
      </c>
      <c r="J51" s="136"/>
      <c r="K51" s="892" t="s">
        <v>177</v>
      </c>
      <c r="P51"/>
      <c r="Q51"/>
    </row>
    <row r="52" spans="1:17" x14ac:dyDescent="0.35">
      <c r="A52" s="406"/>
      <c r="C52" t="s">
        <v>1401</v>
      </c>
      <c r="J52" s="810">
        <f>ROUND(I50*I51,0)</f>
        <v>571592609</v>
      </c>
      <c r="K52" s="892" t="s">
        <v>1609</v>
      </c>
      <c r="P52"/>
      <c r="Q52"/>
    </row>
    <row r="53" spans="1:17" x14ac:dyDescent="0.35">
      <c r="A53" s="406"/>
      <c r="J53" s="130"/>
      <c r="P53"/>
      <c r="Q53"/>
    </row>
    <row r="54" spans="1:17" x14ac:dyDescent="0.35">
      <c r="A54" s="406"/>
      <c r="C54" s="75" t="s">
        <v>1402</v>
      </c>
      <c r="D54" s="75"/>
      <c r="E54" s="75"/>
      <c r="F54" s="75"/>
      <c r="J54" s="347">
        <f>J49+J52</f>
        <v>2128978453.6876757</v>
      </c>
      <c r="K54" s="892" t="s">
        <v>1582</v>
      </c>
      <c r="P54"/>
      <c r="Q54"/>
    </row>
    <row r="55" spans="1:17" x14ac:dyDescent="0.35">
      <c r="A55" s="406"/>
      <c r="L55" s="141"/>
    </row>
    <row r="56" spans="1:17" x14ac:dyDescent="0.35">
      <c r="A56" s="406"/>
      <c r="C56" t="s">
        <v>1403</v>
      </c>
      <c r="L56" s="141"/>
    </row>
    <row r="57" spans="1:17" x14ac:dyDescent="0.35">
      <c r="A57" s="406"/>
      <c r="C57" s="380" t="s">
        <v>1405</v>
      </c>
      <c r="L57" s="141"/>
    </row>
    <row r="58" spans="1:17" ht="15" thickBot="1" x14ac:dyDescent="0.4">
      <c r="A58" s="406"/>
      <c r="C58" t="s">
        <v>1404</v>
      </c>
      <c r="I58" s="366">
        <f>L16+L17+L18</f>
        <v>35327329</v>
      </c>
      <c r="K58" s="892" t="s">
        <v>1583</v>
      </c>
      <c r="L58" s="141"/>
    </row>
    <row r="59" spans="1:17" ht="15" thickBot="1" x14ac:dyDescent="0.4">
      <c r="A59" s="406"/>
      <c r="C59" s="400" t="s">
        <v>456</v>
      </c>
      <c r="D59" s="401"/>
      <c r="E59" s="401"/>
      <c r="F59" s="401"/>
      <c r="G59" s="401"/>
      <c r="H59" s="401"/>
      <c r="I59" s="917">
        <f>F8</f>
        <v>20.46</v>
      </c>
      <c r="J59" s="465"/>
      <c r="K59" s="892" t="s">
        <v>1304</v>
      </c>
      <c r="L59" s="141"/>
    </row>
    <row r="60" spans="1:17" x14ac:dyDescent="0.35">
      <c r="A60" s="406"/>
      <c r="C60" t="s">
        <v>457</v>
      </c>
      <c r="J60" s="345">
        <f>ROUND(I58*I59,0)</f>
        <v>722797151</v>
      </c>
      <c r="K60" s="892" t="s">
        <v>1584</v>
      </c>
      <c r="L60" s="141"/>
    </row>
    <row r="61" spans="1:17" x14ac:dyDescent="0.35">
      <c r="A61" s="406"/>
      <c r="C61" t="s">
        <v>460</v>
      </c>
      <c r="H61" s="381">
        <f>L9</f>
        <v>1.01108</v>
      </c>
      <c r="I61" s="892" t="s">
        <v>177</v>
      </c>
      <c r="J61" s="347">
        <f>ROUND(J60*H61,0)</f>
        <v>730805743</v>
      </c>
      <c r="K61" s="892" t="s">
        <v>1610</v>
      </c>
      <c r="L61" s="141"/>
    </row>
    <row r="62" spans="1:17" ht="15" thickBot="1" x14ac:dyDescent="0.4">
      <c r="A62" s="406"/>
      <c r="L62" s="141"/>
    </row>
    <row r="63" spans="1:17" ht="15.5" thickTop="1" thickBot="1" x14ac:dyDescent="0.4">
      <c r="A63" s="406"/>
      <c r="C63" s="131" t="s">
        <v>1406</v>
      </c>
      <c r="J63" s="635">
        <f>J54-J61</f>
        <v>1398172710.6876757</v>
      </c>
      <c r="K63" s="892" t="s">
        <v>1780</v>
      </c>
      <c r="L63" s="141"/>
    </row>
    <row r="64" spans="1:17" ht="15" thickTop="1" x14ac:dyDescent="0.35">
      <c r="A64" s="406"/>
      <c r="L64" s="141"/>
    </row>
    <row r="65" spans="1:17" x14ac:dyDescent="0.35">
      <c r="A65" s="406"/>
      <c r="C65" s="380" t="s">
        <v>469</v>
      </c>
      <c r="L65" s="141"/>
    </row>
    <row r="66" spans="1:17" x14ac:dyDescent="0.35">
      <c r="A66" s="406"/>
      <c r="C66" t="s">
        <v>1407</v>
      </c>
      <c r="L66" s="141"/>
    </row>
    <row r="67" spans="1:17" x14ac:dyDescent="0.35">
      <c r="A67" s="406"/>
      <c r="C67" t="s">
        <v>465</v>
      </c>
      <c r="L67" s="141"/>
    </row>
    <row r="68" spans="1:17" x14ac:dyDescent="0.35">
      <c r="A68" s="406"/>
      <c r="L68" s="141"/>
    </row>
    <row r="69" spans="1:17" x14ac:dyDescent="0.35">
      <c r="A69" s="406"/>
      <c r="G69" s="30" t="s">
        <v>1397</v>
      </c>
      <c r="H69" s="30" t="s">
        <v>293</v>
      </c>
      <c r="I69" s="30" t="s">
        <v>311</v>
      </c>
      <c r="J69" s="30"/>
      <c r="L69" s="141"/>
    </row>
    <row r="70" spans="1:17" x14ac:dyDescent="0.35">
      <c r="A70" s="406"/>
      <c r="D70" s="3" t="s">
        <v>42</v>
      </c>
      <c r="E70" s="3" t="s">
        <v>1392</v>
      </c>
      <c r="G70" s="72">
        <f>$V$32</f>
        <v>3931262953.0035019</v>
      </c>
      <c r="H70" s="708">
        <f>E10</f>
        <v>0.23070000000000002</v>
      </c>
      <c r="I70" s="134">
        <f>G70*H70</f>
        <v>906942363.25790799</v>
      </c>
      <c r="K70" s="892" t="s">
        <v>1616</v>
      </c>
      <c r="L70" s="141"/>
    </row>
    <row r="71" spans="1:17" x14ac:dyDescent="0.35">
      <c r="A71" s="406"/>
      <c r="D71" s="3" t="s">
        <v>42</v>
      </c>
      <c r="E71" s="3" t="s">
        <v>467</v>
      </c>
      <c r="G71" s="72">
        <f>$V$33</f>
        <v>1559860745.9964976</v>
      </c>
      <c r="H71" s="708">
        <f>E11</f>
        <v>1.6299999999999999E-2</v>
      </c>
      <c r="I71" s="134">
        <f t="shared" ref="I71:I73" si="1">G71*H71</f>
        <v>25425730.15974291</v>
      </c>
      <c r="K71" s="892" t="s">
        <v>1617</v>
      </c>
      <c r="L71" s="141"/>
    </row>
    <row r="72" spans="1:17" x14ac:dyDescent="0.35">
      <c r="A72" s="406"/>
      <c r="D72" s="3" t="s">
        <v>40</v>
      </c>
      <c r="E72" s="3" t="s">
        <v>1392</v>
      </c>
      <c r="G72" s="72">
        <f>$V$37</f>
        <v>5847394276.852931</v>
      </c>
      <c r="H72" s="708">
        <f>E12</f>
        <v>8.539999999999999E-2</v>
      </c>
      <c r="I72" s="134">
        <f t="shared" si="1"/>
        <v>499367471.24324024</v>
      </c>
      <c r="K72" s="892" t="s">
        <v>1612</v>
      </c>
      <c r="L72" s="141"/>
    </row>
    <row r="73" spans="1:17" ht="15" thickBot="1" x14ac:dyDescent="0.4">
      <c r="A73" s="406"/>
      <c r="D73" s="3" t="s">
        <v>40</v>
      </c>
      <c r="E73" s="3" t="s">
        <v>467</v>
      </c>
      <c r="G73" s="67">
        <f>$V$38</f>
        <v>2233870128.1470685</v>
      </c>
      <c r="H73" s="708">
        <f>E13</f>
        <v>1.6299999999999999E-2</v>
      </c>
      <c r="I73" s="134">
        <f t="shared" si="1"/>
        <v>36412083.088797212</v>
      </c>
      <c r="K73" s="892" t="s">
        <v>1613</v>
      </c>
      <c r="L73" s="141"/>
    </row>
    <row r="74" spans="1:17" ht="15.5" thickTop="1" thickBot="1" x14ac:dyDescent="0.4">
      <c r="A74" s="406"/>
      <c r="C74" s="390" t="s">
        <v>1611</v>
      </c>
      <c r="D74" s="3"/>
      <c r="E74" s="3"/>
      <c r="G74" s="905">
        <f>SUM(G70:G73)</f>
        <v>13572388104</v>
      </c>
      <c r="H74" s="365"/>
      <c r="I74" s="134"/>
      <c r="J74" s="128">
        <f>ROUND(SUM(I70:I73),0)</f>
        <v>1468147648</v>
      </c>
      <c r="K74" s="892" t="s">
        <v>1618</v>
      </c>
      <c r="L74" s="141"/>
    </row>
    <row r="75" spans="1:17" ht="15" thickTop="1" x14ac:dyDescent="0.35">
      <c r="A75" s="406"/>
      <c r="L75" s="141"/>
    </row>
    <row r="76" spans="1:17" x14ac:dyDescent="0.35">
      <c r="A76" s="406"/>
      <c r="I76" s="367" t="s">
        <v>468</v>
      </c>
      <c r="J76" s="909">
        <f>ROUND(J63/J74-1,8)</f>
        <v>-4.7662059999999999E-2</v>
      </c>
      <c r="K76" s="892" t="s">
        <v>1619</v>
      </c>
      <c r="L76" s="141"/>
    </row>
    <row r="77" spans="1:17" x14ac:dyDescent="0.35">
      <c r="A77" s="406"/>
      <c r="L77" s="141"/>
    </row>
    <row r="78" spans="1:17" x14ac:dyDescent="0.35">
      <c r="A78" s="407" t="s">
        <v>413</v>
      </c>
      <c r="P78"/>
      <c r="Q78"/>
    </row>
    <row r="79" spans="1:17" ht="15" thickBot="1" x14ac:dyDescent="0.4">
      <c r="A79" s="406"/>
    </row>
    <row r="80" spans="1:17" ht="15.5" thickTop="1" thickBot="1" x14ac:dyDescent="0.4">
      <c r="A80" s="406"/>
      <c r="B80" s="41" t="str">
        <f>$A$4</f>
        <v>SC1 Rate III</v>
      </c>
      <c r="C80" s="3"/>
      <c r="D80" s="3"/>
      <c r="E80" s="3"/>
      <c r="F80" s="3"/>
      <c r="G80" s="3"/>
      <c r="H80" s="1316" t="s">
        <v>680</v>
      </c>
      <c r="I80" s="1317"/>
      <c r="J80" s="1318"/>
      <c r="K80" s="3"/>
      <c r="L80" s="1307" t="s">
        <v>81</v>
      </c>
      <c r="M80" s="1308"/>
      <c r="N80" s="1309"/>
      <c r="P80"/>
      <c r="Q80"/>
    </row>
    <row r="81" spans="1:17" ht="15" thickTop="1" x14ac:dyDescent="0.35">
      <c r="A81" s="406"/>
      <c r="B81" s="3"/>
      <c r="C81" s="3"/>
      <c r="E81" s="30"/>
      <c r="F81" s="3"/>
      <c r="G81" s="3"/>
      <c r="H81" s="30" t="s">
        <v>42</v>
      </c>
      <c r="I81" s="30"/>
      <c r="J81" s="30" t="s">
        <v>40</v>
      </c>
      <c r="K81" s="3"/>
      <c r="L81" s="30" t="s">
        <v>42</v>
      </c>
      <c r="M81" s="86"/>
      <c r="N81" s="30" t="s">
        <v>40</v>
      </c>
      <c r="P81"/>
      <c r="Q81"/>
    </row>
    <row r="82" spans="1:17" x14ac:dyDescent="0.35">
      <c r="B82" s="3"/>
      <c r="C82" s="3"/>
      <c r="G82" s="3"/>
      <c r="H82" s="35"/>
      <c r="I82" s="35"/>
      <c r="J82" s="35"/>
      <c r="K82" s="3"/>
      <c r="L82" s="30"/>
      <c r="M82" s="86"/>
      <c r="N82" s="30"/>
      <c r="P82"/>
      <c r="Q82"/>
    </row>
    <row r="83" spans="1:17" x14ac:dyDescent="0.35">
      <c r="B83" s="3"/>
      <c r="C83" s="3"/>
      <c r="G83" s="3"/>
      <c r="H83" s="35"/>
      <c r="I83" s="35"/>
      <c r="J83" s="35"/>
      <c r="K83" s="3"/>
      <c r="L83" s="30"/>
      <c r="M83" s="86"/>
      <c r="N83" s="30"/>
      <c r="P83"/>
      <c r="Q83"/>
    </row>
    <row r="84" spans="1:17" x14ac:dyDescent="0.35">
      <c r="C84" t="s">
        <v>377</v>
      </c>
      <c r="E84" s="123"/>
      <c r="F84" s="121" t="str">
        <f>S6</f>
        <v>On Peak</v>
      </c>
      <c r="G84" s="123"/>
      <c r="H84" s="348">
        <f>E10</f>
        <v>0.23070000000000002</v>
      </c>
      <c r="I84" s="892" t="s">
        <v>165</v>
      </c>
      <c r="J84" s="348">
        <f>E12</f>
        <v>8.539999999999999E-2</v>
      </c>
      <c r="K84" s="892" t="s">
        <v>138</v>
      </c>
      <c r="L84" s="27">
        <f>H84-J$85</f>
        <v>0.21440000000000001</v>
      </c>
      <c r="M84" s="61" t="s">
        <v>1553</v>
      </c>
      <c r="N84" s="27">
        <f>J84-J$85</f>
        <v>6.9099999999999995E-2</v>
      </c>
      <c r="O84" s="61" t="s">
        <v>1555</v>
      </c>
      <c r="P84"/>
      <c r="Q84"/>
    </row>
    <row r="85" spans="1:17" x14ac:dyDescent="0.35">
      <c r="B85" s="3"/>
      <c r="C85" s="3" t="s">
        <v>376</v>
      </c>
      <c r="D85" s="3"/>
      <c r="E85" s="123"/>
      <c r="F85" s="121" t="str">
        <f>S7</f>
        <v>Off Peak</v>
      </c>
      <c r="G85" s="36"/>
      <c r="H85" s="348">
        <f>E11</f>
        <v>1.6299999999999999E-2</v>
      </c>
      <c r="I85" s="892" t="s">
        <v>166</v>
      </c>
      <c r="J85" s="348">
        <f>E13</f>
        <v>1.6299999999999999E-2</v>
      </c>
      <c r="K85" s="892" t="s">
        <v>101</v>
      </c>
      <c r="L85" s="27">
        <f>H85-J$85</f>
        <v>0</v>
      </c>
      <c r="M85" s="61" t="s">
        <v>1554</v>
      </c>
      <c r="N85" s="112"/>
      <c r="O85" s="61" t="s">
        <v>1091</v>
      </c>
      <c r="P85"/>
      <c r="Q85"/>
    </row>
    <row r="86" spans="1:17" x14ac:dyDescent="0.35">
      <c r="B86" s="3"/>
      <c r="C86" s="3"/>
      <c r="D86" s="3"/>
      <c r="E86" s="3"/>
      <c r="F86" s="3"/>
      <c r="G86" s="36"/>
      <c r="P86"/>
      <c r="Q86"/>
    </row>
    <row r="87" spans="1:17" x14ac:dyDescent="0.35">
      <c r="B87" s="3"/>
      <c r="E87" s="123"/>
      <c r="F87" s="123"/>
      <c r="G87" s="36"/>
      <c r="I87" s="120"/>
      <c r="J87" s="120"/>
      <c r="K87" s="3"/>
      <c r="L87" s="27"/>
      <c r="M87" s="61"/>
      <c r="N87" s="61"/>
      <c r="P87"/>
      <c r="Q87"/>
    </row>
    <row r="88" spans="1:17" ht="15" thickBot="1" x14ac:dyDescent="0.4">
      <c r="K88" s="100" t="s">
        <v>431</v>
      </c>
      <c r="L88" s="906">
        <f>J76</f>
        <v>-4.7662059999999999E-2</v>
      </c>
      <c r="M88" s="61" t="s">
        <v>1621</v>
      </c>
      <c r="N88" s="61"/>
      <c r="O88" s="61"/>
      <c r="P88" s="61"/>
    </row>
    <row r="89" spans="1:17" ht="15.5" thickTop="1" thickBot="1" x14ac:dyDescent="0.4">
      <c r="D89" s="1"/>
      <c r="E89" s="1"/>
      <c r="F89" s="1"/>
      <c r="L89" s="1307" t="s">
        <v>76</v>
      </c>
      <c r="M89" s="1308"/>
      <c r="N89" s="1309"/>
      <c r="P89"/>
      <c r="Q89"/>
    </row>
    <row r="90" spans="1:17" ht="15.5" thickTop="1" thickBot="1" x14ac:dyDescent="0.4">
      <c r="C90" s="70" t="s">
        <v>77</v>
      </c>
      <c r="D90" s="1"/>
      <c r="E90" s="1"/>
      <c r="F90" s="1"/>
      <c r="G90" s="118" t="s">
        <v>42</v>
      </c>
      <c r="H90" s="118" t="s">
        <v>40</v>
      </c>
      <c r="L90" s="30" t="s">
        <v>42</v>
      </c>
      <c r="M90" s="86"/>
      <c r="N90" s="30" t="s">
        <v>40</v>
      </c>
      <c r="P90"/>
      <c r="Q90"/>
    </row>
    <row r="91" spans="1:17" x14ac:dyDescent="0.35">
      <c r="C91" t="s">
        <v>377</v>
      </c>
      <c r="D91" s="121"/>
      <c r="E91" s="122"/>
      <c r="F91" s="121" t="str">
        <f>$F$84</f>
        <v>On Peak</v>
      </c>
      <c r="G91" s="117" t="str">
        <f>CONCATENATE("X + ",L91)</f>
        <v>X + 0.2042</v>
      </c>
      <c r="H91" s="116" t="str">
        <f>CONCATENATE("X + ",N91)</f>
        <v>X + 0.0658</v>
      </c>
      <c r="L91" s="907">
        <f>ROUND(L84*(1+$L$88),4)</f>
        <v>0.20419999999999999</v>
      </c>
      <c r="M91" s="61" t="s">
        <v>1622</v>
      </c>
      <c r="N91" s="223">
        <f>ROUND(N84*(1+$L$88),4)</f>
        <v>6.5799999999999997E-2</v>
      </c>
      <c r="O91" s="61" t="s">
        <v>1624</v>
      </c>
      <c r="P91"/>
      <c r="Q91"/>
    </row>
    <row r="92" spans="1:17" x14ac:dyDescent="0.35">
      <c r="D92" s="1"/>
      <c r="E92" s="1"/>
      <c r="F92" s="1"/>
      <c r="G92" s="114"/>
      <c r="H92" s="113"/>
      <c r="L92" s="2"/>
      <c r="M92" s="61"/>
      <c r="N92" s="2"/>
      <c r="O92" s="61"/>
      <c r="P92"/>
      <c r="Q92"/>
    </row>
    <row r="93" spans="1:17" ht="15" thickBot="1" x14ac:dyDescent="0.4">
      <c r="C93" s="3" t="s">
        <v>376</v>
      </c>
      <c r="D93" s="2"/>
      <c r="E93" s="122"/>
      <c r="F93" s="121" t="str">
        <f>$F$85</f>
        <v>Off Peak</v>
      </c>
      <c r="G93" s="111" t="str">
        <f>CONCATENATE("X + ",L93)</f>
        <v>X + 0</v>
      </c>
      <c r="H93" s="350" t="s">
        <v>32</v>
      </c>
      <c r="L93" s="223">
        <f>ROUND(L85*(1+$L$88),4)</f>
        <v>0</v>
      </c>
      <c r="M93" s="61" t="s">
        <v>1623</v>
      </c>
      <c r="N93" s="223">
        <f>ROUND(N85*(1+$L$88),4)</f>
        <v>0</v>
      </c>
      <c r="O93" s="61" t="s">
        <v>1625</v>
      </c>
      <c r="P93"/>
      <c r="Q93"/>
    </row>
    <row r="94" spans="1:17" x14ac:dyDescent="0.35">
      <c r="D94" s="1"/>
      <c r="E94" s="1"/>
      <c r="F94" s="1"/>
      <c r="L94" s="1"/>
      <c r="N94" s="1"/>
      <c r="P94"/>
      <c r="Q94"/>
    </row>
    <row r="95" spans="1:17" x14ac:dyDescent="0.35">
      <c r="D95" s="1"/>
      <c r="E95" s="1"/>
      <c r="F95" s="1"/>
      <c r="P95"/>
      <c r="Q95"/>
    </row>
    <row r="96" spans="1:17" x14ac:dyDescent="0.35">
      <c r="B96" s="334" t="s">
        <v>46</v>
      </c>
      <c r="P96"/>
      <c r="Q96"/>
    </row>
    <row r="97" spans="2:17" x14ac:dyDescent="0.35">
      <c r="B97" s="41" t="str">
        <f>$A$4</f>
        <v>SC1 Rate III</v>
      </c>
      <c r="P97"/>
      <c r="Q97"/>
    </row>
    <row r="98" spans="2:17" ht="15" thickBot="1" x14ac:dyDescent="0.4">
      <c r="B98" s="70" t="s">
        <v>414</v>
      </c>
      <c r="C98" s="70"/>
      <c r="D98" s="70"/>
      <c r="E98" s="3"/>
      <c r="F98" s="3"/>
      <c r="I98" s="30" t="s">
        <v>463</v>
      </c>
      <c r="J98" s="3"/>
      <c r="K98" s="3"/>
      <c r="P98"/>
      <c r="Q98"/>
    </row>
    <row r="99" spans="2:17" x14ac:dyDescent="0.35">
      <c r="B99" s="3"/>
      <c r="C99" s="3" t="s">
        <v>42</v>
      </c>
      <c r="D99" s="108" t="str">
        <f>CONCATENATE(D84,E84,F84," kWh")</f>
        <v>On Peak kWh</v>
      </c>
      <c r="I99" s="72">
        <f>$V$32</f>
        <v>3931262953.0035019</v>
      </c>
      <c r="J99" s="36" t="s">
        <v>39</v>
      </c>
      <c r="K99" s="74" t="str">
        <f>CONCATENATE("[",G91,"]")</f>
        <v>[X + 0.2042]</v>
      </c>
      <c r="L99" s="61" t="s">
        <v>1558</v>
      </c>
      <c r="P99"/>
      <c r="Q99"/>
    </row>
    <row r="100" spans="2:17" x14ac:dyDescent="0.35">
      <c r="B100" s="3"/>
      <c r="C100" s="3" t="s">
        <v>42</v>
      </c>
      <c r="D100" s="108" t="str">
        <f>CONCATENATE(D85,E85,F85," kWh")</f>
        <v>Off Peak kWh</v>
      </c>
      <c r="I100" s="72">
        <f>$V$33</f>
        <v>1559860745.9964976</v>
      </c>
      <c r="J100" s="36" t="s">
        <v>39</v>
      </c>
      <c r="K100" s="107" t="str">
        <f>CONCATENATE("[",G93,"]")</f>
        <v>[X + 0]</v>
      </c>
      <c r="L100" s="61" t="s">
        <v>1559</v>
      </c>
      <c r="P100"/>
      <c r="Q100"/>
    </row>
    <row r="101" spans="2:17" x14ac:dyDescent="0.35">
      <c r="B101" s="3"/>
      <c r="C101" s="3" t="s">
        <v>40</v>
      </c>
      <c r="D101" s="3" t="str">
        <f>D99</f>
        <v>On Peak kWh</v>
      </c>
      <c r="I101" s="72">
        <f>$V$37</f>
        <v>5847394276.852931</v>
      </c>
      <c r="J101" s="36" t="s">
        <v>39</v>
      </c>
      <c r="K101" s="73" t="str">
        <f>CONCATENATE("[",H91,"]")</f>
        <v>[X + 0.0658]</v>
      </c>
      <c r="L101" s="61" t="s">
        <v>1560</v>
      </c>
      <c r="P101"/>
      <c r="Q101"/>
    </row>
    <row r="102" spans="2:17" ht="15" thickBot="1" x14ac:dyDescent="0.4">
      <c r="B102" s="3"/>
      <c r="C102" s="3" t="s">
        <v>40</v>
      </c>
      <c r="D102" s="3" t="str">
        <f>D100</f>
        <v>Off Peak kWh</v>
      </c>
      <c r="I102" s="67">
        <f>$V$38</f>
        <v>2233870128.1470685</v>
      </c>
      <c r="J102" s="36" t="s">
        <v>39</v>
      </c>
      <c r="K102" s="71" t="str">
        <f>CONCATENATE("[",H93,"]")</f>
        <v>[X]</v>
      </c>
      <c r="L102" s="61" t="s">
        <v>1642</v>
      </c>
      <c r="P102"/>
      <c r="Q102"/>
    </row>
    <row r="103" spans="2:17" x14ac:dyDescent="0.35">
      <c r="I103" s="28">
        <f>SUM(I99:I102)</f>
        <v>13572388104</v>
      </c>
      <c r="J103" s="61" t="s">
        <v>1596</v>
      </c>
    </row>
    <row r="105" spans="2:17" x14ac:dyDescent="0.35">
      <c r="B105" s="70" t="s">
        <v>472</v>
      </c>
      <c r="P105"/>
      <c r="Q105"/>
    </row>
    <row r="106" spans="2:17" x14ac:dyDescent="0.35">
      <c r="B106" s="41" t="str">
        <f>$A$4</f>
        <v>SC1 Rate III</v>
      </c>
      <c r="F106" s="3"/>
      <c r="G106" s="3"/>
      <c r="H106" s="3"/>
      <c r="I106" s="69" t="s">
        <v>44</v>
      </c>
      <c r="J106" s="3"/>
      <c r="K106" s="106"/>
      <c r="L106" s="3"/>
      <c r="M106" s="3"/>
      <c r="N106" s="17"/>
      <c r="P106"/>
      <c r="Q106"/>
    </row>
    <row r="107" spans="2:17" x14ac:dyDescent="0.35">
      <c r="C107" s="3" t="s">
        <v>42</v>
      </c>
      <c r="D107" s="392" t="str">
        <f>D99</f>
        <v>On Peak kWh</v>
      </c>
      <c r="H107" s="3"/>
      <c r="I107" s="105">
        <f>I99</f>
        <v>3931262953.0035019</v>
      </c>
      <c r="J107" s="65" t="s">
        <v>63</v>
      </c>
      <c r="K107" s="26">
        <f>ROUND(I107*L91,0)</f>
        <v>802763895</v>
      </c>
      <c r="L107" s="3" t="s">
        <v>62</v>
      </c>
      <c r="M107" s="61" t="s">
        <v>1564</v>
      </c>
      <c r="N107" s="17"/>
      <c r="P107"/>
      <c r="Q107"/>
    </row>
    <row r="108" spans="2:17" x14ac:dyDescent="0.35">
      <c r="C108" s="3" t="s">
        <v>42</v>
      </c>
      <c r="D108" s="392" t="str">
        <f>D100</f>
        <v>Off Peak kWh</v>
      </c>
      <c r="H108" s="3"/>
      <c r="I108" s="105">
        <f>I100</f>
        <v>1559860745.9964976</v>
      </c>
      <c r="J108" s="65" t="s">
        <v>63</v>
      </c>
      <c r="K108" s="26">
        <f>ROUND(I108*L93,0)</f>
        <v>0</v>
      </c>
      <c r="L108" s="3" t="s">
        <v>62</v>
      </c>
      <c r="M108" s="61" t="s">
        <v>1565</v>
      </c>
      <c r="N108" s="17"/>
      <c r="P108"/>
      <c r="Q108"/>
    </row>
    <row r="109" spans="2:17" x14ac:dyDescent="0.35">
      <c r="C109" s="3" t="s">
        <v>40</v>
      </c>
      <c r="D109" s="392" t="str">
        <f>D101</f>
        <v>On Peak kWh</v>
      </c>
      <c r="H109" s="3"/>
      <c r="I109" s="105">
        <f>I101</f>
        <v>5847394276.852931</v>
      </c>
      <c r="J109" s="65" t="s">
        <v>63</v>
      </c>
      <c r="K109" s="26">
        <f>ROUND(I109*N91,0)</f>
        <v>384758543</v>
      </c>
      <c r="L109" s="3" t="s">
        <v>62</v>
      </c>
      <c r="M109" s="61" t="s">
        <v>1566</v>
      </c>
      <c r="N109" s="17"/>
      <c r="P109"/>
      <c r="Q109"/>
    </row>
    <row r="110" spans="2:17" x14ac:dyDescent="0.35">
      <c r="C110" s="3" t="s">
        <v>40</v>
      </c>
      <c r="D110" s="392" t="str">
        <f>D102</f>
        <v>Off Peak kWh</v>
      </c>
      <c r="H110" s="3"/>
      <c r="I110" s="351">
        <f>I102</f>
        <v>2233870128.1470685</v>
      </c>
      <c r="J110" s="65" t="s">
        <v>63</v>
      </c>
      <c r="K110" s="37">
        <f>ROUND(I110*N93,0)</f>
        <v>0</v>
      </c>
      <c r="L110" s="3" t="s">
        <v>62</v>
      </c>
      <c r="M110" s="61" t="s">
        <v>1561</v>
      </c>
      <c r="N110" s="17"/>
      <c r="P110"/>
      <c r="Q110"/>
    </row>
    <row r="111" spans="2:17" x14ac:dyDescent="0.35">
      <c r="C111" s="3"/>
      <c r="F111" s="66"/>
      <c r="G111" s="908">
        <f>J63</f>
        <v>1398172710.6876757</v>
      </c>
      <c r="H111" s="63" t="s">
        <v>31</v>
      </c>
      <c r="I111" s="28">
        <f>SUM(I107:I110)</f>
        <v>13572388104</v>
      </c>
      <c r="J111" s="65" t="s">
        <v>63</v>
      </c>
      <c r="K111" s="103">
        <f>SUM(K107:K110)</f>
        <v>1187522438</v>
      </c>
      <c r="L111" s="3" t="s">
        <v>1597</v>
      </c>
      <c r="M111" s="61" t="s">
        <v>1563</v>
      </c>
      <c r="N111" s="17"/>
      <c r="P111"/>
      <c r="Q111"/>
    </row>
    <row r="112" spans="2:17" x14ac:dyDescent="0.35">
      <c r="F112" s="3"/>
      <c r="G112" s="3"/>
      <c r="H112" s="3"/>
      <c r="I112" s="3"/>
      <c r="J112" s="3"/>
      <c r="K112" s="3"/>
      <c r="L112" s="3"/>
      <c r="M112" s="61" t="s">
        <v>1626</v>
      </c>
      <c r="N112" s="17"/>
      <c r="P112"/>
      <c r="Q112"/>
    </row>
    <row r="113" spans="2:17" x14ac:dyDescent="0.35">
      <c r="F113" s="34"/>
      <c r="G113" s="34">
        <f>G111-K111</f>
        <v>210650272.68767571</v>
      </c>
      <c r="H113" s="63" t="s">
        <v>31</v>
      </c>
      <c r="I113" s="28">
        <f>I111</f>
        <v>13572388104</v>
      </c>
      <c r="J113" s="65" t="s">
        <v>32</v>
      </c>
      <c r="K113" s="3"/>
      <c r="L113" s="3"/>
      <c r="M113" s="61" t="s">
        <v>1627</v>
      </c>
      <c r="N113" s="17"/>
      <c r="P113"/>
      <c r="Q113"/>
    </row>
    <row r="114" spans="2:17" ht="15" thickBot="1" x14ac:dyDescent="0.4">
      <c r="F114" s="3"/>
      <c r="G114" s="3"/>
      <c r="H114" s="3"/>
      <c r="I114" s="3"/>
      <c r="J114" s="3"/>
      <c r="K114" s="34"/>
      <c r="L114" s="34"/>
      <c r="M114" s="34"/>
      <c r="N114" s="17"/>
      <c r="P114"/>
      <c r="Q114"/>
    </row>
    <row r="115" spans="2:17" ht="15.5" thickTop="1" thickBot="1" x14ac:dyDescent="0.4">
      <c r="F115" s="64"/>
      <c r="G115" s="101" t="s">
        <v>32</v>
      </c>
      <c r="H115" s="63" t="s">
        <v>31</v>
      </c>
      <c r="I115" s="352">
        <f>ROUND(G113/I113,4)</f>
        <v>1.55E-2</v>
      </c>
      <c r="J115" s="61" t="s">
        <v>1601</v>
      </c>
      <c r="K115" s="143"/>
      <c r="L115" s="34"/>
      <c r="M115" s="61" t="s">
        <v>1628</v>
      </c>
      <c r="N115" s="17"/>
      <c r="P115"/>
      <c r="Q115"/>
    </row>
    <row r="116" spans="2:17" ht="15" thickTop="1" x14ac:dyDescent="0.35">
      <c r="I116" s="391"/>
      <c r="P116"/>
      <c r="Q116"/>
    </row>
    <row r="118" spans="2:17" x14ac:dyDescent="0.35">
      <c r="B118" s="334" t="str">
        <f>CONCATENATE($A$4," at Proposed T&amp;D Rates")</f>
        <v>SC1 Rate III at Proposed T&amp;D Rates</v>
      </c>
      <c r="P118"/>
      <c r="Q118"/>
    </row>
    <row r="119" spans="2:17" ht="15" thickBot="1" x14ac:dyDescent="0.4">
      <c r="B119" s="42"/>
      <c r="P119"/>
      <c r="Q119"/>
    </row>
    <row r="120" spans="2:17" ht="15" thickBot="1" x14ac:dyDescent="0.4">
      <c r="C120" s="60" t="s">
        <v>5</v>
      </c>
      <c r="D120" s="353">
        <f>$L$4</f>
        <v>2020</v>
      </c>
      <c r="E120" s="58"/>
      <c r="F120" s="58"/>
      <c r="G120" s="59"/>
      <c r="H120" s="59"/>
      <c r="I120" s="59"/>
      <c r="J120" s="59"/>
      <c r="K120" s="98"/>
      <c r="L120" s="3"/>
      <c r="M120" s="3"/>
      <c r="N120" s="17"/>
      <c r="O120" s="3"/>
      <c r="P120"/>
      <c r="Q120"/>
    </row>
    <row r="121" spans="2:17" ht="15.5" thickTop="1" thickBot="1" x14ac:dyDescent="0.4">
      <c r="C121" s="96"/>
      <c r="D121" s="44"/>
      <c r="E121" s="44"/>
      <c r="F121" s="44"/>
      <c r="G121" s="44"/>
      <c r="H121" s="1307" t="s">
        <v>415</v>
      </c>
      <c r="I121" s="1308"/>
      <c r="J121" s="1309"/>
      <c r="K121" s="94"/>
      <c r="L121" s="3"/>
      <c r="M121" s="1307" t="s">
        <v>471</v>
      </c>
      <c r="N121" s="1308"/>
      <c r="O121" s="1309"/>
      <c r="P121"/>
      <c r="Q121"/>
    </row>
    <row r="122" spans="2:17" ht="15" thickTop="1" x14ac:dyDescent="0.35">
      <c r="C122" s="96"/>
      <c r="D122" s="44"/>
      <c r="E122" s="44"/>
      <c r="F122" s="44"/>
      <c r="G122" s="44"/>
      <c r="H122" s="56" t="s">
        <v>10</v>
      </c>
      <c r="I122" s="44"/>
      <c r="J122" s="56" t="s">
        <v>7</v>
      </c>
      <c r="K122" s="94"/>
      <c r="L122" s="3"/>
      <c r="M122" s="56" t="s">
        <v>10</v>
      </c>
      <c r="N122" s="44"/>
      <c r="O122" s="56" t="s">
        <v>7</v>
      </c>
      <c r="P122"/>
      <c r="Q122"/>
    </row>
    <row r="123" spans="2:17" x14ac:dyDescent="0.35">
      <c r="C123" s="96" t="s">
        <v>474</v>
      </c>
      <c r="D123" s="44"/>
      <c r="E123" s="44"/>
      <c r="F123" s="44"/>
      <c r="G123" s="44"/>
      <c r="H123" s="354">
        <f>F18</f>
        <v>16</v>
      </c>
      <c r="I123" s="44"/>
      <c r="J123" s="354">
        <f>J125-J124</f>
        <v>16</v>
      </c>
      <c r="K123" s="94"/>
      <c r="L123" s="3"/>
      <c r="M123" s="56"/>
      <c r="N123" s="44"/>
      <c r="O123" s="56"/>
      <c r="P123"/>
      <c r="Q123"/>
    </row>
    <row r="124" spans="2:17" x14ac:dyDescent="0.35">
      <c r="C124" s="96" t="s">
        <v>1391</v>
      </c>
      <c r="D124" s="44"/>
      <c r="E124" s="44"/>
      <c r="F124" s="44"/>
      <c r="G124" s="44"/>
      <c r="H124" s="394">
        <f>F17</f>
        <v>4.46</v>
      </c>
      <c r="I124" s="44"/>
      <c r="J124" s="394">
        <f>H124</f>
        <v>4.46</v>
      </c>
      <c r="K124" s="94"/>
      <c r="L124" s="3"/>
      <c r="M124" s="56"/>
      <c r="N124" s="44"/>
      <c r="O124" s="56"/>
      <c r="P124"/>
      <c r="Q124"/>
    </row>
    <row r="125" spans="2:17" x14ac:dyDescent="0.35">
      <c r="C125" s="96" t="s">
        <v>1394</v>
      </c>
      <c r="D125" s="44"/>
      <c r="E125" s="44"/>
      <c r="F125" s="44"/>
      <c r="G125" s="44"/>
      <c r="H125" s="354">
        <f>H123+H124</f>
        <v>20.46</v>
      </c>
      <c r="I125" s="358" t="s">
        <v>109</v>
      </c>
      <c r="J125" s="354">
        <f>H125</f>
        <v>20.46</v>
      </c>
      <c r="K125" s="359" t="s">
        <v>1638</v>
      </c>
      <c r="L125" s="3"/>
      <c r="M125" s="3"/>
      <c r="N125" s="3"/>
      <c r="P125"/>
      <c r="Q125"/>
    </row>
    <row r="126" spans="2:17" x14ac:dyDescent="0.35">
      <c r="C126" s="96" t="s">
        <v>377</v>
      </c>
      <c r="D126" s="355"/>
      <c r="E126" s="356"/>
      <c r="F126" s="355" t="str">
        <f>$F$84</f>
        <v>On Peak</v>
      </c>
      <c r="G126" s="44"/>
      <c r="H126" s="357">
        <f>$I$115+L91</f>
        <v>0.21970000000000001</v>
      </c>
      <c r="I126" s="358" t="s">
        <v>108</v>
      </c>
      <c r="J126" s="357">
        <f>$I$115+N91</f>
        <v>8.1299999999999997E-2</v>
      </c>
      <c r="K126" s="359" t="s">
        <v>1639</v>
      </c>
      <c r="L126" s="3"/>
      <c r="M126" s="81">
        <f>ROUND(H126/H84-1,4)</f>
        <v>-4.7699999999999999E-2</v>
      </c>
      <c r="N126" s="358" t="s">
        <v>1605</v>
      </c>
      <c r="O126" s="81">
        <f>ROUND(J126/J84-1,4)</f>
        <v>-4.8000000000000001E-2</v>
      </c>
      <c r="P126" s="54" t="s">
        <v>1607</v>
      </c>
      <c r="Q126"/>
    </row>
    <row r="127" spans="2:17" x14ac:dyDescent="0.35">
      <c r="C127" s="96" t="s">
        <v>376</v>
      </c>
      <c r="D127" s="360"/>
      <c r="E127" s="356"/>
      <c r="F127" s="355" t="str">
        <f>$F$85</f>
        <v>Off Peak</v>
      </c>
      <c r="G127" s="44"/>
      <c r="H127" s="357">
        <f>$I$115+L93</f>
        <v>1.55E-2</v>
      </c>
      <c r="I127" s="358" t="s">
        <v>1574</v>
      </c>
      <c r="J127" s="357">
        <f>I115</f>
        <v>1.55E-2</v>
      </c>
      <c r="K127" s="359" t="s">
        <v>1640</v>
      </c>
      <c r="L127" s="3"/>
      <c r="M127" s="81">
        <f>ROUND(H127/H85-1,4)</f>
        <v>-4.9099999999999998E-2</v>
      </c>
      <c r="N127" s="358" t="s">
        <v>1606</v>
      </c>
      <c r="O127" s="81">
        <f>ROUND(J127/J85-1,4)</f>
        <v>-4.9099999999999998E-2</v>
      </c>
      <c r="P127" s="54" t="s">
        <v>1608</v>
      </c>
      <c r="Q127"/>
    </row>
    <row r="128" spans="2:17" ht="15" thickBot="1" x14ac:dyDescent="0.4">
      <c r="C128" s="93"/>
      <c r="D128" s="46"/>
      <c r="E128" s="46"/>
      <c r="F128" s="46"/>
      <c r="G128" s="46"/>
      <c r="H128" s="46"/>
      <c r="I128" s="46"/>
      <c r="J128" s="46"/>
      <c r="K128" s="91"/>
      <c r="L128" s="3"/>
      <c r="M128" s="81"/>
      <c r="N128" s="3"/>
      <c r="O128" s="81"/>
      <c r="P128"/>
      <c r="Q128"/>
    </row>
    <row r="129" spans="1:17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/>
      <c r="Q129"/>
    </row>
    <row r="130" spans="1:17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/>
      <c r="Q130"/>
    </row>
    <row r="131" spans="1:17" x14ac:dyDescent="0.35">
      <c r="A131" s="334" t="s">
        <v>1579</v>
      </c>
      <c r="B131" s="410"/>
      <c r="C131" s="3"/>
      <c r="D131" s="3"/>
      <c r="E131" s="3"/>
      <c r="F131" s="3"/>
      <c r="G131" s="3"/>
      <c r="H131" s="3"/>
      <c r="I131" s="3"/>
      <c r="P131"/>
      <c r="Q131"/>
    </row>
    <row r="132" spans="1:17" x14ac:dyDescent="0.35">
      <c r="A132" s="334"/>
      <c r="B132" s="410"/>
      <c r="C132" s="3"/>
      <c r="D132" s="3"/>
      <c r="E132" s="3"/>
      <c r="F132" s="3"/>
      <c r="G132" s="3"/>
      <c r="H132" s="3"/>
      <c r="I132" s="3"/>
      <c r="P132"/>
      <c r="Q132"/>
    </row>
    <row r="133" spans="1:17" ht="15" thickBot="1" x14ac:dyDescent="0.4">
      <c r="A133" s="334"/>
      <c r="B133" s="334" t="str">
        <f>CONCATENATE($A$4," at Proposed T&amp;D Rates")</f>
        <v>SC1 Rate III at Proposed T&amp;D Rates</v>
      </c>
      <c r="C133" s="3"/>
      <c r="D133" s="3"/>
      <c r="E133" s="3"/>
      <c r="F133" s="3"/>
      <c r="G133" s="3"/>
      <c r="H133" s="3"/>
      <c r="I133" s="3"/>
      <c r="K133" s="367" t="s">
        <v>426</v>
      </c>
      <c r="L133" s="368">
        <f>$L$10</f>
        <v>1.0119199999999999</v>
      </c>
      <c r="N133" s="344" t="str">
        <f>$A$4</f>
        <v>SC1 Rate III</v>
      </c>
      <c r="P133"/>
    </row>
    <row r="134" spans="1:17" ht="15.5" thickTop="1" thickBot="1" x14ac:dyDescent="0.4">
      <c r="A134" s="406"/>
      <c r="B134" s="407"/>
      <c r="H134" s="1307" t="s">
        <v>417</v>
      </c>
      <c r="I134" s="1308"/>
      <c r="J134" s="1309"/>
      <c r="L134" s="398" t="s">
        <v>475</v>
      </c>
      <c r="N134" s="369" t="s">
        <v>42</v>
      </c>
      <c r="P134"/>
    </row>
    <row r="135" spans="1:17" ht="15" thickTop="1" x14ac:dyDescent="0.35">
      <c r="A135" s="406"/>
      <c r="B135" s="410"/>
      <c r="H135" s="30" t="s">
        <v>416</v>
      </c>
      <c r="I135" s="30" t="s">
        <v>418</v>
      </c>
      <c r="J135" s="36" t="s">
        <v>419</v>
      </c>
      <c r="L135" s="30" t="s">
        <v>425</v>
      </c>
      <c r="N135" s="36" t="s">
        <v>429</v>
      </c>
      <c r="P135"/>
    </row>
    <row r="136" spans="1:17" x14ac:dyDescent="0.35">
      <c r="A136" s="406"/>
      <c r="B136" s="407" t="s">
        <v>42</v>
      </c>
      <c r="C136" s="3" t="s">
        <v>163</v>
      </c>
      <c r="G136" s="465"/>
      <c r="H136" s="223">
        <f>H125</f>
        <v>20.46</v>
      </c>
      <c r="I136" s="105">
        <f>U35</f>
        <v>11779638</v>
      </c>
      <c r="J136" s="26">
        <f>ROUND(H136*I136,0)</f>
        <v>241011393</v>
      </c>
      <c r="L136" s="134">
        <f>ROUND(J136*(L$133-1),0)</f>
        <v>2872856</v>
      </c>
      <c r="N136" s="26">
        <f>J136+L136</f>
        <v>243884249</v>
      </c>
      <c r="P136"/>
    </row>
    <row r="137" spans="1:17" x14ac:dyDescent="0.35">
      <c r="A137" s="406"/>
      <c r="B137" s="406"/>
      <c r="C137" s="121" t="str">
        <f>$F$84</f>
        <v>On Peak</v>
      </c>
      <c r="D137" s="121"/>
      <c r="E137" s="122"/>
      <c r="H137" s="223">
        <f>H126</f>
        <v>0.21970000000000001</v>
      </c>
      <c r="I137" s="105">
        <f>V32</f>
        <v>3931262953.0035019</v>
      </c>
      <c r="J137" s="26">
        <f>ROUND(H137*I137,0)</f>
        <v>863698471</v>
      </c>
      <c r="L137" s="397"/>
      <c r="N137" s="26">
        <f>J137+L137</f>
        <v>863698471</v>
      </c>
      <c r="P137"/>
    </row>
    <row r="138" spans="1:17" x14ac:dyDescent="0.35">
      <c r="A138" s="406"/>
      <c r="B138" s="406"/>
      <c r="C138" s="121" t="str">
        <f>$F$85</f>
        <v>Off Peak</v>
      </c>
      <c r="D138" s="36"/>
      <c r="E138" s="122"/>
      <c r="H138" s="223">
        <f>H127</f>
        <v>1.55E-2</v>
      </c>
      <c r="I138" s="105">
        <f>V33</f>
        <v>1559860745.9964976</v>
      </c>
      <c r="J138" s="26">
        <f>ROUND(H138*I138,0)</f>
        <v>24177842</v>
      </c>
      <c r="L138" s="397"/>
      <c r="N138" s="26">
        <f>J138+L138</f>
        <v>24177842</v>
      </c>
      <c r="P138"/>
    </row>
    <row r="139" spans="1:17" x14ac:dyDescent="0.35">
      <c r="A139" s="406"/>
      <c r="B139" s="406"/>
      <c r="C139" s="3" t="s">
        <v>420</v>
      </c>
      <c r="D139" s="3"/>
      <c r="E139" s="3"/>
      <c r="F139" s="3"/>
      <c r="H139" s="223"/>
      <c r="I139" s="223"/>
      <c r="J139" s="32">
        <f>SUM(J136:J138)</f>
        <v>1128887706</v>
      </c>
      <c r="L139" s="32">
        <f>SUM(L136:L138)</f>
        <v>2872856</v>
      </c>
      <c r="N139" s="32">
        <f>SUM(N136:N138)</f>
        <v>1131760562</v>
      </c>
      <c r="P139"/>
    </row>
    <row r="140" spans="1:17" s="1" customFormat="1" x14ac:dyDescent="0.35">
      <c r="A140" s="464"/>
      <c r="B140" s="464"/>
      <c r="C140" s="2"/>
      <c r="D140" s="121"/>
      <c r="E140" s="121"/>
      <c r="F140" s="361"/>
      <c r="H140" s="223"/>
      <c r="I140" s="362"/>
      <c r="J140" s="395"/>
      <c r="K140"/>
    </row>
    <row r="141" spans="1:17" s="1" customFormat="1" ht="15" thickBot="1" x14ac:dyDescent="0.4">
      <c r="A141" s="464"/>
      <c r="B141" s="464"/>
      <c r="C141" s="2"/>
      <c r="D141" s="121"/>
      <c r="E141" s="121"/>
      <c r="F141" s="361"/>
      <c r="H141" s="223"/>
      <c r="I141" s="362"/>
      <c r="J141" s="223"/>
      <c r="K141"/>
      <c r="L141" s="368">
        <f>$L$11</f>
        <v>1.01067</v>
      </c>
    </row>
    <row r="142" spans="1:17" s="1" customFormat="1" ht="15.5" thickTop="1" thickBot="1" x14ac:dyDescent="0.4">
      <c r="A142" s="464"/>
      <c r="B142" s="464"/>
      <c r="C142" s="2"/>
      <c r="D142" s="121"/>
      <c r="E142" s="121"/>
      <c r="F142" s="361"/>
      <c r="H142" s="1307" t="s">
        <v>417</v>
      </c>
      <c r="I142" s="1308"/>
      <c r="J142" s="1309"/>
      <c r="K142"/>
      <c r="L142" s="398" t="s">
        <v>475</v>
      </c>
      <c r="N142" s="369" t="s">
        <v>40</v>
      </c>
    </row>
    <row r="143" spans="1:17" s="1" customFormat="1" ht="15" thickTop="1" x14ac:dyDescent="0.35">
      <c r="A143" s="464"/>
      <c r="B143" s="464"/>
      <c r="C143" s="2"/>
      <c r="D143" s="121"/>
      <c r="E143" s="121"/>
      <c r="F143" s="361"/>
      <c r="H143" s="30" t="s">
        <v>416</v>
      </c>
      <c r="I143" s="30" t="s">
        <v>418</v>
      </c>
      <c r="J143" s="36" t="s">
        <v>419</v>
      </c>
      <c r="K143"/>
      <c r="L143" s="30" t="s">
        <v>425</v>
      </c>
      <c r="N143" s="36" t="s">
        <v>429</v>
      </c>
    </row>
    <row r="144" spans="1:17" s="1" customFormat="1" x14ac:dyDescent="0.35">
      <c r="A144" s="464"/>
      <c r="B144" s="407" t="s">
        <v>40</v>
      </c>
      <c r="C144" s="3" t="s">
        <v>163</v>
      </c>
      <c r="D144"/>
      <c r="E144"/>
      <c r="F144"/>
      <c r="G144" s="465"/>
      <c r="H144" s="223">
        <f>J125</f>
        <v>20.46</v>
      </c>
      <c r="I144" s="105">
        <f>U40</f>
        <v>23547691</v>
      </c>
      <c r="J144" s="26">
        <f>ROUND(H144*I144,0)</f>
        <v>481785758</v>
      </c>
      <c r="K144"/>
      <c r="L144" s="134">
        <f>ROUND(J144*(L$141-1),0)</f>
        <v>5140654</v>
      </c>
      <c r="N144" s="26">
        <f>J144+L144</f>
        <v>486926412</v>
      </c>
    </row>
    <row r="145" spans="1:18" s="1" customFormat="1" x14ac:dyDescent="0.35">
      <c r="A145" s="464"/>
      <c r="B145" s="406"/>
      <c r="C145" s="121" t="str">
        <f>$F$84</f>
        <v>On Peak</v>
      </c>
      <c r="D145" s="121"/>
      <c r="E145" s="122"/>
      <c r="H145" s="223">
        <f>J126</f>
        <v>8.1299999999999997E-2</v>
      </c>
      <c r="I145" s="105">
        <f>V37</f>
        <v>5847394276.852931</v>
      </c>
      <c r="J145" s="26">
        <f>ROUND(H145*I145,0)</f>
        <v>475393155</v>
      </c>
      <c r="K145"/>
      <c r="L145" s="397"/>
      <c r="N145" s="26">
        <f>J145+L145</f>
        <v>475393155</v>
      </c>
    </row>
    <row r="146" spans="1:18" s="1" customFormat="1" x14ac:dyDescent="0.35">
      <c r="A146" s="464"/>
      <c r="B146" s="406"/>
      <c r="C146" s="121" t="str">
        <f>$F$85</f>
        <v>Off Peak</v>
      </c>
      <c r="D146" s="36"/>
      <c r="E146" s="122"/>
      <c r="H146" s="223">
        <f>J127</f>
        <v>1.55E-2</v>
      </c>
      <c r="I146" s="105">
        <f>V38</f>
        <v>2233870128.1470685</v>
      </c>
      <c r="J146" s="26">
        <f>ROUND(H146*I146,0)</f>
        <v>34624987</v>
      </c>
      <c r="K146"/>
      <c r="L146" s="397"/>
      <c r="N146" s="26">
        <f>J146+L146</f>
        <v>34624987</v>
      </c>
    </row>
    <row r="147" spans="1:18" s="1" customFormat="1" x14ac:dyDescent="0.35">
      <c r="A147" s="464"/>
      <c r="B147" s="406"/>
      <c r="C147" s="3" t="s">
        <v>421</v>
      </c>
      <c r="D147" s="3"/>
      <c r="E147" s="3"/>
      <c r="F147" s="3"/>
      <c r="H147" s="223"/>
      <c r="I147" s="223"/>
      <c r="J147" s="32">
        <f>SUM(J144:J146)</f>
        <v>991803900</v>
      </c>
      <c r="K147"/>
      <c r="L147" s="32">
        <f>SUM(L144:L146)</f>
        <v>5140654</v>
      </c>
      <c r="N147" s="32">
        <f>SUM(N144:N146)</f>
        <v>996944554</v>
      </c>
    </row>
    <row r="148" spans="1:18" s="1" customFormat="1" ht="15" thickBot="1" x14ac:dyDescent="0.4">
      <c r="A148" s="464"/>
      <c r="B148" s="464"/>
      <c r="C148" s="2"/>
      <c r="D148" s="121"/>
      <c r="E148" s="121"/>
      <c r="F148" s="361"/>
      <c r="H148" s="223"/>
      <c r="I148" s="362"/>
      <c r="J148" s="395"/>
      <c r="K148"/>
      <c r="N148" s="223"/>
    </row>
    <row r="149" spans="1:18" s="1" customFormat="1" ht="15.5" thickTop="1" thickBot="1" x14ac:dyDescent="0.4">
      <c r="A149" s="464"/>
      <c r="B149" s="464"/>
      <c r="C149" s="25" t="str">
        <f>CONCATENATE($A$4," - Annual Revenue Price-Out at Proposed Rates:")</f>
        <v>SC1 Rate III - Annual Revenue Price-Out at Proposed Rates:</v>
      </c>
      <c r="D149" s="121"/>
      <c r="E149" s="121"/>
      <c r="F149" s="361"/>
      <c r="H149" s="223"/>
      <c r="I149" s="222" t="s">
        <v>427</v>
      </c>
      <c r="J149" s="243">
        <f>J139+J147</f>
        <v>2120691606</v>
      </c>
      <c r="K149" s="222" t="s">
        <v>428</v>
      </c>
      <c r="L149" s="243">
        <f>L139+L147</f>
        <v>8013510</v>
      </c>
      <c r="N149" s="243">
        <f>N139+N147</f>
        <v>2128705116</v>
      </c>
      <c r="O149" s="374"/>
    </row>
    <row r="150" spans="1:18" s="1" customFormat="1" ht="15" thickTop="1" x14ac:dyDescent="0.35">
      <c r="C150" s="25"/>
      <c r="D150" s="121"/>
      <c r="E150" s="121"/>
      <c r="F150" s="361"/>
      <c r="H150" s="223"/>
      <c r="I150" s="222"/>
      <c r="J150" s="396"/>
      <c r="K150" s="362"/>
      <c r="L150" s="363"/>
      <c r="M150" s="364"/>
      <c r="N150" s="222"/>
      <c r="O150" s="26"/>
      <c r="Q150" s="26"/>
      <c r="R150" s="374"/>
    </row>
    <row r="151" spans="1:18" s="1" customFormat="1" x14ac:dyDescent="0.35">
      <c r="C151" s="25"/>
      <c r="D151" s="121"/>
      <c r="E151" s="121"/>
      <c r="F151" s="361"/>
      <c r="H151" s="223"/>
      <c r="I151" s="222"/>
      <c r="J151" s="26"/>
      <c r="K151" s="362"/>
      <c r="L151" s="363"/>
      <c r="M151" s="364"/>
      <c r="N151" s="222"/>
      <c r="O151" s="26"/>
      <c r="Q151" s="26"/>
      <c r="R151" s="374"/>
    </row>
    <row r="152" spans="1:18" ht="15" thickBot="1" x14ac:dyDescent="0.4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7"/>
      <c r="O152" s="3"/>
      <c r="P152" s="2"/>
      <c r="Q152" s="2"/>
    </row>
    <row r="153" spans="1:18" x14ac:dyDescent="0.35">
      <c r="B153" s="3"/>
      <c r="C153" s="815" t="str">
        <f>$A$4</f>
        <v>SC1 Rate III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1" t="s">
        <v>6</v>
      </c>
      <c r="N153" s="3"/>
      <c r="O153" s="2"/>
      <c r="P153" s="2"/>
      <c r="Q153" s="2"/>
    </row>
    <row r="154" spans="1:18" x14ac:dyDescent="0.35">
      <c r="B154" s="3"/>
      <c r="C154" s="11" t="s">
        <v>5</v>
      </c>
      <c r="D154" s="1305">
        <f>L4</f>
        <v>2020</v>
      </c>
      <c r="E154" s="1305"/>
      <c r="F154" s="1305"/>
      <c r="G154" s="10"/>
      <c r="H154" s="10"/>
      <c r="I154" s="10"/>
      <c r="J154" s="10"/>
      <c r="K154" s="10"/>
      <c r="L154" s="10"/>
      <c r="M154" s="13"/>
      <c r="N154" s="17"/>
      <c r="O154" s="2"/>
      <c r="P154" s="2"/>
      <c r="Q154" s="2"/>
    </row>
    <row r="155" spans="1:18" x14ac:dyDescent="0.35">
      <c r="B155" s="3"/>
      <c r="C155" s="699" t="s">
        <v>1521</v>
      </c>
      <c r="D155" s="19"/>
      <c r="E155" s="19"/>
      <c r="F155" s="19"/>
      <c r="G155" s="10"/>
      <c r="H155" s="10"/>
      <c r="I155" s="10"/>
      <c r="J155" s="10"/>
      <c r="K155" s="10"/>
      <c r="L155" s="10"/>
      <c r="M155" s="12">
        <f>N149</f>
        <v>2128705116</v>
      </c>
      <c r="N155" s="17"/>
      <c r="O155" s="2"/>
      <c r="P155" s="2"/>
      <c r="Q155" s="2"/>
    </row>
    <row r="156" spans="1:18" x14ac:dyDescent="0.35">
      <c r="B156" s="3"/>
      <c r="C156" s="699" t="s">
        <v>1629</v>
      </c>
      <c r="D156" s="19"/>
      <c r="E156" s="19"/>
      <c r="F156" s="19"/>
      <c r="G156" s="10"/>
      <c r="H156" s="10"/>
      <c r="I156" s="10"/>
      <c r="J156" s="10"/>
      <c r="K156" s="10"/>
      <c r="L156" s="10"/>
      <c r="M156" s="18"/>
      <c r="N156" s="17"/>
      <c r="O156" s="2"/>
      <c r="P156" s="2"/>
      <c r="Q156" s="2"/>
    </row>
    <row r="157" spans="1:18" x14ac:dyDescent="0.35">
      <c r="B157" s="3"/>
      <c r="C157" s="699"/>
      <c r="D157" s="19"/>
      <c r="E157" s="19"/>
      <c r="F157" s="19"/>
      <c r="G157" s="10"/>
      <c r="H157" s="10"/>
      <c r="I157" s="10"/>
      <c r="J157" s="10"/>
      <c r="K157" s="10"/>
      <c r="L157" s="10"/>
      <c r="M157" s="18"/>
      <c r="N157" s="17"/>
      <c r="O157" s="2"/>
      <c r="P157" s="2"/>
      <c r="Q157" s="2"/>
    </row>
    <row r="158" spans="1:18" x14ac:dyDescent="0.35">
      <c r="B158" s="3"/>
      <c r="C158" s="699"/>
      <c r="D158" s="19"/>
      <c r="E158" s="19"/>
      <c r="F158" s="19"/>
      <c r="G158" s="10"/>
      <c r="H158" s="10"/>
      <c r="I158" s="10"/>
      <c r="J158" s="10"/>
      <c r="K158" s="10"/>
      <c r="L158" s="10"/>
      <c r="M158" s="376"/>
      <c r="N158" s="8"/>
      <c r="O158" s="2"/>
      <c r="P158" s="2"/>
      <c r="Q158" s="2"/>
    </row>
    <row r="159" spans="1:18" x14ac:dyDescent="0.35">
      <c r="B159" s="3"/>
      <c r="C159" s="699" t="s">
        <v>430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2">
        <f>M155+M156+M157-M158</f>
        <v>2128705116</v>
      </c>
      <c r="N159" s="8"/>
      <c r="O159" s="2"/>
      <c r="P159" s="2"/>
      <c r="Q159" s="2"/>
    </row>
    <row r="160" spans="1:18" x14ac:dyDescent="0.35">
      <c r="B160" s="3"/>
      <c r="C160" s="11"/>
      <c r="D160" s="10"/>
      <c r="E160" s="10"/>
      <c r="F160" s="10"/>
      <c r="G160" s="10"/>
      <c r="H160" s="10"/>
      <c r="I160" s="10"/>
      <c r="J160" s="10"/>
      <c r="K160" s="10"/>
      <c r="L160" s="10"/>
      <c r="M160" s="13"/>
      <c r="N160" s="8"/>
      <c r="O160" s="2"/>
      <c r="P160" s="2"/>
      <c r="Q160" s="2"/>
    </row>
    <row r="161" spans="1:22" x14ac:dyDescent="0.35">
      <c r="B161" s="3"/>
      <c r="C161" s="11"/>
      <c r="D161" s="10" t="s">
        <v>2</v>
      </c>
      <c r="E161" s="10"/>
      <c r="F161" s="10"/>
      <c r="G161" s="10"/>
      <c r="H161" s="10"/>
      <c r="I161" s="10"/>
      <c r="J161" s="10"/>
      <c r="K161" s="10"/>
      <c r="L161" s="10"/>
      <c r="M161" s="828">
        <f>L37</f>
        <v>2128982298.6876757</v>
      </c>
      <c r="N161" s="17"/>
      <c r="O161" s="3"/>
      <c r="P161" s="2"/>
      <c r="Q161" s="2"/>
    </row>
    <row r="162" spans="1:22" x14ac:dyDescent="0.35">
      <c r="B162" s="3"/>
      <c r="C162" s="11"/>
      <c r="D162" s="10" t="s">
        <v>1</v>
      </c>
      <c r="E162" s="10"/>
      <c r="F162" s="10"/>
      <c r="G162" s="10"/>
      <c r="H162" s="10"/>
      <c r="I162" s="10"/>
      <c r="J162" s="10"/>
      <c r="K162" s="10"/>
      <c r="L162" s="10"/>
      <c r="M162" s="12">
        <f>M159-M161</f>
        <v>-277182.68767571449</v>
      </c>
      <c r="N162" s="17"/>
      <c r="O162" s="3"/>
      <c r="P162" s="2"/>
      <c r="Q162" s="2"/>
    </row>
    <row r="163" spans="1:22" x14ac:dyDescent="0.35">
      <c r="B163" s="3"/>
      <c r="C163" s="11"/>
      <c r="D163" s="10" t="s">
        <v>0</v>
      </c>
      <c r="E163" s="10"/>
      <c r="F163" s="10"/>
      <c r="G163" s="10"/>
      <c r="H163" s="10"/>
      <c r="I163" s="10"/>
      <c r="J163" s="10"/>
      <c r="K163" s="10"/>
      <c r="L163" s="10"/>
      <c r="M163" s="9">
        <f>M159/M161-1</f>
        <v>-1.3019492357757567E-4</v>
      </c>
      <c r="N163" s="8"/>
      <c r="O163" s="3"/>
      <c r="P163" s="2"/>
      <c r="Q163" s="2"/>
    </row>
    <row r="164" spans="1:22" ht="15" thickBot="1" x14ac:dyDescent="0.4">
      <c r="B164" s="3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4"/>
      <c r="O164" s="3"/>
      <c r="P164" s="2"/>
      <c r="Q164" s="2"/>
    </row>
    <row r="165" spans="1:22" s="1" customForma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/>
      <c r="R165"/>
      <c r="S165"/>
      <c r="T165"/>
      <c r="U165"/>
      <c r="V165"/>
    </row>
    <row r="166" spans="1:22" s="1" customForma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2"/>
      <c r="R166"/>
      <c r="S166"/>
      <c r="T166"/>
      <c r="U166"/>
      <c r="V166"/>
    </row>
    <row r="170" spans="1:22" s="87" customFormat="1" x14ac:dyDescent="0.35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</row>
    <row r="171" spans="1:22" ht="15.5" x14ac:dyDescent="0.35">
      <c r="B171" s="298" t="s">
        <v>1311</v>
      </c>
    </row>
    <row r="172" spans="1:22" x14ac:dyDescent="0.35">
      <c r="B172" s="372"/>
    </row>
    <row r="174" spans="1:22" ht="15" thickBot="1" x14ac:dyDescent="0.4">
      <c r="B174" s="42" t="str">
        <f>CONCATENATE($A$4," at Proposed T&amp;D Rates")</f>
        <v>SC1 Rate III at Proposed T&amp;D Rates</v>
      </c>
      <c r="C174" s="3"/>
      <c r="D174" s="3"/>
      <c r="E174" s="3"/>
      <c r="F174" s="3"/>
      <c r="G174" s="3"/>
      <c r="H174" s="3"/>
      <c r="K174" s="367" t="s">
        <v>426</v>
      </c>
      <c r="L174" s="368">
        <f>$L$10</f>
        <v>1.0119199999999999</v>
      </c>
      <c r="N174" s="344" t="str">
        <f>$A$4</f>
        <v>SC1 Rate III</v>
      </c>
    </row>
    <row r="175" spans="1:22" ht="15.5" thickTop="1" thickBot="1" x14ac:dyDescent="0.4">
      <c r="B175" s="41"/>
      <c r="H175" s="1307" t="s">
        <v>417</v>
      </c>
      <c r="I175" s="1308"/>
      <c r="J175" s="1309"/>
      <c r="L175" s="647" t="s">
        <v>475</v>
      </c>
      <c r="N175" s="369" t="s">
        <v>42</v>
      </c>
    </row>
    <row r="176" spans="1:22" ht="15" thickTop="1" x14ac:dyDescent="0.35">
      <c r="B176" s="3"/>
      <c r="H176" s="30" t="s">
        <v>416</v>
      </c>
      <c r="I176" s="30" t="s">
        <v>418</v>
      </c>
      <c r="J176" s="36" t="s">
        <v>419</v>
      </c>
      <c r="L176" s="30" t="s">
        <v>425</v>
      </c>
      <c r="N176" s="36" t="s">
        <v>429</v>
      </c>
    </row>
    <row r="177" spans="2:20" x14ac:dyDescent="0.35">
      <c r="B177" s="126" t="s">
        <v>42</v>
      </c>
      <c r="C177" s="3" t="s">
        <v>163</v>
      </c>
      <c r="H177" s="223">
        <f>H125</f>
        <v>20.46</v>
      </c>
      <c r="I177" s="105">
        <f>AC9</f>
        <v>359</v>
      </c>
      <c r="J177" s="26">
        <f>ROUND(H177*I177,0)</f>
        <v>7345</v>
      </c>
      <c r="L177" s="134">
        <f>ROUND(J177*(L$133-1),0)</f>
        <v>88</v>
      </c>
      <c r="N177" s="26">
        <f>J177+L177</f>
        <v>7433</v>
      </c>
      <c r="P177" s="541"/>
      <c r="Q177" s="541"/>
      <c r="R177" s="130"/>
      <c r="T177" s="130"/>
    </row>
    <row r="178" spans="2:20" x14ac:dyDescent="0.35">
      <c r="C178" s="121" t="str">
        <f>$F$84</f>
        <v>On Peak</v>
      </c>
      <c r="D178" s="121"/>
      <c r="E178" s="122"/>
      <c r="H178" s="223">
        <f>H126</f>
        <v>0.21970000000000001</v>
      </c>
      <c r="I178" s="105">
        <f>AE6</f>
        <v>205956.93636626186</v>
      </c>
      <c r="J178" s="26">
        <f>ROUND(H178*I178,0)</f>
        <v>45249</v>
      </c>
      <c r="L178" s="397"/>
      <c r="N178" s="26">
        <f>J178+L178</f>
        <v>45249</v>
      </c>
      <c r="P178" s="541"/>
      <c r="Q178" s="541"/>
      <c r="R178" s="130"/>
      <c r="T178" s="130"/>
    </row>
    <row r="179" spans="2:20" x14ac:dyDescent="0.35">
      <c r="C179" s="121" t="str">
        <f>$F$85</f>
        <v>Off Peak</v>
      </c>
      <c r="D179" s="36"/>
      <c r="E179" s="122"/>
      <c r="H179" s="223">
        <f>H127</f>
        <v>1.55E-2</v>
      </c>
      <c r="I179" s="105">
        <f>AE7</f>
        <v>123877.06363373811</v>
      </c>
      <c r="J179" s="26">
        <f>ROUND(H179*I179,0)</f>
        <v>1920</v>
      </c>
      <c r="L179" s="397"/>
      <c r="N179" s="26">
        <f>J179+L179</f>
        <v>1920</v>
      </c>
      <c r="P179" s="541"/>
      <c r="Q179" s="541"/>
      <c r="R179" s="130"/>
      <c r="S179" s="130"/>
      <c r="T179" s="130"/>
    </row>
    <row r="180" spans="2:20" x14ac:dyDescent="0.35">
      <c r="C180" s="3" t="s">
        <v>420</v>
      </c>
      <c r="D180" s="3"/>
      <c r="E180" s="3"/>
      <c r="F180" s="3"/>
      <c r="H180" s="223"/>
      <c r="I180" s="223"/>
      <c r="J180" s="32">
        <f>SUM(J177:J179)</f>
        <v>54514</v>
      </c>
      <c r="L180" s="32">
        <f>SUM(L177:L179)</f>
        <v>88</v>
      </c>
      <c r="N180" s="32">
        <f>SUM(N177:N179)</f>
        <v>54602</v>
      </c>
      <c r="P180" s="541"/>
      <c r="Q180" s="541"/>
      <c r="R180" s="130"/>
      <c r="T180" s="130"/>
    </row>
    <row r="181" spans="2:20" x14ac:dyDescent="0.35">
      <c r="B181" s="1"/>
      <c r="C181" s="2"/>
      <c r="D181" s="121"/>
      <c r="E181" s="121"/>
      <c r="F181" s="361"/>
      <c r="G181" s="1"/>
      <c r="H181" s="223"/>
      <c r="I181" s="362"/>
      <c r="J181" s="395"/>
      <c r="L181" s="1"/>
      <c r="M181" s="1"/>
      <c r="N181" s="1"/>
      <c r="T181" s="130"/>
    </row>
    <row r="182" spans="2:20" ht="15" thickBot="1" x14ac:dyDescent="0.4">
      <c r="B182" s="1"/>
      <c r="C182" s="2"/>
      <c r="D182" s="121"/>
      <c r="E182" s="121"/>
      <c r="F182" s="361"/>
      <c r="G182" s="1"/>
      <c r="H182" s="223"/>
      <c r="I182" s="362"/>
      <c r="J182" s="223"/>
      <c r="L182" s="368">
        <f>$L$11</f>
        <v>1.01067</v>
      </c>
      <c r="M182" s="1"/>
      <c r="N182" s="1"/>
      <c r="T182" s="130"/>
    </row>
    <row r="183" spans="2:20" ht="15.5" thickTop="1" thickBot="1" x14ac:dyDescent="0.4">
      <c r="B183" s="1"/>
      <c r="C183" s="2"/>
      <c r="D183" s="121"/>
      <c r="E183" s="121"/>
      <c r="F183" s="361"/>
      <c r="G183" s="1"/>
      <c r="H183" s="1307" t="s">
        <v>417</v>
      </c>
      <c r="I183" s="1308"/>
      <c r="J183" s="1309"/>
      <c r="L183" s="647" t="s">
        <v>475</v>
      </c>
      <c r="M183" s="1"/>
      <c r="N183" s="369" t="s">
        <v>40</v>
      </c>
      <c r="T183" s="130"/>
    </row>
    <row r="184" spans="2:20" ht="15" thickTop="1" x14ac:dyDescent="0.35">
      <c r="B184" s="1"/>
      <c r="C184" s="2"/>
      <c r="D184" s="121"/>
      <c r="E184" s="121"/>
      <c r="F184" s="361"/>
      <c r="G184" s="1"/>
      <c r="H184" s="30" t="s">
        <v>416</v>
      </c>
      <c r="I184" s="30" t="s">
        <v>418</v>
      </c>
      <c r="J184" s="36" t="s">
        <v>419</v>
      </c>
      <c r="L184" s="30" t="s">
        <v>425</v>
      </c>
      <c r="M184" s="1"/>
      <c r="N184" s="36" t="s">
        <v>429</v>
      </c>
      <c r="T184" s="130"/>
    </row>
    <row r="185" spans="2:20" x14ac:dyDescent="0.35">
      <c r="B185" s="126" t="s">
        <v>40</v>
      </c>
      <c r="C185" s="3" t="s">
        <v>163</v>
      </c>
      <c r="G185" s="1"/>
      <c r="H185" s="223">
        <f>J125</f>
        <v>20.46</v>
      </c>
      <c r="I185" s="105">
        <f>AC14</f>
        <v>714</v>
      </c>
      <c r="J185" s="26">
        <f>ROUND(H185*I185,0)</f>
        <v>14608</v>
      </c>
      <c r="L185" s="134">
        <f>ROUND(J185*(L$141-1),0)</f>
        <v>156</v>
      </c>
      <c r="M185" s="1"/>
      <c r="N185" s="26">
        <f>J185+L185</f>
        <v>14764</v>
      </c>
      <c r="P185" s="541"/>
      <c r="Q185" s="541"/>
      <c r="R185" s="130"/>
      <c r="S185" s="130"/>
      <c r="T185" s="130"/>
    </row>
    <row r="186" spans="2:20" x14ac:dyDescent="0.35">
      <c r="C186" s="121" t="str">
        <f>$F$84</f>
        <v>On Peak</v>
      </c>
      <c r="D186" s="121"/>
      <c r="E186" s="122"/>
      <c r="F186" s="1"/>
      <c r="G186" s="1"/>
      <c r="H186" s="223">
        <f>J126</f>
        <v>8.1299999999999997E-2</v>
      </c>
      <c r="I186" s="105">
        <f>AE11</f>
        <v>307880.31670308241</v>
      </c>
      <c r="J186" s="26">
        <f>ROUND(H186*I186,0)</f>
        <v>25031</v>
      </c>
      <c r="L186" s="397"/>
      <c r="M186" s="1"/>
      <c r="N186" s="26">
        <f>J186+L186</f>
        <v>25031</v>
      </c>
      <c r="P186" s="541"/>
      <c r="Q186" s="541"/>
      <c r="R186" s="130"/>
      <c r="T186" s="130"/>
    </row>
    <row r="187" spans="2:20" x14ac:dyDescent="0.35">
      <c r="C187" s="121" t="str">
        <f>$F$85</f>
        <v>Off Peak</v>
      </c>
      <c r="D187" s="36"/>
      <c r="E187" s="122"/>
      <c r="F187" s="1"/>
      <c r="G187" s="1"/>
      <c r="H187" s="223">
        <f>J127</f>
        <v>1.55E-2</v>
      </c>
      <c r="I187" s="105">
        <f>AE12</f>
        <v>204935.68329691765</v>
      </c>
      <c r="J187" s="26">
        <f>ROUND(H187*I187,0)</f>
        <v>3177</v>
      </c>
      <c r="L187" s="397"/>
      <c r="M187" s="1"/>
      <c r="N187" s="26">
        <f>J187+L187</f>
        <v>3177</v>
      </c>
      <c r="P187" s="541"/>
      <c r="Q187" s="541"/>
      <c r="R187" s="130"/>
      <c r="S187" s="130"/>
      <c r="T187" s="130"/>
    </row>
    <row r="188" spans="2:20" x14ac:dyDescent="0.35">
      <c r="C188" s="3" t="s">
        <v>421</v>
      </c>
      <c r="D188" s="3"/>
      <c r="E188" s="3"/>
      <c r="F188" s="3"/>
      <c r="G188" s="1"/>
      <c r="H188" s="223"/>
      <c r="I188" s="223"/>
      <c r="J188" s="32">
        <f>SUM(J185:J187)</f>
        <v>42816</v>
      </c>
      <c r="L188" s="32">
        <f>SUM(L185:L187)</f>
        <v>156</v>
      </c>
      <c r="M188" s="1"/>
      <c r="N188" s="32">
        <f>SUM(N185:N187)</f>
        <v>42972</v>
      </c>
      <c r="P188" s="541"/>
      <c r="Q188" s="541"/>
      <c r="R188" s="130"/>
      <c r="T188" s="130"/>
    </row>
    <row r="189" spans="2:20" ht="15" thickBot="1" x14ac:dyDescent="0.4">
      <c r="B189" s="1"/>
      <c r="C189" s="2"/>
      <c r="D189" s="121"/>
      <c r="E189" s="121"/>
      <c r="F189" s="361"/>
      <c r="G189" s="1"/>
      <c r="H189" s="223"/>
      <c r="I189" s="362"/>
      <c r="J189" s="395"/>
      <c r="L189" s="1"/>
      <c r="M189" s="1"/>
      <c r="N189" s="223"/>
    </row>
    <row r="190" spans="2:20" ht="15.5" thickTop="1" thickBot="1" x14ac:dyDescent="0.4">
      <c r="B190" s="1"/>
      <c r="C190" s="25" t="str">
        <f>CONCATENATE($A$4," - Annual Revenue Price-Out at Proposed Rates:")</f>
        <v>SC1 Rate III - Annual Revenue Price-Out at Proposed Rates:</v>
      </c>
      <c r="D190" s="121"/>
      <c r="E190" s="121"/>
      <c r="F190" s="361"/>
      <c r="G190" s="1"/>
      <c r="H190" s="223"/>
      <c r="I190" s="222" t="s">
        <v>427</v>
      </c>
      <c r="J190" s="243">
        <f>J180+J188</f>
        <v>97330</v>
      </c>
      <c r="K190" s="222" t="s">
        <v>428</v>
      </c>
      <c r="L190" s="243">
        <f>L180+L188</f>
        <v>244</v>
      </c>
      <c r="M190" s="1"/>
      <c r="N190" s="405">
        <f>N180+N188</f>
        <v>97574</v>
      </c>
      <c r="O190" s="404"/>
      <c r="R190" s="130"/>
    </row>
    <row r="191" spans="2:20" ht="15" thickTop="1" x14ac:dyDescent="0.35">
      <c r="R191" s="130"/>
    </row>
    <row r="192" spans="2:20" x14ac:dyDescent="0.35">
      <c r="R192" s="130"/>
    </row>
    <row r="193" spans="18:18" x14ac:dyDescent="0.35">
      <c r="R193" s="130"/>
    </row>
  </sheetData>
  <mergeCells count="10">
    <mergeCell ref="L80:N80"/>
    <mergeCell ref="L89:N89"/>
    <mergeCell ref="H121:J121"/>
    <mergeCell ref="M121:O121"/>
    <mergeCell ref="H134:J134"/>
    <mergeCell ref="H175:J175"/>
    <mergeCell ref="H183:J183"/>
    <mergeCell ref="H142:J142"/>
    <mergeCell ref="D154:F154"/>
    <mergeCell ref="H80:J80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 / &amp;N</oddFooter>
  </headerFooter>
  <rowBreaks count="2" manualBreakCount="2">
    <brk id="77" max="16383" man="1"/>
    <brk id="130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0"/>
  <dimension ref="A1:AA130"/>
  <sheetViews>
    <sheetView workbookViewId="0">
      <selection sqref="A1:XFD1048576"/>
    </sheetView>
  </sheetViews>
  <sheetFormatPr defaultRowHeight="14.5" x14ac:dyDescent="0.35"/>
  <cols>
    <col min="1" max="1" width="7.453125" customWidth="1"/>
    <col min="2" max="2" width="18.81640625" customWidth="1"/>
    <col min="3" max="3" width="17.7265625" customWidth="1"/>
    <col min="4" max="4" width="9.7265625" customWidth="1"/>
    <col min="5" max="5" width="14.26953125" customWidth="1"/>
    <col min="6" max="6" width="14.4531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6.7265625" style="1" customWidth="1"/>
    <col min="17" max="17" width="15.7265625" style="1" customWidth="1"/>
    <col min="18" max="18" width="14" customWidth="1"/>
    <col min="19" max="19" width="13.81640625" customWidth="1"/>
    <col min="20" max="20" width="13.54296875" customWidth="1"/>
    <col min="21" max="21" width="10.7265625" customWidth="1"/>
    <col min="22" max="22" width="15.7265625" customWidth="1"/>
    <col min="23" max="26" width="14.1796875" customWidth="1"/>
    <col min="27" max="27" width="16.81640625" customWidth="1"/>
  </cols>
  <sheetData>
    <row r="1" spans="1:22" ht="18.5" x14ac:dyDescent="0.45">
      <c r="A1" s="447" t="s">
        <v>634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SC2 Rate I</v>
      </c>
      <c r="Q3" s="2"/>
      <c r="R3" s="3"/>
      <c r="S3" s="3"/>
      <c r="T3" s="3"/>
      <c r="U3" s="3"/>
      <c r="V3" s="3"/>
    </row>
    <row r="4" spans="1:22" x14ac:dyDescent="0.35">
      <c r="A4" s="864" t="s">
        <v>435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x14ac:dyDescent="0.35">
      <c r="A5" s="3"/>
      <c r="B5" s="3"/>
      <c r="C5" s="3"/>
      <c r="D5" s="3"/>
      <c r="E5" s="3"/>
      <c r="F5" s="3"/>
      <c r="H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x14ac:dyDescent="0.35">
      <c r="B6" s="180"/>
      <c r="C6" s="180"/>
      <c r="D6" s="180"/>
      <c r="E6" s="490" t="str">
        <f>'10A.)EnergyRateDesignSummary'!D75</f>
        <v>Current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>
        <v>0</v>
      </c>
      <c r="R6" s="163" t="s">
        <v>143</v>
      </c>
      <c r="S6" s="164">
        <f>'[2]4B.)HY_EnergyRatePxOut(Rate I)'!$E$48</f>
        <v>2000</v>
      </c>
      <c r="T6" s="386">
        <f>'[2]4B.)HY_EnergyRatePxOut(Rate I)'!$L$53</f>
        <v>1526912.1280006967</v>
      </c>
      <c r="U6" s="161"/>
      <c r="V6" s="386">
        <f>'[2]4B.)HY_EnergyRatePxOut(Rate I)'!$M$53</f>
        <v>689714330.74310398</v>
      </c>
    </row>
    <row r="7" spans="1:22" ht="15" thickBot="1" x14ac:dyDescent="0.4">
      <c r="A7" s="3"/>
      <c r="B7" s="3"/>
      <c r="C7" s="3"/>
      <c r="D7" s="3"/>
      <c r="E7" s="101"/>
      <c r="H7" s="3"/>
      <c r="J7" s="3"/>
      <c r="K7" s="17"/>
      <c r="L7" s="118" t="str">
        <f>A4</f>
        <v>SC2 Rate I</v>
      </c>
      <c r="M7" s="3"/>
      <c r="P7" s="170" t="s">
        <v>42</v>
      </c>
      <c r="Q7" s="159"/>
      <c r="R7" s="158" t="s">
        <v>141</v>
      </c>
      <c r="S7" s="159">
        <f>S6</f>
        <v>2000</v>
      </c>
      <c r="T7" s="387">
        <f>'[2]4B.)HY_EnergyRatePxOut(Rate I)'!$L$54</f>
        <v>45710.871999303112</v>
      </c>
      <c r="U7" s="156"/>
      <c r="V7" s="387">
        <f>'[2]4B.)HY_EnergyRatePxOut(Rate I)'!$M$54</f>
        <v>57320839.256895944</v>
      </c>
    </row>
    <row r="8" spans="1:22" ht="15.5" thickTop="1" thickBot="1" x14ac:dyDescent="0.4">
      <c r="A8" s="3" t="s">
        <v>435</v>
      </c>
      <c r="B8" s="3"/>
      <c r="C8" s="190" t="s">
        <v>163</v>
      </c>
      <c r="D8" s="3"/>
      <c r="E8" s="309">
        <f>'10A.)EnergyRateDesignSummary'!D78</f>
        <v>26.01</v>
      </c>
      <c r="F8" s="309">
        <f>'7A.)CustCharge_Summary'!$E$99</f>
        <v>28.1</v>
      </c>
      <c r="H8" s="3"/>
      <c r="J8" s="33"/>
      <c r="K8" s="17"/>
      <c r="L8" s="688"/>
      <c r="M8" s="3"/>
      <c r="P8" s="168" t="s">
        <v>42</v>
      </c>
      <c r="Q8" s="155"/>
      <c r="R8" s="176"/>
      <c r="S8" s="711"/>
      <c r="T8" s="388"/>
      <c r="U8" s="191"/>
      <c r="V8" s="388"/>
    </row>
    <row r="9" spans="1:22" ht="15.5" thickTop="1" thickBot="1" x14ac:dyDescent="0.4">
      <c r="A9" s="3"/>
      <c r="B9" s="3"/>
      <c r="C9" s="190"/>
      <c r="D9" s="3"/>
      <c r="E9" s="311"/>
      <c r="F9" s="311"/>
      <c r="H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1572622.9999999998</v>
      </c>
      <c r="U9" s="151">
        <f>SUM(U6:U8)</f>
        <v>0</v>
      </c>
      <c r="V9" s="151">
        <f>SUM(V6:V8)</f>
        <v>747035169.99999988</v>
      </c>
    </row>
    <row r="10" spans="1:22" ht="15" thickTop="1" x14ac:dyDescent="0.35">
      <c r="A10" s="3" t="s">
        <v>901</v>
      </c>
      <c r="B10" s="3"/>
      <c r="C10" s="3"/>
      <c r="D10" s="3"/>
      <c r="E10" s="1230">
        <f>'10A.)EnergyRateDesignSummary'!D79</f>
        <v>0.1321</v>
      </c>
      <c r="F10" s="1230">
        <f>H90</f>
        <v>0.13400000000000001</v>
      </c>
      <c r="H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2" x14ac:dyDescent="0.35">
      <c r="A11" s="3" t="s">
        <v>902</v>
      </c>
      <c r="B11" s="3"/>
      <c r="C11" s="3"/>
      <c r="D11" s="3"/>
      <c r="E11" s="1230">
        <f>'10A.)EnergyRateDesignSummary'!D80</f>
        <v>0.1321</v>
      </c>
      <c r="F11" s="1230">
        <f>H91</f>
        <v>0.13400000000000001</v>
      </c>
      <c r="H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>
        <f>$Q$6</f>
        <v>0</v>
      </c>
      <c r="R11" s="163" t="str">
        <f>$R$6</f>
        <v>-</v>
      </c>
      <c r="S11" s="162">
        <f>$S$6</f>
        <v>2000</v>
      </c>
      <c r="T11" s="386">
        <f>'[2]4B.)HY_EnergyRatePxOut(Rate I)'!$L$48</f>
        <v>3048277.3649167623</v>
      </c>
      <c r="U11" s="161"/>
      <c r="V11" s="386">
        <f>'[2]4B.)HY_EnergyRatePxOut(Rate I)'!$M$48</f>
        <v>1303809080.028403</v>
      </c>
    </row>
    <row r="12" spans="1:22" x14ac:dyDescent="0.35">
      <c r="A12" s="3" t="s">
        <v>903</v>
      </c>
      <c r="B12" s="3"/>
      <c r="C12" s="3"/>
      <c r="D12" s="3"/>
      <c r="E12" s="1230">
        <f>'10A.)EnergyRateDesignSummary'!D81</f>
        <v>0.1109</v>
      </c>
      <c r="F12" s="1230">
        <f>J90</f>
        <v>0.1125</v>
      </c>
      <c r="H12" s="3"/>
      <c r="P12" s="160" t="s">
        <v>40</v>
      </c>
      <c r="Q12" s="159"/>
      <c r="R12" s="158" t="str">
        <f>$R$7</f>
        <v>&gt;</v>
      </c>
      <c r="S12" s="157">
        <f>$S$7</f>
        <v>2000</v>
      </c>
      <c r="T12" s="387">
        <f>'[2]4B.)HY_EnergyRatePxOut(Rate I)'!$L$49</f>
        <v>86885.635083237925</v>
      </c>
      <c r="U12" s="156"/>
      <c r="V12" s="387">
        <f>'[2]4B.)HY_EnergyRatePxOut(Rate I)'!$M$49</f>
        <v>117233571.97159687</v>
      </c>
    </row>
    <row r="13" spans="1:22" ht="15" thickBot="1" x14ac:dyDescent="0.4">
      <c r="A13" s="3" t="s">
        <v>904</v>
      </c>
      <c r="B13" s="3"/>
      <c r="C13" s="3"/>
      <c r="D13" s="3"/>
      <c r="E13" s="1230">
        <f>'10A.)EnergyRateDesignSummary'!D82</f>
        <v>0.1109</v>
      </c>
      <c r="F13" s="1230">
        <f>J91</f>
        <v>0.1125</v>
      </c>
      <c r="H13" s="3"/>
      <c r="I13" s="3"/>
      <c r="M13" s="372"/>
      <c r="P13" s="155" t="s">
        <v>40</v>
      </c>
      <c r="Q13" s="154"/>
      <c r="R13" s="154"/>
      <c r="S13" s="154"/>
      <c r="T13" s="388"/>
      <c r="U13" s="191"/>
      <c r="V13" s="388"/>
    </row>
    <row r="14" spans="1:22" ht="15.5" thickTop="1" thickBot="1" x14ac:dyDescent="0.4">
      <c r="A14" s="3"/>
      <c r="B14" s="3"/>
      <c r="C14" s="3"/>
      <c r="D14" s="3"/>
      <c r="E14" s="311"/>
      <c r="F14" s="311"/>
      <c r="H14" s="3"/>
      <c r="J14" s="33" t="s">
        <v>1481</v>
      </c>
      <c r="K14" s="17"/>
      <c r="Q14" s="2"/>
      <c r="R14" s="3"/>
      <c r="S14" s="3"/>
      <c r="T14" s="151">
        <f>SUM(T11:T13)</f>
        <v>3135163.0000000005</v>
      </c>
      <c r="U14" s="151">
        <f>SUM(U11:U13)</f>
        <v>0</v>
      </c>
      <c r="V14" s="151">
        <f>SUM(V11:V13)</f>
        <v>1421042652</v>
      </c>
    </row>
    <row r="15" spans="1:22" ht="15" thickTop="1" x14ac:dyDescent="0.35">
      <c r="A15" s="3"/>
      <c r="B15" s="3"/>
      <c r="C15" s="3"/>
      <c r="D15" s="3"/>
      <c r="E15" s="410"/>
      <c r="F15" s="410"/>
      <c r="G15" s="3"/>
      <c r="H15" s="3"/>
      <c r="L15" s="690">
        <f>ROUND('[2]6B.)RateChgAllocation'!$E$20/'[2]6B.)RateChgAllocation'!$H$20,8)</f>
        <v>1.423222E-2</v>
      </c>
      <c r="M15" s="135"/>
      <c r="Q15" s="2"/>
      <c r="R15" s="3"/>
      <c r="S15" s="3"/>
      <c r="T15" s="150"/>
      <c r="U15" s="150"/>
      <c r="V15" s="150"/>
    </row>
    <row r="16" spans="1:22" ht="15" thickBot="1" x14ac:dyDescent="0.4">
      <c r="A16" s="3" t="s">
        <v>1453</v>
      </c>
      <c r="B16" t="s">
        <v>1511</v>
      </c>
      <c r="D16" s="3"/>
      <c r="E16" s="1233">
        <f>-('7A.)CustCharge_Summary'!F12-'7A.)CustCharge_Summary'!E12)</f>
        <v>4.41</v>
      </c>
      <c r="F16" s="1233">
        <f>-'7A.)CustCharge_Summary'!F52</f>
        <v>4.41</v>
      </c>
      <c r="G16" s="3"/>
      <c r="H16" s="3"/>
      <c r="L16" s="135" t="s">
        <v>1419</v>
      </c>
      <c r="M16" s="135" t="s">
        <v>1420</v>
      </c>
      <c r="N16" s="135" t="s">
        <v>1510</v>
      </c>
      <c r="Q16" s="2"/>
      <c r="R16" s="3"/>
      <c r="S16" s="3"/>
      <c r="T16" s="150"/>
      <c r="U16" s="150"/>
      <c r="V16" s="150"/>
    </row>
    <row r="17" spans="1:22" ht="15.5" thickTop="1" thickBot="1" x14ac:dyDescent="0.4">
      <c r="A17" s="3" t="s">
        <v>1411</v>
      </c>
      <c r="B17" s="3"/>
      <c r="C17" s="410" t="s">
        <v>163</v>
      </c>
      <c r="D17" s="3"/>
      <c r="E17" s="1234">
        <f>E8-E16</f>
        <v>21.6</v>
      </c>
      <c r="F17" s="1234">
        <f>F8-F16</f>
        <v>23.69</v>
      </c>
      <c r="G17" s="3"/>
      <c r="H17" s="3"/>
      <c r="J17" s="33" t="s">
        <v>439</v>
      </c>
      <c r="L17" s="918">
        <f>'[2]4B.)HY_EnergyRatePxOut(Rate I)'!$L$358</f>
        <v>1513144</v>
      </c>
      <c r="M17" s="918">
        <f>'[2]4B.)HY_EnergyRatePxOut(Rate I)'!$L$353</f>
        <v>3018519</v>
      </c>
      <c r="N17" s="366">
        <f>L17+M17</f>
        <v>4531663</v>
      </c>
    </row>
    <row r="18" spans="1:22" ht="15.5" thickTop="1" thickBot="1" x14ac:dyDescent="0.4">
      <c r="A18" s="3"/>
      <c r="B18" s="3"/>
      <c r="C18" s="3"/>
      <c r="D18" s="3"/>
      <c r="E18" s="410"/>
      <c r="F18" s="410"/>
      <c r="G18" s="230"/>
      <c r="H18" s="3"/>
      <c r="J18" s="33" t="s">
        <v>1414</v>
      </c>
      <c r="L18" s="918">
        <f>'[2]4B.)HY_EnergyRatePxOut(Rate I)'!$L$378</f>
        <v>59027</v>
      </c>
      <c r="M18" s="918">
        <f>'[2]4B.)HY_EnergyRatePxOut(Rate I)'!$L$373</f>
        <v>115740</v>
      </c>
      <c r="N18" s="366">
        <f t="shared" ref="N18:N19" si="0">L18+M18</f>
        <v>174767</v>
      </c>
    </row>
    <row r="19" spans="1:22" ht="15.5" thickTop="1" thickBot="1" x14ac:dyDescent="0.4">
      <c r="A19" s="3" t="s">
        <v>1412</v>
      </c>
      <c r="B19" s="3"/>
      <c r="C19" s="410" t="s">
        <v>163</v>
      </c>
      <c r="D19" s="3"/>
      <c r="E19" s="1234">
        <f>E8/2</f>
        <v>13.005000000000001</v>
      </c>
      <c r="F19" s="1234">
        <f>F8/2</f>
        <v>14.05</v>
      </c>
      <c r="G19" s="230"/>
      <c r="H19" s="3"/>
      <c r="J19" s="33" t="s">
        <v>1415</v>
      </c>
      <c r="L19" s="918">
        <f>'[2]4B.)HY_EnergyRatePxOut(Rate I)'!$L$398</f>
        <v>452</v>
      </c>
      <c r="M19" s="918">
        <f>'[2]4B.)HY_EnergyRatePxOut(Rate I)'!$L$393</f>
        <v>904</v>
      </c>
      <c r="N19" s="366">
        <f t="shared" si="0"/>
        <v>1356</v>
      </c>
    </row>
    <row r="20" spans="1:22" ht="15" thickTop="1" x14ac:dyDescent="0.35">
      <c r="A20" s="3"/>
      <c r="B20" s="3"/>
      <c r="C20" s="3"/>
      <c r="D20" s="3"/>
      <c r="E20" s="3"/>
      <c r="F20" s="3"/>
      <c r="G20" s="230"/>
      <c r="J20" s="33"/>
      <c r="L20" s="472"/>
      <c r="M20" s="472">
        <f>L17+L18+L19+M17+M18+M19-T9-T14</f>
        <v>0</v>
      </c>
      <c r="P20" s="484"/>
    </row>
    <row r="21" spans="1:22" x14ac:dyDescent="0.35">
      <c r="A21" s="3"/>
      <c r="B21" s="3"/>
      <c r="C21" s="3"/>
      <c r="D21" s="3"/>
      <c r="E21" s="3"/>
      <c r="F21" s="3"/>
      <c r="G21" s="230"/>
      <c r="L21" s="135" t="s">
        <v>134</v>
      </c>
      <c r="M21" s="135"/>
    </row>
    <row r="22" spans="1:22" x14ac:dyDescent="0.35">
      <c r="J22" s="33" t="s">
        <v>440</v>
      </c>
      <c r="L22" s="245">
        <f>'[2]4B.)HY_EnergyRatePxOut(Rate I)'!$T$58+'[2]4B.)HY_EnergyRatePxOut(Rate I)'!$T$59</f>
        <v>256276976</v>
      </c>
    </row>
    <row r="23" spans="1:22" x14ac:dyDescent="0.35">
      <c r="J23" s="33" t="s">
        <v>441</v>
      </c>
      <c r="L23" s="245">
        <v>0</v>
      </c>
    </row>
    <row r="24" spans="1:22" x14ac:dyDescent="0.35">
      <c r="J24" s="33"/>
      <c r="L24" s="276"/>
      <c r="M24" s="193"/>
    </row>
    <row r="25" spans="1:22" x14ac:dyDescent="0.35">
      <c r="J25" s="33" t="s">
        <v>442</v>
      </c>
      <c r="L25" s="130">
        <f>L23+L24</f>
        <v>0</v>
      </c>
      <c r="M25" s="891">
        <f>ROUND(L25/L22,5)</f>
        <v>0</v>
      </c>
    </row>
    <row r="26" spans="1:22" x14ac:dyDescent="0.35">
      <c r="R26" s="1"/>
      <c r="S26" s="1"/>
      <c r="T26" s="1"/>
    </row>
    <row r="27" spans="1:22" x14ac:dyDescent="0.35">
      <c r="L27" s="135" t="s">
        <v>135</v>
      </c>
      <c r="R27" s="1"/>
      <c r="S27" s="1"/>
      <c r="T27" s="1"/>
    </row>
    <row r="28" spans="1:22" x14ac:dyDescent="0.35">
      <c r="J28" s="33" t="s">
        <v>507</v>
      </c>
      <c r="L28" s="245">
        <f>'[2]6B.)RateChgAllocation'!$M$20</f>
        <v>3647391</v>
      </c>
      <c r="R28" s="1"/>
      <c r="S28" s="1"/>
      <c r="T28" s="1"/>
      <c r="U28" s="150"/>
      <c r="V28" s="150"/>
    </row>
    <row r="29" spans="1:22" x14ac:dyDescent="0.35">
      <c r="R29" s="1"/>
      <c r="S29" s="1"/>
      <c r="T29" s="1"/>
    </row>
    <row r="30" spans="1:22" x14ac:dyDescent="0.35">
      <c r="J30" s="33" t="s">
        <v>1490</v>
      </c>
      <c r="L30" s="245">
        <f>'[2]6A.)RateChange'!$BL$22</f>
        <v>404281225</v>
      </c>
      <c r="R30" s="1"/>
      <c r="S30" s="1"/>
      <c r="T30" s="1"/>
    </row>
    <row r="31" spans="1:22" x14ac:dyDescent="0.35">
      <c r="J31" s="33" t="s">
        <v>443</v>
      </c>
      <c r="L31" s="245">
        <f>'10F.)Energy_RateDesign_SC2_II'!N187</f>
        <v>11380897</v>
      </c>
      <c r="M31" s="372"/>
      <c r="R31" s="130"/>
    </row>
    <row r="32" spans="1:22" s="148" customFormat="1" x14ac:dyDescent="0.35"/>
    <row r="33" spans="1:17" x14ac:dyDescent="0.35">
      <c r="A33" s="407" t="s">
        <v>1651</v>
      </c>
      <c r="B33" s="147"/>
      <c r="C33" s="131"/>
      <c r="D33" s="131"/>
      <c r="E33" s="131"/>
      <c r="F33" s="131"/>
    </row>
    <row r="34" spans="1:17" x14ac:dyDescent="0.35">
      <c r="A34" s="407"/>
      <c r="B34" s="407" t="s">
        <v>150</v>
      </c>
      <c r="C34" s="706">
        <f>$L$3</f>
        <v>2019</v>
      </c>
      <c r="D34" s="131"/>
      <c r="E34" s="131"/>
      <c r="F34" s="131"/>
    </row>
    <row r="35" spans="1:17" x14ac:dyDescent="0.35">
      <c r="A35" s="407"/>
      <c r="B35" s="131" t="s">
        <v>5</v>
      </c>
      <c r="C35" s="706">
        <f>$L$4</f>
        <v>2020</v>
      </c>
      <c r="D35" s="131"/>
      <c r="E35" s="131"/>
      <c r="F35" s="131"/>
    </row>
    <row r="36" spans="1:17" x14ac:dyDescent="0.35">
      <c r="A36" s="406"/>
      <c r="B36" s="41" t="str">
        <f>$A$4</f>
        <v>SC2 Rate I</v>
      </c>
      <c r="C36" s="133" t="s">
        <v>117</v>
      </c>
      <c r="D36" s="133"/>
      <c r="E36" s="133"/>
      <c r="F36" s="133"/>
      <c r="P36"/>
      <c r="Q36"/>
    </row>
    <row r="37" spans="1:17" x14ac:dyDescent="0.35">
      <c r="A37" s="406"/>
      <c r="C37" t="s">
        <v>409</v>
      </c>
      <c r="J37" s="819">
        <f>L22</f>
        <v>256276976</v>
      </c>
      <c r="K37" s="892" t="s">
        <v>79</v>
      </c>
      <c r="P37"/>
      <c r="Q37"/>
    </row>
    <row r="38" spans="1:17" x14ac:dyDescent="0.35">
      <c r="A38" s="406"/>
      <c r="C38" t="s">
        <v>1509</v>
      </c>
      <c r="I38" s="894">
        <f>L28</f>
        <v>3647391</v>
      </c>
      <c r="J38" s="136"/>
      <c r="K38" s="892" t="s">
        <v>78</v>
      </c>
      <c r="P38"/>
      <c r="Q38"/>
    </row>
    <row r="39" spans="1:17" x14ac:dyDescent="0.35">
      <c r="A39" s="406"/>
      <c r="C39" t="s">
        <v>410</v>
      </c>
      <c r="I39" s="346">
        <f>1+M25</f>
        <v>1</v>
      </c>
      <c r="J39" s="136"/>
      <c r="K39" s="892" t="s">
        <v>1089</v>
      </c>
      <c r="P39"/>
      <c r="Q39"/>
    </row>
    <row r="40" spans="1:17" x14ac:dyDescent="0.35">
      <c r="A40" s="406"/>
      <c r="C40" t="s">
        <v>411</v>
      </c>
      <c r="J40" s="130">
        <f>ROUND(I38/I39,0)</f>
        <v>3647391</v>
      </c>
      <c r="K40" s="892" t="s">
        <v>1551</v>
      </c>
      <c r="P40"/>
      <c r="Q40"/>
    </row>
    <row r="41" spans="1:17" x14ac:dyDescent="0.35">
      <c r="A41" s="406"/>
      <c r="J41" s="130"/>
      <c r="P41"/>
      <c r="Q41"/>
    </row>
    <row r="42" spans="1:17" x14ac:dyDescent="0.35">
      <c r="A42" s="406"/>
      <c r="C42" s="75" t="s">
        <v>412</v>
      </c>
      <c r="D42" s="75"/>
      <c r="E42" s="75"/>
      <c r="F42" s="75"/>
      <c r="J42" s="898">
        <f>J37+J40</f>
        <v>259924367</v>
      </c>
      <c r="K42" s="892" t="s">
        <v>1552</v>
      </c>
      <c r="P42"/>
      <c r="Q42"/>
    </row>
    <row r="43" spans="1:17" x14ac:dyDescent="0.35">
      <c r="A43" s="406"/>
      <c r="J43" s="286"/>
      <c r="L43" s="141"/>
    </row>
    <row r="44" spans="1:17" x14ac:dyDescent="0.35">
      <c r="A44" s="407" t="s">
        <v>413</v>
      </c>
      <c r="P44"/>
      <c r="Q44"/>
    </row>
    <row r="45" spans="1:17" ht="15" thickBot="1" x14ac:dyDescent="0.4">
      <c r="A45" s="406"/>
    </row>
    <row r="46" spans="1:17" ht="15.5" thickTop="1" thickBot="1" x14ac:dyDescent="0.4">
      <c r="A46" s="406"/>
      <c r="B46" s="41" t="str">
        <f>$A$4</f>
        <v>SC2 Rate I</v>
      </c>
      <c r="C46" s="3"/>
      <c r="D46" s="3"/>
      <c r="E46" s="3"/>
      <c r="F46" s="3"/>
      <c r="G46" s="3"/>
      <c r="H46" s="1316" t="s">
        <v>680</v>
      </c>
      <c r="I46" s="1317"/>
      <c r="J46" s="1318"/>
      <c r="K46" s="3"/>
      <c r="L46" s="1307" t="s">
        <v>81</v>
      </c>
      <c r="M46" s="1308"/>
      <c r="N46" s="1309"/>
      <c r="P46"/>
      <c r="Q46"/>
    </row>
    <row r="47" spans="1:17" ht="15" thickTop="1" x14ac:dyDescent="0.35">
      <c r="A47" s="406"/>
      <c r="B47" s="3"/>
      <c r="C47" s="3"/>
      <c r="E47" s="30"/>
      <c r="F47" s="3"/>
      <c r="G47" s="3"/>
      <c r="H47" s="30" t="s">
        <v>42</v>
      </c>
      <c r="I47" s="30"/>
      <c r="J47" s="30" t="s">
        <v>40</v>
      </c>
      <c r="K47" s="3"/>
      <c r="L47" s="30" t="s">
        <v>42</v>
      </c>
      <c r="M47" s="86"/>
      <c r="N47" s="30" t="s">
        <v>40</v>
      </c>
      <c r="P47"/>
      <c r="Q47"/>
    </row>
    <row r="48" spans="1:17" x14ac:dyDescent="0.35">
      <c r="A48" s="406"/>
      <c r="B48" s="3"/>
      <c r="C48" s="3"/>
      <c r="G48" s="3"/>
      <c r="H48" s="35"/>
      <c r="I48" s="35"/>
      <c r="J48" s="35"/>
      <c r="K48" s="3"/>
      <c r="L48" s="30"/>
      <c r="M48" s="86"/>
      <c r="N48" s="30"/>
      <c r="P48"/>
      <c r="Q48"/>
    </row>
    <row r="49" spans="1:17" x14ac:dyDescent="0.35">
      <c r="A49" s="406"/>
      <c r="B49" s="3"/>
      <c r="C49" s="3" t="s">
        <v>163</v>
      </c>
      <c r="G49" s="3"/>
      <c r="H49" s="35"/>
      <c r="I49" s="35"/>
      <c r="J49" s="35"/>
      <c r="K49" s="3"/>
      <c r="L49" s="30"/>
      <c r="M49" s="86"/>
      <c r="N49" s="30"/>
      <c r="P49"/>
      <c r="Q49"/>
    </row>
    <row r="50" spans="1:17" x14ac:dyDescent="0.35">
      <c r="A50" s="406"/>
      <c r="C50" t="s">
        <v>377</v>
      </c>
      <c r="D50" s="567">
        <f>Q6</f>
        <v>0</v>
      </c>
      <c r="E50" s="123" t="str">
        <f>R6</f>
        <v>-</v>
      </c>
      <c r="F50" s="567">
        <f>S6</f>
        <v>2000</v>
      </c>
      <c r="G50" s="123"/>
      <c r="H50" s="348">
        <f>E10</f>
        <v>0.1321</v>
      </c>
      <c r="I50" s="892" t="s">
        <v>165</v>
      </c>
      <c r="J50" s="348">
        <f>E12</f>
        <v>0.1109</v>
      </c>
      <c r="K50" s="892" t="s">
        <v>138</v>
      </c>
      <c r="L50" s="27">
        <f>H50-J$51</f>
        <v>2.1199999999999997E-2</v>
      </c>
      <c r="M50" s="61" t="s">
        <v>1553</v>
      </c>
      <c r="N50" s="27">
        <f>J50-J$51</f>
        <v>0</v>
      </c>
      <c r="O50" s="61" t="s">
        <v>1555</v>
      </c>
      <c r="P50"/>
      <c r="Q50"/>
    </row>
    <row r="51" spans="1:17" x14ac:dyDescent="0.35">
      <c r="A51" s="406"/>
      <c r="B51" s="3"/>
      <c r="C51" s="3" t="s">
        <v>376</v>
      </c>
      <c r="D51" s="3"/>
      <c r="E51" s="123" t="str">
        <f>R7</f>
        <v>&gt;</v>
      </c>
      <c r="F51" s="567">
        <f>S7</f>
        <v>2000</v>
      </c>
      <c r="G51" s="36"/>
      <c r="H51" s="348">
        <f>E11</f>
        <v>0.1321</v>
      </c>
      <c r="I51" s="892" t="s">
        <v>166</v>
      </c>
      <c r="J51" s="348">
        <f>E13</f>
        <v>0.1109</v>
      </c>
      <c r="K51" s="892" t="s">
        <v>101</v>
      </c>
      <c r="L51" s="27">
        <f>H51-J$51</f>
        <v>2.1199999999999997E-2</v>
      </c>
      <c r="M51" s="61" t="s">
        <v>1554</v>
      </c>
      <c r="N51" s="112"/>
      <c r="O51" s="61" t="s">
        <v>1091</v>
      </c>
      <c r="P51"/>
      <c r="Q51"/>
    </row>
    <row r="52" spans="1:17" x14ac:dyDescent="0.35">
      <c r="A52" s="406"/>
      <c r="B52" s="3"/>
      <c r="C52" s="3"/>
      <c r="D52" s="3"/>
      <c r="E52" s="3"/>
      <c r="F52" s="3"/>
      <c r="G52" s="36"/>
      <c r="P52"/>
      <c r="Q52"/>
    </row>
    <row r="53" spans="1:17" x14ac:dyDescent="0.35">
      <c r="A53" s="406"/>
      <c r="B53" s="3"/>
      <c r="E53" s="123"/>
      <c r="F53" s="123"/>
      <c r="G53" s="36"/>
      <c r="I53" s="120"/>
      <c r="J53" s="120"/>
      <c r="K53" s="3"/>
      <c r="L53" s="27"/>
      <c r="M53" s="61"/>
      <c r="N53" s="61"/>
      <c r="P53"/>
      <c r="Q53"/>
    </row>
    <row r="54" spans="1:17" ht="15" thickBot="1" x14ac:dyDescent="0.4">
      <c r="A54" s="406"/>
      <c r="K54" s="100" t="s">
        <v>431</v>
      </c>
      <c r="L54" s="897">
        <f>L15</f>
        <v>1.423222E-2</v>
      </c>
      <c r="M54" s="61" t="s">
        <v>1556</v>
      </c>
      <c r="N54" s="61"/>
    </row>
    <row r="55" spans="1:17" ht="15.5" thickTop="1" thickBot="1" x14ac:dyDescent="0.4">
      <c r="A55" s="406"/>
      <c r="D55" s="1"/>
      <c r="E55" s="1"/>
      <c r="F55" s="1"/>
      <c r="L55" s="1307" t="s">
        <v>76</v>
      </c>
      <c r="M55" s="1308"/>
      <c r="N55" s="1309"/>
      <c r="P55"/>
      <c r="Q55"/>
    </row>
    <row r="56" spans="1:17" ht="15.5" thickTop="1" thickBot="1" x14ac:dyDescent="0.4">
      <c r="A56" s="406"/>
      <c r="C56" s="70" t="s">
        <v>77</v>
      </c>
      <c r="D56" s="1"/>
      <c r="E56" s="1"/>
      <c r="F56" s="1"/>
      <c r="G56" s="118" t="s">
        <v>42</v>
      </c>
      <c r="H56" s="118" t="s">
        <v>40</v>
      </c>
      <c r="L56" s="30" t="s">
        <v>42</v>
      </c>
      <c r="M56" s="86"/>
      <c r="N56" s="30" t="s">
        <v>40</v>
      </c>
      <c r="P56"/>
      <c r="Q56"/>
    </row>
    <row r="57" spans="1:17" x14ac:dyDescent="0.35">
      <c r="A57" s="406"/>
      <c r="C57" t="s">
        <v>377</v>
      </c>
      <c r="D57" s="121">
        <f>$D$50</f>
        <v>0</v>
      </c>
      <c r="E57" s="122" t="str">
        <f>$E$50</f>
        <v>-</v>
      </c>
      <c r="F57" s="121">
        <f>$F$50</f>
        <v>2000</v>
      </c>
      <c r="G57" s="117" t="str">
        <f>CONCATENATE("X + ",L57)</f>
        <v>X + 0.0215</v>
      </c>
      <c r="H57" s="116" t="str">
        <f>CONCATENATE("X + ",N57)</f>
        <v>X + 0</v>
      </c>
      <c r="L57" s="907">
        <f>ROUND(L50*(1+$L$54),4)</f>
        <v>2.1499999999999998E-2</v>
      </c>
      <c r="M57" s="61" t="s">
        <v>1630</v>
      </c>
      <c r="N57" s="223">
        <f>ROUND(N50*(1+$L$54),4)</f>
        <v>0</v>
      </c>
      <c r="O57" s="61" t="s">
        <v>1632</v>
      </c>
      <c r="P57"/>
      <c r="Q57"/>
    </row>
    <row r="58" spans="1:17" x14ac:dyDescent="0.35">
      <c r="A58" s="406"/>
      <c r="D58" s="1"/>
      <c r="E58" s="1"/>
      <c r="F58" s="1"/>
      <c r="G58" s="114"/>
      <c r="H58" s="113"/>
      <c r="L58" s="2"/>
      <c r="M58" s="109"/>
      <c r="N58" s="2"/>
      <c r="P58"/>
      <c r="Q58"/>
    </row>
    <row r="59" spans="1:17" ht="15" thickBot="1" x14ac:dyDescent="0.4">
      <c r="A59" s="406"/>
      <c r="C59" s="3" t="s">
        <v>376</v>
      </c>
      <c r="D59" s="2"/>
      <c r="E59" s="122" t="str">
        <f>$E$51</f>
        <v>&gt;</v>
      </c>
      <c r="F59" s="121">
        <f>$F$51</f>
        <v>2000</v>
      </c>
      <c r="G59" s="111" t="str">
        <f>CONCATENATE("X + ",L59)</f>
        <v>X + 0.0215</v>
      </c>
      <c r="H59" s="350" t="s">
        <v>32</v>
      </c>
      <c r="L59" s="907">
        <f>ROUND(L51*(1+$L$54),4)</f>
        <v>2.1499999999999998E-2</v>
      </c>
      <c r="M59" s="61" t="s">
        <v>1631</v>
      </c>
      <c r="N59" s="223">
        <f>ROUND(N51*(1+$L$54),4)</f>
        <v>0</v>
      </c>
      <c r="O59" s="61" t="s">
        <v>1633</v>
      </c>
      <c r="P59"/>
      <c r="Q59"/>
    </row>
    <row r="60" spans="1:17" x14ac:dyDescent="0.35">
      <c r="A60" s="406"/>
      <c r="D60" s="1"/>
      <c r="E60" s="1"/>
      <c r="F60" s="1"/>
      <c r="P60"/>
      <c r="Q60"/>
    </row>
    <row r="61" spans="1:17" x14ac:dyDescent="0.35">
      <c r="A61" s="406"/>
      <c r="D61" s="1"/>
      <c r="E61" s="1"/>
      <c r="F61" s="1"/>
      <c r="P61"/>
      <c r="Q61"/>
    </row>
    <row r="62" spans="1:17" x14ac:dyDescent="0.35">
      <c r="A62" s="406"/>
      <c r="B62" s="334" t="s">
        <v>46</v>
      </c>
      <c r="P62"/>
      <c r="Q62"/>
    </row>
    <row r="63" spans="1:17" x14ac:dyDescent="0.35">
      <c r="B63" s="41" t="str">
        <f>$A$4</f>
        <v>SC2 Rate I</v>
      </c>
      <c r="P63"/>
      <c r="Q63"/>
    </row>
    <row r="64" spans="1:17" ht="15" thickBot="1" x14ac:dyDescent="0.4">
      <c r="B64" s="70" t="s">
        <v>414</v>
      </c>
      <c r="C64" s="70"/>
      <c r="D64" s="70"/>
      <c r="E64" s="3"/>
      <c r="F64" s="3"/>
      <c r="I64" s="69" t="s">
        <v>44</v>
      </c>
      <c r="J64" s="3"/>
      <c r="K64" s="3"/>
      <c r="P64"/>
      <c r="Q64"/>
    </row>
    <row r="65" spans="2:17" x14ac:dyDescent="0.35">
      <c r="B65" s="3"/>
      <c r="C65" s="70"/>
      <c r="D65" s="70"/>
      <c r="E65" s="3" t="s">
        <v>42</v>
      </c>
      <c r="F65" s="3"/>
      <c r="G65" s="392" t="str">
        <f>CONCATENATE(D50,E50,F50," kW")</f>
        <v>0-2000 kW</v>
      </c>
      <c r="I65" s="72">
        <f>V6</f>
        <v>689714330.74310398</v>
      </c>
      <c r="J65" s="36" t="s">
        <v>39</v>
      </c>
      <c r="K65" s="74" t="str">
        <f>CONCATENATE("[",G57,"]")</f>
        <v>[X + 0.0215]</v>
      </c>
      <c r="L65" s="61" t="s">
        <v>1559</v>
      </c>
      <c r="P65"/>
      <c r="Q65"/>
    </row>
    <row r="66" spans="2:17" x14ac:dyDescent="0.35">
      <c r="B66" s="3"/>
      <c r="C66" s="3"/>
      <c r="D66" s="3"/>
      <c r="E66" s="3" t="s">
        <v>42</v>
      </c>
      <c r="F66" s="3"/>
      <c r="G66" s="392" t="str">
        <f>CONCATENATE(D51,E51,F51," kW")</f>
        <v>&gt;2000 kW</v>
      </c>
      <c r="I66" s="72">
        <f>V7</f>
        <v>57320839.256895944</v>
      </c>
      <c r="J66" s="36" t="s">
        <v>39</v>
      </c>
      <c r="K66" s="107" t="str">
        <f>CONCATENATE("[",G59,"]")</f>
        <v>[X + 0.0215]</v>
      </c>
      <c r="L66" s="61" t="s">
        <v>1560</v>
      </c>
      <c r="P66"/>
      <c r="Q66"/>
    </row>
    <row r="67" spans="2:17" x14ac:dyDescent="0.35">
      <c r="B67" s="3"/>
      <c r="C67" s="3"/>
      <c r="D67" s="3"/>
      <c r="E67" s="3" t="s">
        <v>40</v>
      </c>
      <c r="F67" s="3"/>
      <c r="G67" s="410" t="str">
        <f>G65</f>
        <v>0-2000 kW</v>
      </c>
      <c r="I67" s="72">
        <f>V11</f>
        <v>1303809080.028403</v>
      </c>
      <c r="J67" s="36" t="s">
        <v>39</v>
      </c>
      <c r="K67" s="73" t="str">
        <f>CONCATENATE("[",H57,"]")</f>
        <v>[X + 0]</v>
      </c>
      <c r="L67" s="61" t="s">
        <v>1557</v>
      </c>
      <c r="P67"/>
      <c r="Q67"/>
    </row>
    <row r="68" spans="2:17" ht="15" thickBot="1" x14ac:dyDescent="0.4">
      <c r="B68" s="3"/>
      <c r="C68" s="3"/>
      <c r="D68" s="3"/>
      <c r="E68" s="3" t="s">
        <v>40</v>
      </c>
      <c r="F68" s="3"/>
      <c r="G68" s="410" t="str">
        <f>G66</f>
        <v>&gt;2000 kW</v>
      </c>
      <c r="I68" s="67">
        <f>V12</f>
        <v>117233571.97159687</v>
      </c>
      <c r="J68" s="36" t="s">
        <v>39</v>
      </c>
      <c r="K68" s="71" t="str">
        <f>CONCATENATE("[",H59,"]")</f>
        <v>[X]</v>
      </c>
      <c r="L68" s="61" t="s">
        <v>1642</v>
      </c>
      <c r="P68"/>
      <c r="Q68"/>
    </row>
    <row r="69" spans="2:17" x14ac:dyDescent="0.35">
      <c r="I69" s="366">
        <f>SUM(I65:I68)</f>
        <v>2168077821.9999995</v>
      </c>
      <c r="J69" s="61" t="s">
        <v>1095</v>
      </c>
    </row>
    <row r="71" spans="2:17" x14ac:dyDescent="0.35">
      <c r="B71" s="70" t="s">
        <v>472</v>
      </c>
      <c r="P71"/>
      <c r="Q71"/>
    </row>
    <row r="72" spans="2:17" x14ac:dyDescent="0.35">
      <c r="B72" s="41" t="str">
        <f>$A$4</f>
        <v>SC2 Rate I</v>
      </c>
      <c r="F72" s="3"/>
      <c r="G72" s="3"/>
      <c r="H72" s="3"/>
      <c r="I72" s="69" t="s">
        <v>44</v>
      </c>
      <c r="J72" s="3"/>
      <c r="K72" s="106"/>
      <c r="L72" s="3"/>
      <c r="M72" s="3"/>
      <c r="N72" s="17"/>
      <c r="P72"/>
      <c r="Q72"/>
    </row>
    <row r="73" spans="2:17" x14ac:dyDescent="0.35">
      <c r="B73" s="3" t="s">
        <v>691</v>
      </c>
      <c r="C73" s="3"/>
      <c r="F73" s="3"/>
      <c r="G73" s="3"/>
      <c r="H73" s="3"/>
      <c r="I73" s="105">
        <f>I65</f>
        <v>689714330.74310398</v>
      </c>
      <c r="J73" s="65" t="s">
        <v>63</v>
      </c>
      <c r="K73" s="26">
        <f>ROUND(I73*L57,0)</f>
        <v>14828858</v>
      </c>
      <c r="L73" s="3" t="s">
        <v>62</v>
      </c>
      <c r="M73" s="61" t="s">
        <v>1565</v>
      </c>
      <c r="N73" s="17"/>
      <c r="P73"/>
      <c r="Q73"/>
    </row>
    <row r="74" spans="2:17" x14ac:dyDescent="0.35">
      <c r="B74" s="3" t="s">
        <v>692</v>
      </c>
      <c r="C74" s="3"/>
      <c r="F74" s="3"/>
      <c r="G74" s="3"/>
      <c r="H74" s="3"/>
      <c r="I74" s="105">
        <f>I66</f>
        <v>57320839.256895944</v>
      </c>
      <c r="J74" s="65" t="s">
        <v>63</v>
      </c>
      <c r="K74" s="26">
        <f>ROUND(I74*L59,0)</f>
        <v>1232398</v>
      </c>
      <c r="L74" s="3" t="s">
        <v>62</v>
      </c>
      <c r="M74" s="61" t="s">
        <v>1566</v>
      </c>
      <c r="N74" s="17"/>
      <c r="P74"/>
      <c r="Q74"/>
    </row>
    <row r="75" spans="2:17" x14ac:dyDescent="0.35">
      <c r="B75" s="3" t="s">
        <v>693</v>
      </c>
      <c r="C75" s="3"/>
      <c r="F75" s="3"/>
      <c r="G75" s="3"/>
      <c r="H75" s="3"/>
      <c r="I75" s="105">
        <f>I67</f>
        <v>1303809080.028403</v>
      </c>
      <c r="J75" s="65" t="s">
        <v>63</v>
      </c>
      <c r="K75" s="26">
        <f>ROUND(I75*N57,0)</f>
        <v>0</v>
      </c>
      <c r="L75" s="3" t="s">
        <v>62</v>
      </c>
      <c r="M75" s="61" t="s">
        <v>1561</v>
      </c>
      <c r="N75" s="17"/>
      <c r="P75"/>
      <c r="Q75"/>
    </row>
    <row r="76" spans="2:17" x14ac:dyDescent="0.35">
      <c r="B76" s="3" t="s">
        <v>694</v>
      </c>
      <c r="C76" s="3"/>
      <c r="F76" s="3"/>
      <c r="G76" s="3"/>
      <c r="H76" s="3"/>
      <c r="I76" s="351">
        <f>I68</f>
        <v>117233571.97159687</v>
      </c>
      <c r="J76" s="65" t="s">
        <v>63</v>
      </c>
      <c r="K76" s="37">
        <f>ROUND(I76*N59,0)</f>
        <v>0</v>
      </c>
      <c r="L76" s="3" t="s">
        <v>62</v>
      </c>
      <c r="M76" s="61" t="s">
        <v>1562</v>
      </c>
      <c r="N76" s="17"/>
      <c r="P76"/>
      <c r="Q76"/>
    </row>
    <row r="77" spans="2:17" x14ac:dyDescent="0.35">
      <c r="B77" s="3" t="s">
        <v>695</v>
      </c>
      <c r="C77" s="3"/>
      <c r="F77" s="66"/>
      <c r="G77" s="66">
        <f>J42</f>
        <v>259924367</v>
      </c>
      <c r="H77" s="63" t="s">
        <v>31</v>
      </c>
      <c r="I77" s="28">
        <f>SUM(I73:I76)</f>
        <v>2168077821.9999995</v>
      </c>
      <c r="J77" s="65" t="s">
        <v>63</v>
      </c>
      <c r="K77" s="103">
        <f>SUM(K73:K76)</f>
        <v>16061256</v>
      </c>
      <c r="L77" s="3" t="s">
        <v>1637</v>
      </c>
      <c r="M77" s="61" t="s">
        <v>1567</v>
      </c>
      <c r="N77" s="17"/>
      <c r="P77"/>
      <c r="Q77"/>
    </row>
    <row r="78" spans="2:17" x14ac:dyDescent="0.35">
      <c r="F78" s="3"/>
      <c r="G78" s="3"/>
      <c r="H78" s="3"/>
      <c r="I78" s="3"/>
      <c r="J78" s="3"/>
      <c r="K78" s="3"/>
      <c r="L78" s="3"/>
      <c r="M78" s="61" t="s">
        <v>1634</v>
      </c>
      <c r="N78" s="17"/>
      <c r="P78"/>
      <c r="Q78"/>
    </row>
    <row r="79" spans="2:17" x14ac:dyDescent="0.35">
      <c r="F79" s="34"/>
      <c r="G79" s="34">
        <f>G77-K77</f>
        <v>243863111</v>
      </c>
      <c r="H79" s="63" t="s">
        <v>31</v>
      </c>
      <c r="I79" s="28">
        <f>I77</f>
        <v>2168077821.9999995</v>
      </c>
      <c r="J79" s="65" t="s">
        <v>32</v>
      </c>
      <c r="K79" s="3"/>
      <c r="L79" s="3"/>
      <c r="M79" s="61" t="s">
        <v>1635</v>
      </c>
      <c r="N79" s="17"/>
      <c r="P79"/>
      <c r="Q79"/>
    </row>
    <row r="80" spans="2:17" ht="15" thickBot="1" x14ac:dyDescent="0.4">
      <c r="F80" s="3"/>
      <c r="G80" s="3"/>
      <c r="H80" s="3"/>
      <c r="I80" s="3"/>
      <c r="J80" s="3"/>
      <c r="K80" s="34"/>
      <c r="L80" s="34"/>
      <c r="N80" s="17"/>
      <c r="P80"/>
      <c r="Q80"/>
    </row>
    <row r="81" spans="1:17" ht="15.5" thickTop="1" thickBot="1" x14ac:dyDescent="0.4">
      <c r="F81" s="64"/>
      <c r="G81" s="101" t="s">
        <v>32</v>
      </c>
      <c r="H81" s="63" t="s">
        <v>31</v>
      </c>
      <c r="I81" s="352">
        <f>ROUND(G79/I79,4)</f>
        <v>0.1125</v>
      </c>
      <c r="J81" s="61" t="s">
        <v>1568</v>
      </c>
      <c r="M81" s="61" t="s">
        <v>1636</v>
      </c>
      <c r="N81" s="17"/>
      <c r="P81"/>
      <c r="Q81"/>
    </row>
    <row r="82" spans="1:17" ht="15" thickTop="1" x14ac:dyDescent="0.35">
      <c r="P82"/>
      <c r="Q82"/>
    </row>
    <row r="83" spans="1:17" x14ac:dyDescent="0.35">
      <c r="B83" s="406"/>
    </row>
    <row r="84" spans="1:17" ht="18" customHeight="1" x14ac:dyDescent="0.35">
      <c r="B84" s="334" t="str">
        <f>CONCATENATE($A$4," at Proposed T&amp;D Rates")</f>
        <v>SC2 Rate I at Proposed T&amp;D Rates</v>
      </c>
      <c r="P84"/>
      <c r="Q84"/>
    </row>
    <row r="85" spans="1:17" ht="15" thickBot="1" x14ac:dyDescent="0.4">
      <c r="B85" s="334"/>
      <c r="P85"/>
      <c r="Q85"/>
    </row>
    <row r="86" spans="1:17" ht="15" thickBot="1" x14ac:dyDescent="0.4">
      <c r="B86" s="406"/>
      <c r="C86" s="60" t="s">
        <v>5</v>
      </c>
      <c r="D86" s="353">
        <f>$L$4</f>
        <v>2020</v>
      </c>
      <c r="E86" s="58"/>
      <c r="F86" s="58"/>
      <c r="G86" s="59"/>
      <c r="H86" s="59"/>
      <c r="I86" s="59"/>
      <c r="J86" s="59"/>
      <c r="K86" s="98"/>
      <c r="L86" s="3"/>
      <c r="M86" s="3"/>
      <c r="N86" s="17"/>
      <c r="O86" s="3"/>
      <c r="P86"/>
      <c r="Q86"/>
    </row>
    <row r="87" spans="1:17" ht="15.5" thickTop="1" thickBot="1" x14ac:dyDescent="0.4">
      <c r="B87" s="406"/>
      <c r="C87" s="96"/>
      <c r="D87" s="44"/>
      <c r="E87" s="44"/>
      <c r="F87" s="44"/>
      <c r="G87" s="44"/>
      <c r="H87" s="1341" t="s">
        <v>415</v>
      </c>
      <c r="I87" s="1342"/>
      <c r="J87" s="1343"/>
      <c r="K87" s="94"/>
      <c r="L87" s="3"/>
      <c r="M87" s="3"/>
      <c r="N87" s="3"/>
      <c r="P87"/>
      <c r="Q87"/>
    </row>
    <row r="88" spans="1:17" ht="15" thickTop="1" x14ac:dyDescent="0.35">
      <c r="B88" s="406"/>
      <c r="C88" s="96"/>
      <c r="D88" s="44"/>
      <c r="E88" s="44"/>
      <c r="F88" s="44"/>
      <c r="G88" s="44"/>
      <c r="H88" s="56" t="s">
        <v>10</v>
      </c>
      <c r="I88" s="44"/>
      <c r="J88" s="56" t="s">
        <v>7</v>
      </c>
      <c r="K88" s="94"/>
      <c r="L88" s="3"/>
      <c r="M88" s="3"/>
      <c r="N88" s="3"/>
      <c r="P88"/>
      <c r="Q88"/>
    </row>
    <row r="89" spans="1:17" x14ac:dyDescent="0.35">
      <c r="B89" s="406"/>
      <c r="C89" s="96" t="s">
        <v>163</v>
      </c>
      <c r="D89" s="44"/>
      <c r="E89" s="44"/>
      <c r="F89" s="44"/>
      <c r="G89" s="44"/>
      <c r="H89" s="698">
        <f>F8</f>
        <v>28.1</v>
      </c>
      <c r="I89" s="358" t="s">
        <v>109</v>
      </c>
      <c r="J89" s="698">
        <f>H89</f>
        <v>28.1</v>
      </c>
      <c r="K89" s="359" t="s">
        <v>1638</v>
      </c>
      <c r="L89" s="3"/>
      <c r="M89" s="3"/>
      <c r="N89" s="3"/>
      <c r="P89"/>
      <c r="Q89"/>
    </row>
    <row r="90" spans="1:17" x14ac:dyDescent="0.35">
      <c r="C90" s="96" t="s">
        <v>377</v>
      </c>
      <c r="D90" s="355">
        <f>$D$50</f>
        <v>0</v>
      </c>
      <c r="E90" s="356" t="str">
        <f>$E$50</f>
        <v>-</v>
      </c>
      <c r="F90" s="355">
        <f>$F$50</f>
        <v>2000</v>
      </c>
      <c r="G90" s="44"/>
      <c r="H90" s="357">
        <f>$I$81+L57</f>
        <v>0.13400000000000001</v>
      </c>
      <c r="I90" s="358" t="s">
        <v>108</v>
      </c>
      <c r="J90" s="357">
        <f>$I$81+N57</f>
        <v>0.1125</v>
      </c>
      <c r="K90" s="359" t="s">
        <v>1639</v>
      </c>
      <c r="L90" s="3"/>
      <c r="M90" s="3"/>
      <c r="N90" s="3"/>
      <c r="P90"/>
      <c r="Q90"/>
    </row>
    <row r="91" spans="1:17" x14ac:dyDescent="0.35">
      <c r="C91" s="96" t="s">
        <v>376</v>
      </c>
      <c r="D91" s="360"/>
      <c r="E91" s="356" t="str">
        <f>$E$51</f>
        <v>&gt;</v>
      </c>
      <c r="F91" s="355">
        <f>$F$51</f>
        <v>2000</v>
      </c>
      <c r="G91" s="44"/>
      <c r="H91" s="357">
        <f>$I$81+L59</f>
        <v>0.13400000000000001</v>
      </c>
      <c r="I91" s="358" t="s">
        <v>1574</v>
      </c>
      <c r="J91" s="357">
        <f>I81</f>
        <v>0.1125</v>
      </c>
      <c r="K91" s="359" t="s">
        <v>1640</v>
      </c>
      <c r="L91" s="3"/>
      <c r="M91" s="3"/>
      <c r="N91" s="3"/>
      <c r="P91"/>
      <c r="Q91"/>
    </row>
    <row r="92" spans="1:17" ht="15" thickBot="1" x14ac:dyDescent="0.4">
      <c r="C92" s="93"/>
      <c r="D92" s="46"/>
      <c r="E92" s="46"/>
      <c r="F92" s="46"/>
      <c r="G92" s="46"/>
      <c r="H92" s="46"/>
      <c r="I92" s="46"/>
      <c r="J92" s="46"/>
      <c r="K92" s="91"/>
      <c r="L92" s="3"/>
      <c r="M92" s="3"/>
      <c r="N92" s="3"/>
      <c r="P92"/>
      <c r="Q92"/>
    </row>
    <row r="93" spans="1:17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/>
      <c r="Q93"/>
    </row>
    <row r="94" spans="1:17" x14ac:dyDescent="0.35">
      <c r="C94" s="3"/>
      <c r="D94" s="3"/>
      <c r="E94" s="3"/>
      <c r="F94" s="3"/>
      <c r="G94" s="3"/>
      <c r="H94" s="30" t="s">
        <v>416</v>
      </c>
      <c r="I94" s="135" t="s">
        <v>1419</v>
      </c>
      <c r="J94" s="135" t="s">
        <v>1420</v>
      </c>
      <c r="K94" s="3"/>
      <c r="L94" s="3"/>
      <c r="M94" s="3"/>
      <c r="N94" s="3"/>
      <c r="P94"/>
      <c r="Q94"/>
    </row>
    <row r="95" spans="1:17" x14ac:dyDescent="0.35">
      <c r="A95" s="334" t="s">
        <v>1579</v>
      </c>
      <c r="B95" s="410"/>
      <c r="C95" s="3"/>
      <c r="D95" s="3"/>
      <c r="E95" s="3"/>
      <c r="F95" s="3" t="s">
        <v>163</v>
      </c>
      <c r="G95" s="33" t="s">
        <v>1416</v>
      </c>
      <c r="H95" s="27">
        <f>F8</f>
        <v>28.1</v>
      </c>
      <c r="I95" s="28">
        <f t="shared" ref="I95:J97" si="1">L17</f>
        <v>1513144</v>
      </c>
      <c r="J95" s="28">
        <f t="shared" si="1"/>
        <v>3018519</v>
      </c>
      <c r="K95" s="26"/>
      <c r="P95"/>
      <c r="Q95"/>
    </row>
    <row r="96" spans="1:17" x14ac:dyDescent="0.35">
      <c r="A96" s="334"/>
      <c r="B96" s="410"/>
      <c r="C96" s="3"/>
      <c r="D96" s="3"/>
      <c r="E96" s="3"/>
      <c r="F96" s="3"/>
      <c r="G96" s="33" t="s">
        <v>1417</v>
      </c>
      <c r="H96" s="35">
        <f>F17</f>
        <v>23.69</v>
      </c>
      <c r="I96" s="28">
        <f t="shared" si="1"/>
        <v>59027</v>
      </c>
      <c r="J96" s="28">
        <f t="shared" si="1"/>
        <v>115740</v>
      </c>
      <c r="P96"/>
      <c r="Q96"/>
    </row>
    <row r="97" spans="1:27" ht="15" thickBot="1" x14ac:dyDescent="0.4">
      <c r="A97" s="334"/>
      <c r="B97" s="334" t="str">
        <f>CONCATENATE($A$4," at Proposed T&amp;D Rates")</f>
        <v>SC2 Rate I at Proposed T&amp;D Rates</v>
      </c>
      <c r="C97" s="3"/>
      <c r="D97" s="3"/>
      <c r="E97" s="3"/>
      <c r="F97" s="3"/>
      <c r="G97" s="33" t="s">
        <v>1418</v>
      </c>
      <c r="H97" s="35">
        <f>F19</f>
        <v>14.05</v>
      </c>
      <c r="I97" s="28">
        <f t="shared" si="1"/>
        <v>452</v>
      </c>
      <c r="J97" s="28">
        <f t="shared" si="1"/>
        <v>904</v>
      </c>
      <c r="N97" s="367" t="s">
        <v>426</v>
      </c>
      <c r="O97" s="368">
        <f>$L$10</f>
        <v>1.0119199999999999</v>
      </c>
      <c r="P97"/>
      <c r="Q97" s="344" t="str">
        <f>$A$4</f>
        <v>SC2 Rate I</v>
      </c>
    </row>
    <row r="98" spans="1:27" ht="15.5" thickTop="1" thickBot="1" x14ac:dyDescent="0.4">
      <c r="A98" s="406"/>
      <c r="B98" s="407"/>
      <c r="H98" s="1307" t="s">
        <v>417</v>
      </c>
      <c r="I98" s="1308"/>
      <c r="J98" s="1309"/>
      <c r="K98" s="3"/>
      <c r="L98" s="1307" t="s">
        <v>422</v>
      </c>
      <c r="M98" s="1308"/>
      <c r="N98" s="1308"/>
      <c r="O98" s="1309"/>
      <c r="P98"/>
      <c r="Q98" s="369" t="s">
        <v>42</v>
      </c>
    </row>
    <row r="99" spans="1:27" ht="15" thickTop="1" x14ac:dyDescent="0.35">
      <c r="A99" s="406"/>
      <c r="B99" s="410"/>
      <c r="H99" s="30" t="s">
        <v>416</v>
      </c>
      <c r="I99" s="30" t="s">
        <v>418</v>
      </c>
      <c r="J99" s="36" t="s">
        <v>419</v>
      </c>
      <c r="K99" s="3"/>
      <c r="L99" s="30" t="s">
        <v>416</v>
      </c>
      <c r="M99" s="30" t="s">
        <v>423</v>
      </c>
      <c r="N99" s="30" t="s">
        <v>424</v>
      </c>
      <c r="O99" s="30" t="s">
        <v>425</v>
      </c>
      <c r="P99"/>
      <c r="Q99" s="36" t="s">
        <v>429</v>
      </c>
    </row>
    <row r="100" spans="1:27" x14ac:dyDescent="0.35">
      <c r="A100" s="406"/>
      <c r="B100" s="407" t="s">
        <v>42</v>
      </c>
      <c r="C100" s="3" t="s">
        <v>163</v>
      </c>
      <c r="H100" s="223">
        <f>H89</f>
        <v>28.1</v>
      </c>
      <c r="I100" s="68">
        <f>I95+I96+I97</f>
        <v>1572623</v>
      </c>
      <c r="J100" s="278">
        <f>ROUND(H95*I95+H96*I96+H97*I97,0)</f>
        <v>43924047</v>
      </c>
      <c r="K100" s="61"/>
      <c r="L100" s="506"/>
      <c r="M100" s="506"/>
      <c r="N100" s="87"/>
      <c r="O100" s="809">
        <f>ROUND(J100*(O97-1),0)</f>
        <v>523575</v>
      </c>
      <c r="P100" s="134"/>
      <c r="Q100" s="26">
        <f>J100+O100</f>
        <v>44447622</v>
      </c>
    </row>
    <row r="101" spans="1:27" x14ac:dyDescent="0.35">
      <c r="A101" s="406"/>
      <c r="B101" s="406"/>
      <c r="C101" t="s">
        <v>377</v>
      </c>
      <c r="D101" s="121">
        <f>$D$50</f>
        <v>0</v>
      </c>
      <c r="E101" s="122" t="str">
        <f>$E$50</f>
        <v>-</v>
      </c>
      <c r="F101" s="121">
        <f>$F$50</f>
        <v>2000</v>
      </c>
      <c r="H101" s="223">
        <f>H90</f>
        <v>0.13400000000000001</v>
      </c>
      <c r="I101" s="68">
        <f>V6</f>
        <v>689714330.74310398</v>
      </c>
      <c r="J101" s="278">
        <f>ROUND(H101*I101,0)</f>
        <v>92421720</v>
      </c>
      <c r="K101" s="61"/>
      <c r="L101" s="506"/>
      <c r="M101" s="87"/>
      <c r="N101" s="458"/>
      <c r="O101" s="458"/>
      <c r="P101"/>
      <c r="Q101" s="26">
        <f>J101+O101</f>
        <v>92421720</v>
      </c>
    </row>
    <row r="102" spans="1:27" x14ac:dyDescent="0.35">
      <c r="A102" s="406"/>
      <c r="B102" s="406"/>
      <c r="C102" s="3" t="s">
        <v>376</v>
      </c>
      <c r="D102" s="36"/>
      <c r="E102" s="122" t="str">
        <f>$E$51</f>
        <v>&gt;</v>
      </c>
      <c r="F102" s="121">
        <f>$F$51</f>
        <v>2000</v>
      </c>
      <c r="H102" s="223">
        <f>H91</f>
        <v>0.13400000000000001</v>
      </c>
      <c r="I102" s="68">
        <f>V7</f>
        <v>57320839.256895944</v>
      </c>
      <c r="J102" s="278">
        <f>ROUND(H102*I102,0)</f>
        <v>7680992</v>
      </c>
      <c r="K102" s="61"/>
      <c r="L102" s="506"/>
      <c r="M102" s="506"/>
      <c r="N102" s="458"/>
      <c r="O102" s="458"/>
      <c r="P102"/>
      <c r="Q102" s="26">
        <f>J102+O102</f>
        <v>7680992</v>
      </c>
    </row>
    <row r="103" spans="1:27" x14ac:dyDescent="0.35">
      <c r="A103" s="406"/>
      <c r="B103" s="406"/>
      <c r="C103" s="3" t="s">
        <v>420</v>
      </c>
      <c r="D103" s="3"/>
      <c r="E103" s="3"/>
      <c r="F103" s="3"/>
      <c r="H103" s="223"/>
      <c r="I103" s="223"/>
      <c r="J103" s="599">
        <f>SUM(J100:J102)</f>
        <v>144026759</v>
      </c>
      <c r="K103" s="223"/>
      <c r="L103" s="88"/>
      <c r="M103" s="88"/>
      <c r="N103" s="88"/>
      <c r="O103" s="32">
        <f>SUM(O100:O102)</f>
        <v>523575</v>
      </c>
      <c r="P103"/>
      <c r="Q103" s="32">
        <f>SUM(Q100:Q102)</f>
        <v>144550334</v>
      </c>
    </row>
    <row r="104" spans="1:27" s="1" customFormat="1" x14ac:dyDescent="0.35">
      <c r="A104" s="464"/>
      <c r="B104" s="464"/>
      <c r="C104" s="2"/>
      <c r="D104" s="121"/>
      <c r="E104" s="121"/>
      <c r="F104" s="361"/>
      <c r="H104" s="223"/>
      <c r="I104" s="362"/>
      <c r="J104" s="223"/>
      <c r="K104" s="362"/>
      <c r="L104" s="363"/>
      <c r="M104" s="364"/>
      <c r="N104" s="363"/>
      <c r="W104"/>
      <c r="X104"/>
      <c r="Y104"/>
      <c r="Z104"/>
      <c r="AA104"/>
    </row>
    <row r="105" spans="1:27" s="1" customFormat="1" ht="15" thickBot="1" x14ac:dyDescent="0.4">
      <c r="A105" s="464"/>
      <c r="B105" s="464"/>
      <c r="C105" s="2"/>
      <c r="D105" s="121"/>
      <c r="E105" s="121"/>
      <c r="F105" s="361"/>
      <c r="H105" s="223"/>
      <c r="I105" s="362"/>
      <c r="J105" s="223"/>
      <c r="K105" s="362"/>
      <c r="L105" s="363"/>
      <c r="M105"/>
      <c r="N105" s="367" t="s">
        <v>426</v>
      </c>
      <c r="O105" s="368">
        <f>$L$11</f>
        <v>1.01067</v>
      </c>
      <c r="W105"/>
      <c r="X105"/>
      <c r="Y105"/>
      <c r="Z105"/>
      <c r="AA105"/>
    </row>
    <row r="106" spans="1:27" s="1" customFormat="1" ht="15.5" thickTop="1" thickBot="1" x14ac:dyDescent="0.4">
      <c r="A106" s="464"/>
      <c r="B106" s="464"/>
      <c r="C106" s="2"/>
      <c r="D106" s="121"/>
      <c r="E106" s="121"/>
      <c r="F106" s="361"/>
      <c r="H106" s="1310" t="s">
        <v>417</v>
      </c>
      <c r="I106" s="1311"/>
      <c r="J106" s="1312"/>
      <c r="K106" s="362"/>
      <c r="L106" s="1307" t="s">
        <v>422</v>
      </c>
      <c r="M106" s="1308"/>
      <c r="N106" s="1308"/>
      <c r="O106" s="1309"/>
      <c r="Q106" s="369" t="s">
        <v>40</v>
      </c>
      <c r="W106"/>
      <c r="X106"/>
      <c r="Y106"/>
      <c r="Z106"/>
      <c r="AA106"/>
    </row>
    <row r="107" spans="1:27" s="1" customFormat="1" ht="15" thickTop="1" x14ac:dyDescent="0.35">
      <c r="A107" s="464"/>
      <c r="B107" s="464"/>
      <c r="C107" s="2"/>
      <c r="D107" s="121"/>
      <c r="E107" s="121"/>
      <c r="F107" s="361"/>
      <c r="H107" s="219" t="s">
        <v>416</v>
      </c>
      <c r="I107" s="219" t="s">
        <v>418</v>
      </c>
      <c r="J107" s="121" t="s">
        <v>419</v>
      </c>
      <c r="K107" s="362"/>
      <c r="L107" s="30" t="s">
        <v>416</v>
      </c>
      <c r="M107" s="30" t="s">
        <v>423</v>
      </c>
      <c r="N107" s="30" t="s">
        <v>424</v>
      </c>
      <c r="O107" s="30" t="s">
        <v>425</v>
      </c>
      <c r="Q107" s="36" t="s">
        <v>429</v>
      </c>
      <c r="W107"/>
      <c r="X107"/>
      <c r="Y107"/>
      <c r="Z107"/>
      <c r="AA107"/>
    </row>
    <row r="108" spans="1:27" s="1" customFormat="1" x14ac:dyDescent="0.35">
      <c r="A108" s="464"/>
      <c r="B108" s="407" t="s">
        <v>40</v>
      </c>
      <c r="C108" s="3" t="s">
        <v>163</v>
      </c>
      <c r="D108"/>
      <c r="E108"/>
      <c r="F108"/>
      <c r="H108" s="223">
        <f>H100</f>
        <v>28.1</v>
      </c>
      <c r="I108" s="68">
        <f>J95+J96+J97</f>
        <v>3135163</v>
      </c>
      <c r="J108" s="278">
        <f>ROUND(H95*J95+H96*J96+H97*J97,0)</f>
        <v>87574966</v>
      </c>
      <c r="K108" s="362"/>
      <c r="L108" s="506"/>
      <c r="M108" s="506"/>
      <c r="N108" s="87"/>
      <c r="O108" s="809">
        <f>ROUND(J108*(O105-1),0)</f>
        <v>934425</v>
      </c>
      <c r="P108" s="134"/>
      <c r="Q108" s="26">
        <f>J108+O108</f>
        <v>88509391</v>
      </c>
      <c r="W108"/>
      <c r="X108"/>
      <c r="Y108"/>
      <c r="Z108"/>
      <c r="AA108"/>
    </row>
    <row r="109" spans="1:27" s="1" customFormat="1" x14ac:dyDescent="0.35">
      <c r="A109" s="464"/>
      <c r="B109" s="406"/>
      <c r="C109" t="s">
        <v>377</v>
      </c>
      <c r="D109" s="121">
        <f>$D$50</f>
        <v>0</v>
      </c>
      <c r="E109" s="122" t="str">
        <f>$E$50</f>
        <v>-</v>
      </c>
      <c r="F109" s="121">
        <f>$F$50</f>
        <v>2000</v>
      </c>
      <c r="H109" s="223">
        <f>J90</f>
        <v>0.1125</v>
      </c>
      <c r="I109" s="68">
        <f>V11</f>
        <v>1303809080.028403</v>
      </c>
      <c r="J109" s="278">
        <f>ROUND(H109*I109,0)</f>
        <v>146678522</v>
      </c>
      <c r="K109" s="362"/>
      <c r="L109" s="506"/>
      <c r="M109" s="87"/>
      <c r="N109" s="458"/>
      <c r="O109" s="458"/>
      <c r="Q109" s="26">
        <f>J109+O109</f>
        <v>146678522</v>
      </c>
      <c r="W109"/>
      <c r="X109"/>
      <c r="Y109"/>
      <c r="Z109"/>
      <c r="AA109"/>
    </row>
    <row r="110" spans="1:27" s="1" customFormat="1" x14ac:dyDescent="0.35">
      <c r="A110" s="464"/>
      <c r="B110" s="406"/>
      <c r="C110" s="3" t="s">
        <v>376</v>
      </c>
      <c r="D110" s="36"/>
      <c r="E110" s="122" t="str">
        <f>$E$51</f>
        <v>&gt;</v>
      </c>
      <c r="F110" s="121">
        <f>$F$51</f>
        <v>2000</v>
      </c>
      <c r="H110" s="223">
        <f>J91</f>
        <v>0.1125</v>
      </c>
      <c r="I110" s="68">
        <f>V12</f>
        <v>117233571.97159687</v>
      </c>
      <c r="J110" s="278">
        <f>ROUND(H110*I110,0)</f>
        <v>13188777</v>
      </c>
      <c r="K110" s="362"/>
      <c r="L110" s="506"/>
      <c r="M110" s="506"/>
      <c r="N110" s="458"/>
      <c r="O110" s="458"/>
      <c r="Q110" s="26">
        <f>J110+O110</f>
        <v>13188777</v>
      </c>
      <c r="W110"/>
      <c r="X110"/>
      <c r="Y110"/>
      <c r="Z110"/>
      <c r="AA110"/>
    </row>
    <row r="111" spans="1:27" s="1" customFormat="1" x14ac:dyDescent="0.35">
      <c r="B111"/>
      <c r="C111" s="3" t="s">
        <v>421</v>
      </c>
      <c r="D111" s="3"/>
      <c r="E111" s="3"/>
      <c r="F111" s="3"/>
      <c r="H111" s="223"/>
      <c r="I111" s="223"/>
      <c r="J111" s="32">
        <f>SUM(J108:J110)</f>
        <v>247442265</v>
      </c>
      <c r="K111" s="362"/>
      <c r="L111" s="88"/>
      <c r="M111" s="88"/>
      <c r="N111" s="88"/>
      <c r="O111" s="32">
        <f>SUM(O108:O110)</f>
        <v>934425</v>
      </c>
      <c r="Q111" s="32">
        <f>SUM(Q108:Q110)</f>
        <v>248376690</v>
      </c>
      <c r="W111"/>
      <c r="X111"/>
      <c r="Y111"/>
      <c r="Z111"/>
      <c r="AA111"/>
    </row>
    <row r="112" spans="1:27" s="1" customFormat="1" ht="15" thickBot="1" x14ac:dyDescent="0.4">
      <c r="C112" s="2"/>
      <c r="D112" s="121"/>
      <c r="E112" s="121"/>
      <c r="F112" s="361"/>
      <c r="H112" s="223"/>
      <c r="I112" s="362"/>
      <c r="J112" s="223"/>
      <c r="K112" s="362"/>
      <c r="L112" s="363"/>
      <c r="M112" s="364"/>
      <c r="N112" s="363"/>
      <c r="Q112" s="223"/>
      <c r="W112"/>
      <c r="X112"/>
      <c r="Y112"/>
      <c r="Z112"/>
      <c r="AA112"/>
    </row>
    <row r="113" spans="2:27" s="1" customFormat="1" ht="15.5" thickTop="1" thickBot="1" x14ac:dyDescent="0.4">
      <c r="C113" s="25" t="str">
        <f>CONCATENATE($A$4," - Annual Revenue Price-Out at Proposed Rates:")</f>
        <v>SC2 Rate I - Annual Revenue Price-Out at Proposed Rates:</v>
      </c>
      <c r="D113" s="121"/>
      <c r="E113" s="121"/>
      <c r="F113" s="361"/>
      <c r="H113" s="223"/>
      <c r="I113" s="222" t="s">
        <v>427</v>
      </c>
      <c r="J113" s="243">
        <f>J103+J111</f>
        <v>391469024</v>
      </c>
      <c r="K113" s="362"/>
      <c r="L113" s="363"/>
      <c r="M113" s="364"/>
      <c r="N113" s="222" t="s">
        <v>428</v>
      </c>
      <c r="O113" s="243">
        <f>O103+O111</f>
        <v>1458000</v>
      </c>
      <c r="Q113" s="243">
        <f>Q103+Q111</f>
        <v>392927024</v>
      </c>
      <c r="R113" s="374">
        <f>J113+O113-Q113</f>
        <v>0</v>
      </c>
      <c r="W113"/>
      <c r="X113"/>
      <c r="Y113"/>
      <c r="Z113"/>
      <c r="AA113"/>
    </row>
    <row r="114" spans="2:27" s="1" customFormat="1" ht="15.5" thickTop="1" thickBot="1" x14ac:dyDescent="0.4">
      <c r="B114" s="751"/>
      <c r="C114" s="25" t="s">
        <v>437</v>
      </c>
      <c r="D114" s="121"/>
      <c r="E114" s="121"/>
      <c r="F114" s="361"/>
      <c r="H114" s="223"/>
      <c r="I114" s="362"/>
      <c r="J114" s="375"/>
      <c r="K114" s="362"/>
      <c r="L114" s="363"/>
      <c r="M114" s="364"/>
      <c r="N114" s="222" t="s">
        <v>428</v>
      </c>
      <c r="O114" s="746">
        <f>ROUND(J114*(L9-1),0)</f>
        <v>0</v>
      </c>
      <c r="Q114" s="375">
        <f>J114+O114</f>
        <v>0</v>
      </c>
      <c r="W114"/>
      <c r="X114"/>
      <c r="Y114"/>
      <c r="Z114"/>
      <c r="AA114"/>
    </row>
    <row r="115" spans="2:27" s="1" customFormat="1" ht="15.5" thickTop="1" thickBot="1" x14ac:dyDescent="0.4">
      <c r="C115" s="25" t="str">
        <f>CONCATENATE($A$4," - Annual Revenue Price-Out at Proposed Rates (Excl. Unmetered Cust Charge Rev):")</f>
        <v>SC2 Rate I - Annual Revenue Price-Out at Proposed Rates (Excl. Unmetered Cust Charge Rev):</v>
      </c>
      <c r="D115" s="121"/>
      <c r="E115" s="121"/>
      <c r="F115" s="361"/>
      <c r="H115" s="223"/>
      <c r="I115" s="362"/>
      <c r="J115" s="243">
        <f>J113-J114</f>
        <v>391469024</v>
      </c>
      <c r="K115" s="362"/>
      <c r="L115" s="363"/>
      <c r="M115" s="364"/>
      <c r="N115" s="363"/>
      <c r="Q115" s="243">
        <f>Q113-Q114</f>
        <v>392927024</v>
      </c>
      <c r="W115"/>
      <c r="X115"/>
      <c r="Y115"/>
      <c r="Z115"/>
      <c r="AA115"/>
    </row>
    <row r="116" spans="2:27" ht="15.5" thickTop="1" thickBot="1" x14ac:dyDescent="0.4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7"/>
      <c r="O116" s="3"/>
      <c r="P116" s="2"/>
      <c r="Q116" s="2"/>
    </row>
    <row r="117" spans="2:27" x14ac:dyDescent="0.35">
      <c r="B117" s="3"/>
      <c r="C117" s="23" t="str">
        <f>$A$4</f>
        <v>SC2 Rate I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1" t="s">
        <v>6</v>
      </c>
      <c r="N117" s="3"/>
      <c r="O117" s="2"/>
      <c r="P117" s="2"/>
      <c r="Q117" s="2"/>
    </row>
    <row r="118" spans="2:27" x14ac:dyDescent="0.35">
      <c r="B118" s="3"/>
      <c r="C118" s="11" t="s">
        <v>5</v>
      </c>
      <c r="D118" s="1305">
        <f>L4</f>
        <v>2020</v>
      </c>
      <c r="E118" s="1305"/>
      <c r="F118" s="1305"/>
      <c r="G118" s="10"/>
      <c r="H118" s="10"/>
      <c r="I118" s="10"/>
      <c r="J118" s="10"/>
      <c r="K118" s="10"/>
      <c r="L118" s="10"/>
      <c r="M118" s="13"/>
      <c r="N118" s="17"/>
      <c r="O118" s="2"/>
      <c r="P118" s="2"/>
      <c r="Q118" s="2"/>
    </row>
    <row r="119" spans="2:27" x14ac:dyDescent="0.35">
      <c r="B119" s="3"/>
      <c r="C119" s="699" t="s">
        <v>4</v>
      </c>
      <c r="D119" s="19"/>
      <c r="E119" s="19"/>
      <c r="F119" s="19"/>
      <c r="G119" s="10"/>
      <c r="H119" s="10"/>
      <c r="I119" s="10"/>
      <c r="J119" s="10"/>
      <c r="K119" s="10"/>
      <c r="L119" s="10"/>
      <c r="M119" s="12">
        <f>Q115</f>
        <v>392927024</v>
      </c>
      <c r="N119" s="2"/>
      <c r="O119" s="2"/>
      <c r="P119" s="2"/>
      <c r="Q119" s="2"/>
    </row>
    <row r="120" spans="2:27" x14ac:dyDescent="0.35">
      <c r="B120" s="3"/>
      <c r="C120" s="699" t="s">
        <v>1575</v>
      </c>
      <c r="D120" s="19"/>
      <c r="E120" s="19"/>
      <c r="F120" s="19"/>
      <c r="G120" s="10"/>
      <c r="H120" s="10"/>
      <c r="I120" s="10"/>
      <c r="J120" s="10"/>
      <c r="K120" s="10"/>
      <c r="L120" s="10"/>
      <c r="M120" s="828">
        <f>L31</f>
        <v>11380897</v>
      </c>
      <c r="N120" s="2"/>
      <c r="O120" s="2"/>
      <c r="P120" s="2"/>
      <c r="Q120" s="2"/>
    </row>
    <row r="121" spans="2:27" x14ac:dyDescent="0.35">
      <c r="B121" s="3"/>
      <c r="C121" s="699"/>
      <c r="D121" s="19"/>
      <c r="E121" s="19"/>
      <c r="F121" s="19"/>
      <c r="G121" s="10"/>
      <c r="H121" s="10"/>
      <c r="I121" s="10"/>
      <c r="J121" s="10"/>
      <c r="K121" s="10"/>
      <c r="L121" s="10"/>
      <c r="M121" s="18"/>
      <c r="N121" s="2"/>
      <c r="O121" s="2"/>
      <c r="P121" s="2"/>
      <c r="Q121" s="2"/>
    </row>
    <row r="122" spans="2:27" x14ac:dyDescent="0.35">
      <c r="B122" s="3"/>
      <c r="C122" s="699"/>
      <c r="D122" s="19"/>
      <c r="E122" s="19"/>
      <c r="F122" s="19"/>
      <c r="G122" s="10"/>
      <c r="H122" s="10"/>
      <c r="I122" s="10"/>
      <c r="J122" s="10"/>
      <c r="K122" s="10"/>
      <c r="L122" s="10"/>
      <c r="M122" s="376"/>
      <c r="N122" s="2"/>
      <c r="O122" s="2"/>
      <c r="P122" s="2"/>
      <c r="Q122" s="2"/>
    </row>
    <row r="123" spans="2:27" x14ac:dyDescent="0.35">
      <c r="B123" s="3"/>
      <c r="C123" s="699" t="s">
        <v>519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2">
        <f>M119+M120+M121-M122</f>
        <v>404307921</v>
      </c>
      <c r="N123" s="2"/>
      <c r="O123" s="2"/>
      <c r="P123" s="2"/>
      <c r="Q123" s="2"/>
    </row>
    <row r="124" spans="2:27" x14ac:dyDescent="0.35">
      <c r="B124" s="3"/>
      <c r="C124" s="920"/>
      <c r="D124" s="10"/>
      <c r="E124" s="10"/>
      <c r="F124" s="10"/>
      <c r="G124" s="10"/>
      <c r="H124" s="10"/>
      <c r="I124" s="10"/>
      <c r="J124" s="10"/>
      <c r="K124" s="10"/>
      <c r="L124" s="10"/>
      <c r="M124" s="13"/>
      <c r="N124" s="2"/>
      <c r="O124" s="2"/>
      <c r="P124" s="2"/>
      <c r="Q124" s="2"/>
    </row>
    <row r="125" spans="2:27" x14ac:dyDescent="0.35">
      <c r="B125" s="3"/>
      <c r="C125" s="920"/>
      <c r="D125" s="10" t="s">
        <v>2</v>
      </c>
      <c r="E125" s="10"/>
      <c r="F125" s="10"/>
      <c r="G125" s="10"/>
      <c r="H125" s="10"/>
      <c r="I125" s="10"/>
      <c r="J125" s="10"/>
      <c r="K125" s="10"/>
      <c r="L125" s="10"/>
      <c r="M125" s="828">
        <f>L30</f>
        <v>404281225</v>
      </c>
      <c r="N125" s="2"/>
      <c r="O125" s="3"/>
      <c r="P125" s="2"/>
      <c r="Q125" s="2"/>
    </row>
    <row r="126" spans="2:27" x14ac:dyDescent="0.35">
      <c r="B126" s="3"/>
      <c r="C126" s="11"/>
      <c r="D126" s="10" t="s">
        <v>1</v>
      </c>
      <c r="E126" s="10"/>
      <c r="F126" s="10"/>
      <c r="G126" s="10"/>
      <c r="H126" s="10"/>
      <c r="I126" s="10"/>
      <c r="J126" s="10"/>
      <c r="K126" s="10"/>
      <c r="L126" s="10"/>
      <c r="M126" s="12">
        <f>M123-M125</f>
        <v>26696</v>
      </c>
      <c r="N126" s="2"/>
      <c r="O126" s="3"/>
      <c r="P126" s="2"/>
      <c r="Q126" s="2"/>
    </row>
    <row r="127" spans="2:27" x14ac:dyDescent="0.35">
      <c r="B127" s="3"/>
      <c r="C127" s="11"/>
      <c r="D127" s="10" t="s">
        <v>0</v>
      </c>
      <c r="E127" s="10"/>
      <c r="F127" s="10"/>
      <c r="G127" s="10"/>
      <c r="H127" s="10"/>
      <c r="I127" s="10"/>
      <c r="J127" s="10"/>
      <c r="K127" s="10"/>
      <c r="L127" s="10"/>
      <c r="M127" s="9">
        <f>M123/M125-1</f>
        <v>6.6033242082985666E-5</v>
      </c>
      <c r="N127" s="2"/>
      <c r="O127" s="3"/>
      <c r="P127" s="2"/>
      <c r="Q127" s="2"/>
    </row>
    <row r="128" spans="2:27" ht="15" thickBot="1" x14ac:dyDescent="0.4">
      <c r="B128" s="3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5"/>
      <c r="N128" s="4"/>
      <c r="O128" s="3"/>
      <c r="P128" s="2"/>
      <c r="Q128" s="2"/>
    </row>
    <row r="129" spans="1:16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2"/>
    </row>
    <row r="130" spans="1:16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2"/>
    </row>
  </sheetData>
  <mergeCells count="9">
    <mergeCell ref="H106:J106"/>
    <mergeCell ref="L106:O106"/>
    <mergeCell ref="D118:F118"/>
    <mergeCell ref="H46:J46"/>
    <mergeCell ref="L46:N46"/>
    <mergeCell ref="L55:N55"/>
    <mergeCell ref="H87:J87"/>
    <mergeCell ref="H98:J98"/>
    <mergeCell ref="L98:O98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&amp;P/&amp;N</oddFooter>
  </headerFooter>
  <rowBreaks count="1" manualBreakCount="1">
    <brk id="83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1"/>
  <dimension ref="A1:Z188"/>
  <sheetViews>
    <sheetView topLeftCell="A7" workbookViewId="0">
      <selection activeCell="F19" sqref="F19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9.7265625" customWidth="1"/>
    <col min="5" max="5" width="14.26953125" customWidth="1"/>
    <col min="6" max="6" width="16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7.26953125" customWidth="1"/>
    <col min="15" max="15" width="11.54296875" customWidth="1"/>
    <col min="16" max="16" width="14.54296875" style="1" customWidth="1"/>
    <col min="17" max="17" width="14.81640625" style="1" hidden="1" customWidth="1"/>
    <col min="18" max="18" width="11.81640625" customWidth="1"/>
    <col min="19" max="19" width="12.453125" customWidth="1"/>
    <col min="20" max="20" width="14" customWidth="1"/>
    <col min="21" max="21" width="18.26953125" customWidth="1"/>
    <col min="22" max="22" width="15.54296875" customWidth="1"/>
    <col min="23" max="23" width="15.7265625" customWidth="1"/>
    <col min="24" max="24" width="17.453125" customWidth="1"/>
    <col min="25" max="25" width="18.81640625" customWidth="1"/>
    <col min="26" max="26" width="11.7265625" customWidth="1"/>
    <col min="27" max="27" width="16.81640625" customWidth="1"/>
  </cols>
  <sheetData>
    <row r="1" spans="1:22" ht="18.5" x14ac:dyDescent="0.45">
      <c r="A1" s="447" t="s">
        <v>635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SC2 Rate II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483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180"/>
      <c r="B5" s="180"/>
      <c r="C5" s="3"/>
      <c r="D5" s="3"/>
      <c r="E5" s="3"/>
      <c r="F5" s="3"/>
      <c r="H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B6" s="180"/>
      <c r="C6" s="180"/>
      <c r="D6" s="180"/>
      <c r="E6" s="490" t="str">
        <f>'10A.)EnergyRateDesignSummary'!D96</f>
        <v>Current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/>
      <c r="R6" s="163"/>
      <c r="S6" s="164" t="s">
        <v>1393</v>
      </c>
      <c r="T6" s="386">
        <f>'[2]4D-1.)HY_TODLRatePxOut(SC1&amp;2)'!$L$35</f>
        <v>11618</v>
      </c>
      <c r="U6" s="161"/>
      <c r="V6" s="386">
        <f>'[2]4D-1.)HY_TODLRatePxOut(SC1&amp;2)'!$M$35</f>
        <v>15478338</v>
      </c>
    </row>
    <row r="7" spans="1:22" ht="15" outlineLevel="1" thickBot="1" x14ac:dyDescent="0.4">
      <c r="A7" s="3"/>
      <c r="B7" s="3"/>
      <c r="C7" s="3"/>
      <c r="D7" s="3"/>
      <c r="H7" s="3"/>
      <c r="J7" s="3"/>
      <c r="K7" s="17"/>
      <c r="L7" s="118" t="str">
        <f>A4</f>
        <v>SC2 Rate II</v>
      </c>
      <c r="M7" s="3"/>
      <c r="P7" s="170" t="s">
        <v>42</v>
      </c>
      <c r="Q7" s="159"/>
      <c r="R7" s="158"/>
      <c r="S7" s="159" t="s">
        <v>445</v>
      </c>
      <c r="T7" s="387">
        <f>'[2]4D-1.)HY_TODLRatePxOut(SC1&amp;2)'!$L$36</f>
        <v>0</v>
      </c>
      <c r="U7" s="156"/>
      <c r="V7" s="387">
        <f>'[2]4D-1.)HY_TODLRatePxOut(SC1&amp;2)'!$M$36</f>
        <v>20407730</v>
      </c>
    </row>
    <row r="8" spans="1:22" ht="15.5" outlineLevel="1" thickTop="1" thickBot="1" x14ac:dyDescent="0.4">
      <c r="A8" s="3" t="s">
        <v>483</v>
      </c>
      <c r="B8" s="3"/>
      <c r="C8" s="190" t="s">
        <v>163</v>
      </c>
      <c r="D8" s="3"/>
      <c r="E8" s="309">
        <f>'10A.)EnergyRateDesignSummary'!D99</f>
        <v>30.12</v>
      </c>
      <c r="F8" s="309">
        <f>'7A.)CustCharge_Summary'!$H$99</f>
        <v>32.56</v>
      </c>
      <c r="H8" s="3"/>
      <c r="J8" s="3"/>
      <c r="K8" s="3"/>
      <c r="L8" s="3"/>
      <c r="M8" s="3"/>
      <c r="P8" s="168" t="s">
        <v>42</v>
      </c>
      <c r="Q8" s="155"/>
      <c r="R8" s="176"/>
      <c r="S8" s="711"/>
      <c r="T8" s="388"/>
      <c r="U8" s="191"/>
      <c r="V8" s="388"/>
    </row>
    <row r="9" spans="1:22" ht="15.5" outlineLevel="1" thickTop="1" thickBot="1" x14ac:dyDescent="0.4">
      <c r="A9" s="3"/>
      <c r="B9" s="3"/>
      <c r="C9" s="190"/>
      <c r="D9" s="3"/>
      <c r="E9" s="310"/>
      <c r="F9" s="310"/>
      <c r="H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11618</v>
      </c>
      <c r="U9" s="151">
        <f>SUM(U6:U8)</f>
        <v>0</v>
      </c>
      <c r="V9" s="151">
        <f>SUM(V6:V8)</f>
        <v>35886068</v>
      </c>
    </row>
    <row r="10" spans="1:22" ht="15" outlineLevel="1" thickTop="1" x14ac:dyDescent="0.35">
      <c r="A10" s="3" t="s">
        <v>905</v>
      </c>
      <c r="B10" s="3"/>
      <c r="C10" s="3"/>
      <c r="D10" s="3"/>
      <c r="E10" s="310">
        <f>'10A.)EnergyRateDesignSummary'!D100</f>
        <v>0.3115</v>
      </c>
      <c r="F10" s="310">
        <f>H126</f>
        <v>0.3155</v>
      </c>
      <c r="H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906</v>
      </c>
      <c r="B11" s="3"/>
      <c r="C11" s="3"/>
      <c r="D11" s="3"/>
      <c r="E11" s="310">
        <f>'10A.)EnergyRateDesignSummary'!D101</f>
        <v>1.14E-2</v>
      </c>
      <c r="F11" s="310">
        <f>H127</f>
        <v>1.15E-2</v>
      </c>
      <c r="H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/>
      <c r="R11" s="163"/>
      <c r="S11" s="162" t="str">
        <f>$S$6</f>
        <v>On Peak</v>
      </c>
      <c r="T11" s="386">
        <f>'[2]4D-1.)HY_TODLRatePxOut(SC1&amp;2)'!$L$30</f>
        <v>23236</v>
      </c>
      <c r="U11" s="161"/>
      <c r="V11" s="386">
        <f>'[2]4D-1.)HY_TODLRatePxOut(SC1&amp;2)'!$M$30</f>
        <v>29992321</v>
      </c>
    </row>
    <row r="12" spans="1:22" outlineLevel="1" x14ac:dyDescent="0.35">
      <c r="A12" s="3" t="s">
        <v>907</v>
      </c>
      <c r="B12" s="3"/>
      <c r="C12" s="3"/>
      <c r="D12" s="3"/>
      <c r="E12" s="310">
        <f>'10A.)EnergyRateDesignSummary'!D102</f>
        <v>0.15339999999999998</v>
      </c>
      <c r="F12" s="310">
        <f>J126</f>
        <v>0.15530000000000002</v>
      </c>
      <c r="H12" s="3"/>
      <c r="P12" s="160" t="s">
        <v>40</v>
      </c>
      <c r="Q12" s="159"/>
      <c r="R12" s="158"/>
      <c r="S12" s="157" t="str">
        <f>$S$7</f>
        <v>Off Peak</v>
      </c>
      <c r="T12" s="387">
        <f>'[2]4D-1.)HY_TODLRatePxOut(SC1&amp;2)'!$L$31</f>
        <v>0</v>
      </c>
      <c r="U12" s="156"/>
      <c r="V12" s="387">
        <f>'[2]4D-1.)HY_TODLRatePxOut(SC1&amp;2)'!$M$31</f>
        <v>39787547</v>
      </c>
    </row>
    <row r="13" spans="1:22" ht="15" outlineLevel="1" thickBot="1" x14ac:dyDescent="0.4">
      <c r="A13" s="3" t="s">
        <v>908</v>
      </c>
      <c r="B13" s="3"/>
      <c r="C13" s="3"/>
      <c r="D13" s="3"/>
      <c r="E13" s="310">
        <f>'10A.)EnergyRateDesignSummary'!D103</f>
        <v>1.14E-2</v>
      </c>
      <c r="F13" s="310">
        <f>J127</f>
        <v>1.15E-2</v>
      </c>
      <c r="H13" s="3"/>
      <c r="I13" s="3"/>
      <c r="M13" s="372"/>
      <c r="P13" s="155" t="s">
        <v>40</v>
      </c>
      <c r="Q13" s="154"/>
      <c r="R13" s="154"/>
      <c r="S13" s="154"/>
      <c r="T13" s="388"/>
      <c r="U13" s="191"/>
      <c r="V13" s="388"/>
    </row>
    <row r="14" spans="1:22" ht="15.5" outlineLevel="1" thickTop="1" thickBot="1" x14ac:dyDescent="0.4">
      <c r="A14" s="3"/>
      <c r="B14" s="3"/>
      <c r="C14" s="3"/>
      <c r="D14" s="3"/>
      <c r="E14" s="311"/>
      <c r="F14" s="311"/>
      <c r="H14" s="3"/>
      <c r="J14" s="33" t="s">
        <v>1482</v>
      </c>
      <c r="K14" s="17"/>
      <c r="L14" s="690">
        <f>ROUND('[2]6B.)RateChgAllocation'!$E$21/'[2]6B.)RateChgAllocation'!$H$21,8)</f>
        <v>1.423222E-2</v>
      </c>
      <c r="Q14" s="2"/>
      <c r="R14" s="3"/>
      <c r="S14" s="3"/>
      <c r="T14" s="151">
        <f>SUM(T11:T13)</f>
        <v>23236</v>
      </c>
      <c r="U14" s="151">
        <f>SUM(U11:U13)</f>
        <v>0</v>
      </c>
      <c r="V14" s="151">
        <f>SUM(V11:V13)</f>
        <v>69779868</v>
      </c>
    </row>
    <row r="15" spans="1:22" ht="15" outlineLevel="1" thickTop="1" x14ac:dyDescent="0.35">
      <c r="A15" s="3"/>
      <c r="B15" s="3"/>
      <c r="C15" s="3"/>
      <c r="D15" s="3"/>
      <c r="E15" s="3"/>
      <c r="F15" s="3"/>
      <c r="H15" s="3"/>
      <c r="L15" s="135"/>
      <c r="M15" s="135"/>
      <c r="Q15" s="2"/>
      <c r="R15" s="3"/>
      <c r="S15" s="3"/>
      <c r="T15" s="150"/>
      <c r="U15" s="150"/>
      <c r="V15" s="150"/>
    </row>
    <row r="16" spans="1:22" outlineLevel="1" x14ac:dyDescent="0.35">
      <c r="A16" s="119" t="s">
        <v>478</v>
      </c>
      <c r="B16" s="3"/>
      <c r="C16" s="3"/>
      <c r="D16" s="3"/>
      <c r="E16" s="3"/>
      <c r="F16" s="3"/>
      <c r="H16" s="3"/>
      <c r="J16" s="33" t="s">
        <v>1421</v>
      </c>
      <c r="L16" s="693">
        <f>'7A.)CustCharge_Summary'!$E$10+'7A.)CustCharge_Summary'!F10+'7A.)CustCharge_Summary'!G10</f>
        <v>4707786.0000000009</v>
      </c>
      <c r="Q16" s="2"/>
      <c r="R16" s="3"/>
      <c r="S16" s="3"/>
      <c r="T16" s="150"/>
      <c r="U16" s="150"/>
      <c r="V16" s="150"/>
    </row>
    <row r="17" spans="1:26" ht="15" outlineLevel="1" thickBot="1" x14ac:dyDescent="0.4">
      <c r="A17" t="s">
        <v>479</v>
      </c>
      <c r="B17" s="3"/>
      <c r="C17" s="3"/>
      <c r="D17" s="3"/>
      <c r="E17" s="712">
        <f>'[1]A1.)RatesInput'!$D$61</f>
        <v>4.1100000000000003</v>
      </c>
      <c r="F17" s="712">
        <f>'7A.)CustCharge_Summary'!H52</f>
        <v>4.46</v>
      </c>
      <c r="J17" s="33" t="s">
        <v>486</v>
      </c>
      <c r="L17" s="693">
        <f>'7A.)CustCharge_Summary'!$H$10</f>
        <v>34854</v>
      </c>
      <c r="M17" s="135"/>
      <c r="P17" s="192" t="s">
        <v>435</v>
      </c>
      <c r="Q17" s="2"/>
      <c r="R17" s="372"/>
      <c r="S17" s="3"/>
      <c r="T17" s="3"/>
      <c r="U17" s="3"/>
      <c r="V17" s="3"/>
    </row>
    <row r="18" spans="1:26" ht="15.5" outlineLevel="1" thickTop="1" thickBot="1" x14ac:dyDescent="0.4">
      <c r="A18" s="3" t="s">
        <v>474</v>
      </c>
      <c r="B18" s="3"/>
      <c r="C18" s="3"/>
      <c r="D18" s="3"/>
      <c r="E18" s="696">
        <f>E8-E17</f>
        <v>26.01</v>
      </c>
      <c r="F18" s="721">
        <f>F8-F17</f>
        <v>28.1</v>
      </c>
      <c r="H18" s="3"/>
      <c r="J18" s="33"/>
      <c r="L18" s="135"/>
      <c r="M18" s="135"/>
      <c r="P18" s="181" t="s">
        <v>461</v>
      </c>
      <c r="Q18" s="2"/>
      <c r="R18" s="3"/>
      <c r="S18" s="3"/>
      <c r="T18" s="3"/>
      <c r="U18" s="3"/>
      <c r="V18" s="3"/>
    </row>
    <row r="19" spans="1:26" ht="15" outlineLevel="1" thickTop="1" x14ac:dyDescent="0.35">
      <c r="A19" s="3"/>
      <c r="B19" s="3"/>
      <c r="C19" s="3"/>
      <c r="D19" s="3"/>
      <c r="E19" s="3"/>
      <c r="F19" s="3"/>
      <c r="G19" s="3"/>
      <c r="H19" s="3"/>
      <c r="L19" s="135" t="s">
        <v>135</v>
      </c>
      <c r="P19" s="409" t="s">
        <v>485</v>
      </c>
      <c r="Q19" s="2"/>
      <c r="R19" s="30" t="s">
        <v>175</v>
      </c>
      <c r="S19" s="3"/>
      <c r="T19" s="30" t="s">
        <v>26</v>
      </c>
      <c r="U19" s="30" t="s">
        <v>462</v>
      </c>
      <c r="V19" s="30" t="s">
        <v>44</v>
      </c>
    </row>
    <row r="20" spans="1:26" outlineLevel="1" x14ac:dyDescent="0.35">
      <c r="A20" s="3"/>
      <c r="B20" s="3"/>
      <c r="C20" s="3"/>
      <c r="D20" s="3"/>
      <c r="E20" s="3"/>
      <c r="F20" s="3"/>
      <c r="G20" s="3"/>
      <c r="J20" s="33" t="s">
        <v>1422</v>
      </c>
      <c r="L20" s="245">
        <f>'7A.)CustCharge_Summary'!$E$78+'7A.)CustCharge_Summary'!$F$78+'7A.)CustCharge_Summary'!$G$78</f>
        <v>132957013</v>
      </c>
      <c r="P20" s="165" t="s">
        <v>42</v>
      </c>
      <c r="Q20" s="164"/>
      <c r="R20" s="965">
        <f>ROUND('[1]D3.)On&amp;OffPeak%'!$F$105,4)</f>
        <v>0.50319999999999998</v>
      </c>
      <c r="S20" s="164" t="s">
        <v>1393</v>
      </c>
      <c r="T20" s="161"/>
      <c r="U20" s="161"/>
      <c r="V20" s="722">
        <f>ROUND(U23*R20,0)</f>
        <v>375908098</v>
      </c>
      <c r="W20" s="384"/>
      <c r="Z20" s="384"/>
    </row>
    <row r="21" spans="1:26" outlineLevel="1" x14ac:dyDescent="0.35">
      <c r="A21" s="3"/>
      <c r="B21" s="3"/>
      <c r="C21" s="3"/>
      <c r="D21" s="3"/>
      <c r="E21" s="3"/>
      <c r="F21" s="3"/>
      <c r="G21" s="230"/>
      <c r="J21" s="33" t="s">
        <v>1517</v>
      </c>
      <c r="L21" s="245">
        <f>'7A.)CustCharge_Summary'!$H$78</f>
        <v>1147428</v>
      </c>
      <c r="P21" s="170" t="s">
        <v>42</v>
      </c>
      <c r="Q21" s="159"/>
      <c r="R21" s="966">
        <f>ROUND('[1]D3.)On&amp;OffPeak%'!$G$105,4)</f>
        <v>0.49680000000000002</v>
      </c>
      <c r="S21" s="159" t="s">
        <v>445</v>
      </c>
      <c r="T21" s="156"/>
      <c r="U21" s="156"/>
      <c r="V21" s="723">
        <f>ROUND(U23*R21,0)</f>
        <v>371127072</v>
      </c>
      <c r="W21" s="384"/>
      <c r="Z21" s="384"/>
    </row>
    <row r="22" spans="1:26" ht="15" outlineLevel="1" thickBot="1" x14ac:dyDescent="0.4">
      <c r="A22" s="3"/>
      <c r="B22" s="3"/>
      <c r="C22" s="3"/>
      <c r="D22" s="3"/>
      <c r="E22" s="3"/>
      <c r="F22" s="3"/>
      <c r="G22" s="230"/>
      <c r="H22" s="3"/>
      <c r="J22" s="33"/>
      <c r="P22" s="168" t="s">
        <v>42</v>
      </c>
      <c r="Q22" s="155"/>
      <c r="R22" s="710"/>
      <c r="S22" s="711"/>
      <c r="T22" s="191"/>
      <c r="U22" s="191"/>
      <c r="V22" s="724"/>
      <c r="W22" s="385"/>
      <c r="Z22" s="385"/>
    </row>
    <row r="23" spans="1:26" ht="15.5" outlineLevel="1" thickTop="1" thickBot="1" x14ac:dyDescent="0.4">
      <c r="A23" s="3"/>
      <c r="B23" s="3"/>
      <c r="C23" s="3"/>
      <c r="D23" s="3"/>
      <c r="E23" s="3"/>
      <c r="F23" s="3"/>
      <c r="G23" s="230"/>
      <c r="H23" s="3"/>
      <c r="J23" s="33"/>
      <c r="R23" s="382">
        <f>R20+R21</f>
        <v>1</v>
      </c>
      <c r="T23" s="915">
        <f>'10E.)Energy_RateDesign_SC2_I'!T9</f>
        <v>1572622.9999999998</v>
      </c>
      <c r="U23" s="915">
        <f>'10E.)Energy_RateDesign_SC2_I'!V9</f>
        <v>747035169.99999988</v>
      </c>
      <c r="V23" s="725">
        <f>SUM(V20:V22)</f>
        <v>747035170</v>
      </c>
      <c r="W23" s="385"/>
      <c r="Z23" s="385"/>
    </row>
    <row r="24" spans="1:26" ht="15" outlineLevel="1" thickTop="1" x14ac:dyDescent="0.35">
      <c r="A24" s="3"/>
      <c r="B24" s="3"/>
      <c r="C24" s="3"/>
      <c r="D24" s="3"/>
      <c r="E24" s="3"/>
      <c r="F24" s="3"/>
      <c r="L24" s="135" t="s">
        <v>134</v>
      </c>
      <c r="N24" s="130"/>
      <c r="R24" s="383"/>
      <c r="V24" s="406"/>
      <c r="W24" s="385"/>
      <c r="Z24" s="385"/>
    </row>
    <row r="25" spans="1:26" outlineLevel="1" x14ac:dyDescent="0.35">
      <c r="J25" s="33" t="s">
        <v>487</v>
      </c>
      <c r="L25" s="718">
        <f>'[2]4B.)HY_EnergyRatePxOut(Rate I)'!$T$58+'[2]4B.)HY_EnergyRatePxOut(Rate I)'!$T$59</f>
        <v>256276976</v>
      </c>
      <c r="N25" s="130"/>
      <c r="P25" s="165" t="s">
        <v>40</v>
      </c>
      <c r="Q25" s="164"/>
      <c r="R25" s="965">
        <f>ROUND('[1]D3.)On&amp;OffPeak%'!$H$105,4)</f>
        <v>0.48249999999999998</v>
      </c>
      <c r="S25" s="162" t="str">
        <f>$S$6</f>
        <v>On Peak</v>
      </c>
      <c r="T25" s="161"/>
      <c r="U25" s="161"/>
      <c r="V25" s="722">
        <f>ROUND(U28*R25,0)</f>
        <v>685653080</v>
      </c>
      <c r="W25" s="384"/>
      <c r="Z25" s="384"/>
    </row>
    <row r="26" spans="1:26" outlineLevel="1" x14ac:dyDescent="0.35">
      <c r="G26" s="230"/>
      <c r="H26" s="3"/>
      <c r="J26" s="33" t="s">
        <v>488</v>
      </c>
      <c r="L26" s="691">
        <f>'[2]4D-1.)HY_TODLRatePxOut(SC1&amp;2)'!$T$40+'[2]4D-1.)HY_TODLRatePxOut(SC1&amp;2)'!$T$41</f>
        <v>10108550</v>
      </c>
      <c r="P26" s="160" t="s">
        <v>40</v>
      </c>
      <c r="Q26" s="159"/>
      <c r="R26" s="966">
        <f>ROUND('[1]D3.)On&amp;OffPeak%'!$I$105,4)</f>
        <v>0.51749999999999996</v>
      </c>
      <c r="S26" s="157" t="str">
        <f>$S$7</f>
        <v>Off Peak</v>
      </c>
      <c r="T26" s="156"/>
      <c r="U26" s="156"/>
      <c r="V26" s="723">
        <f>ROUND(U28*R26,0)</f>
        <v>735389572</v>
      </c>
      <c r="W26" s="384"/>
      <c r="Z26" s="384"/>
    </row>
    <row r="27" spans="1:26" ht="15" outlineLevel="1" thickBot="1" x14ac:dyDescent="0.4">
      <c r="J27" s="33" t="s">
        <v>1423</v>
      </c>
      <c r="L27" s="377">
        <f>L25+L26</f>
        <v>266385526</v>
      </c>
      <c r="P27" s="155" t="s">
        <v>40</v>
      </c>
      <c r="Q27" s="154"/>
      <c r="R27" s="710"/>
      <c r="S27" s="154"/>
      <c r="T27" s="191"/>
      <c r="U27" s="191"/>
      <c r="V27" s="724"/>
    </row>
    <row r="28" spans="1:26" ht="15.5" outlineLevel="1" thickTop="1" thickBot="1" x14ac:dyDescent="0.4">
      <c r="M28" s="377"/>
      <c r="Q28" s="2"/>
      <c r="R28" s="382">
        <f>R25+R26</f>
        <v>1</v>
      </c>
      <c r="S28" s="3"/>
      <c r="T28" s="915">
        <f>'10E.)Energy_RateDesign_SC2_I'!T14</f>
        <v>3135163.0000000005</v>
      </c>
      <c r="U28" s="915">
        <f>'10E.)Energy_RateDesign_SC2_I'!V14</f>
        <v>1421042652</v>
      </c>
      <c r="V28" s="151">
        <f>SUM(V25:V27)</f>
        <v>1421042652</v>
      </c>
    </row>
    <row r="29" spans="1:26" ht="15" outlineLevel="1" thickTop="1" x14ac:dyDescent="0.35">
      <c r="L29" s="135" t="s">
        <v>135</v>
      </c>
    </row>
    <row r="30" spans="1:26" outlineLevel="1" x14ac:dyDescent="0.35">
      <c r="J30" s="33" t="s">
        <v>1424</v>
      </c>
      <c r="L30" s="245">
        <f>'[2]6B.)RateChgAllocation'!$M$20+'[2]6B.)RateChgAllocation'!$M$21</f>
        <v>3791258</v>
      </c>
      <c r="T30" s="366"/>
      <c r="U30" s="967" t="s">
        <v>463</v>
      </c>
      <c r="V30" s="967" t="s">
        <v>463</v>
      </c>
      <c r="Y30" s="150"/>
    </row>
    <row r="31" spans="1:26" outlineLevel="1" x14ac:dyDescent="0.35">
      <c r="J31" s="33" t="s">
        <v>1490</v>
      </c>
      <c r="L31" s="245">
        <f>'[2]6A.)RateChange'!$BJ$22</f>
        <v>404281225</v>
      </c>
      <c r="T31" s="150"/>
      <c r="U31" s="30" t="s">
        <v>26</v>
      </c>
      <c r="V31" s="30" t="s">
        <v>44</v>
      </c>
    </row>
    <row r="32" spans="1:26" outlineLevel="1" x14ac:dyDescent="0.35">
      <c r="M32" s="406"/>
      <c r="P32" s="165" t="s">
        <v>42</v>
      </c>
      <c r="Q32" s="449"/>
      <c r="R32" s="449"/>
      <c r="S32" s="449"/>
      <c r="T32" s="449"/>
      <c r="U32" s="161"/>
      <c r="V32" s="386">
        <f>V6+V20</f>
        <v>391386436</v>
      </c>
    </row>
    <row r="33" spans="1:22" outlineLevel="1" x14ac:dyDescent="0.35">
      <c r="P33" s="170" t="s">
        <v>42</v>
      </c>
      <c r="Q33" s="450"/>
      <c r="R33" s="450"/>
      <c r="S33" s="450"/>
      <c r="T33" s="450"/>
      <c r="U33" s="156"/>
      <c r="V33" s="387">
        <f>V7+V21</f>
        <v>391534802</v>
      </c>
    </row>
    <row r="34" spans="1:22" ht="15" outlineLevel="1" thickBot="1" x14ac:dyDescent="0.4">
      <c r="P34" s="168" t="s">
        <v>42</v>
      </c>
      <c r="Q34" s="451"/>
      <c r="R34" s="451"/>
      <c r="S34" s="451"/>
      <c r="T34" s="451"/>
      <c r="U34" s="191"/>
      <c r="V34" s="388"/>
    </row>
    <row r="35" spans="1:22" ht="15.5" outlineLevel="1" thickTop="1" thickBot="1" x14ac:dyDescent="0.4">
      <c r="U35" s="151">
        <f>T9+T23</f>
        <v>1584240.9999999998</v>
      </c>
      <c r="V35" s="151">
        <f>SUM(V32:V34)</f>
        <v>782921238</v>
      </c>
    </row>
    <row r="36" spans="1:22" ht="15" outlineLevel="1" thickTop="1" x14ac:dyDescent="0.35"/>
    <row r="37" spans="1:22" outlineLevel="1" x14ac:dyDescent="0.35">
      <c r="P37" s="165" t="s">
        <v>40</v>
      </c>
      <c r="Q37" s="449"/>
      <c r="R37" s="449"/>
      <c r="S37" s="449"/>
      <c r="T37" s="449"/>
      <c r="U37" s="161"/>
      <c r="V37" s="386">
        <f>V11+V25</f>
        <v>715645401</v>
      </c>
    </row>
    <row r="38" spans="1:22" outlineLevel="1" x14ac:dyDescent="0.35">
      <c r="P38" s="160" t="s">
        <v>40</v>
      </c>
      <c r="Q38" s="450"/>
      <c r="R38" s="450"/>
      <c r="S38" s="450"/>
      <c r="T38" s="450"/>
      <c r="U38" s="156"/>
      <c r="V38" s="387">
        <f>V12+V26</f>
        <v>775177119</v>
      </c>
    </row>
    <row r="39" spans="1:22" ht="15" outlineLevel="1" thickBot="1" x14ac:dyDescent="0.4">
      <c r="P39" s="155" t="s">
        <v>40</v>
      </c>
      <c r="Q39" s="451"/>
      <c r="R39" s="451"/>
      <c r="S39" s="451"/>
      <c r="T39" s="451"/>
      <c r="U39" s="191"/>
      <c r="V39" s="388"/>
    </row>
    <row r="40" spans="1:22" ht="15.5" outlineLevel="1" thickTop="1" thickBot="1" x14ac:dyDescent="0.4">
      <c r="U40" s="151">
        <f>T14+T28</f>
        <v>3158399.0000000005</v>
      </c>
      <c r="V40" s="151">
        <f>SUM(V37:V39)</f>
        <v>1490822520</v>
      </c>
    </row>
    <row r="41" spans="1:22" ht="15" outlineLevel="1" thickTop="1" x14ac:dyDescent="0.35">
      <c r="U41" s="150"/>
      <c r="V41" s="150"/>
    </row>
    <row r="42" spans="1:22" s="148" customFormat="1" outlineLevel="1" x14ac:dyDescent="0.35"/>
    <row r="43" spans="1:22" x14ac:dyDescent="0.35">
      <c r="A43" s="407" t="s">
        <v>1651</v>
      </c>
      <c r="B43" s="147"/>
      <c r="C43" s="131"/>
      <c r="D43" s="131"/>
      <c r="E43" s="131"/>
      <c r="F43" s="131"/>
    </row>
    <row r="44" spans="1:22" x14ac:dyDescent="0.35">
      <c r="A44" s="407"/>
      <c r="B44" s="407" t="s">
        <v>150</v>
      </c>
      <c r="C44" s="706">
        <f>$L$3</f>
        <v>2019</v>
      </c>
      <c r="D44" s="131"/>
      <c r="E44" s="131"/>
      <c r="F44" s="131"/>
    </row>
    <row r="45" spans="1:22" x14ac:dyDescent="0.35">
      <c r="A45" s="407"/>
      <c r="B45" s="131" t="s">
        <v>5</v>
      </c>
      <c r="C45" s="706">
        <f>$L$4</f>
        <v>2020</v>
      </c>
      <c r="D45" s="131"/>
      <c r="E45" s="131"/>
      <c r="F45" s="131"/>
    </row>
    <row r="46" spans="1:22" x14ac:dyDescent="0.35">
      <c r="A46" s="406"/>
      <c r="B46" s="41" t="str">
        <f>$A$4</f>
        <v>SC2 Rate II</v>
      </c>
      <c r="C46" s="380" t="s">
        <v>458</v>
      </c>
      <c r="D46" s="133"/>
      <c r="E46" s="133"/>
      <c r="F46" s="133"/>
      <c r="P46"/>
      <c r="Q46"/>
    </row>
    <row r="47" spans="1:22" x14ac:dyDescent="0.35">
      <c r="A47" s="406"/>
      <c r="B47" s="389" t="s">
        <v>463</v>
      </c>
      <c r="C47" t="s">
        <v>1410</v>
      </c>
      <c r="J47" s="894">
        <f>L27</f>
        <v>266385526</v>
      </c>
      <c r="K47" s="892" t="s">
        <v>79</v>
      </c>
      <c r="P47"/>
      <c r="Q47"/>
    </row>
    <row r="48" spans="1:22" x14ac:dyDescent="0.35">
      <c r="A48" s="406"/>
      <c r="C48" t="s">
        <v>447</v>
      </c>
      <c r="J48" s="904">
        <f>L30</f>
        <v>3791258</v>
      </c>
      <c r="K48" s="892" t="s">
        <v>78</v>
      </c>
      <c r="P48"/>
      <c r="Q48"/>
    </row>
    <row r="49" spans="1:17" x14ac:dyDescent="0.35">
      <c r="A49" s="406"/>
      <c r="C49" t="s">
        <v>446</v>
      </c>
      <c r="J49" s="130">
        <f>J47+J48</f>
        <v>270176784</v>
      </c>
      <c r="K49" s="892" t="s">
        <v>1580</v>
      </c>
      <c r="P49"/>
      <c r="Q49"/>
    </row>
    <row r="50" spans="1:17" x14ac:dyDescent="0.35">
      <c r="A50" s="406"/>
      <c r="D50" t="s">
        <v>451</v>
      </c>
      <c r="I50" s="894">
        <f>L20</f>
        <v>132957013</v>
      </c>
      <c r="J50" s="136"/>
      <c r="K50" s="892" t="s">
        <v>1173</v>
      </c>
      <c r="P50"/>
      <c r="Q50"/>
    </row>
    <row r="51" spans="1:17" x14ac:dyDescent="0.35">
      <c r="A51" s="406"/>
      <c r="D51" t="s">
        <v>452</v>
      </c>
      <c r="I51" s="903">
        <f>L21</f>
        <v>1147428</v>
      </c>
      <c r="J51" s="136"/>
      <c r="K51" s="892" t="s">
        <v>177</v>
      </c>
      <c r="P51"/>
      <c r="Q51"/>
    </row>
    <row r="52" spans="1:17" x14ac:dyDescent="0.35">
      <c r="A52" s="406"/>
      <c r="C52" t="s">
        <v>448</v>
      </c>
      <c r="J52" s="130">
        <f>I50+I51</f>
        <v>134104441</v>
      </c>
      <c r="K52" s="892" t="s">
        <v>1581</v>
      </c>
      <c r="P52"/>
      <c r="Q52"/>
    </row>
    <row r="53" spans="1:17" x14ac:dyDescent="0.35">
      <c r="A53" s="406"/>
      <c r="J53" s="130"/>
      <c r="P53"/>
      <c r="Q53"/>
    </row>
    <row r="54" spans="1:17" x14ac:dyDescent="0.35">
      <c r="A54" s="406"/>
      <c r="C54" s="75" t="s">
        <v>1514</v>
      </c>
      <c r="D54" s="75"/>
      <c r="E54" s="75"/>
      <c r="F54" s="75"/>
      <c r="J54" s="347">
        <f>J49+J52</f>
        <v>404281225</v>
      </c>
      <c r="K54" s="892" t="s">
        <v>1582</v>
      </c>
      <c r="P54"/>
      <c r="Q54"/>
    </row>
    <row r="55" spans="1:17" x14ac:dyDescent="0.35">
      <c r="A55" s="406"/>
      <c r="L55" s="141"/>
    </row>
    <row r="56" spans="1:17" x14ac:dyDescent="0.35">
      <c r="A56" s="406"/>
      <c r="C56" t="s">
        <v>459</v>
      </c>
      <c r="L56" s="141"/>
    </row>
    <row r="57" spans="1:17" x14ac:dyDescent="0.35">
      <c r="A57" s="406"/>
      <c r="C57" s="380" t="s">
        <v>450</v>
      </c>
      <c r="L57" s="141"/>
    </row>
    <row r="58" spans="1:17" ht="15" thickBot="1" x14ac:dyDescent="0.4">
      <c r="A58" s="406"/>
      <c r="C58" t="s">
        <v>453</v>
      </c>
      <c r="I58" s="540">
        <f>L16+L17</f>
        <v>4742640.0000000009</v>
      </c>
      <c r="J58" s="366"/>
      <c r="K58" s="892" t="s">
        <v>1583</v>
      </c>
      <c r="L58" s="141"/>
    </row>
    <row r="59" spans="1:17" ht="15" thickBot="1" x14ac:dyDescent="0.4">
      <c r="A59" s="406"/>
      <c r="C59" s="400" t="s">
        <v>1519</v>
      </c>
      <c r="D59" s="401"/>
      <c r="E59" s="401"/>
      <c r="F59" s="401"/>
      <c r="G59" s="401"/>
      <c r="H59" s="401"/>
      <c r="I59" s="917">
        <f>F8</f>
        <v>32.56</v>
      </c>
      <c r="K59" s="892" t="s">
        <v>1304</v>
      </c>
      <c r="L59" s="141"/>
    </row>
    <row r="60" spans="1:17" x14ac:dyDescent="0.35">
      <c r="A60" s="406"/>
      <c r="C60" t="s">
        <v>457</v>
      </c>
      <c r="J60" s="345">
        <f>ROUND(I58*I59,0)</f>
        <v>154420358</v>
      </c>
      <c r="K60" s="892" t="s">
        <v>1584</v>
      </c>
      <c r="L60" s="141"/>
    </row>
    <row r="61" spans="1:17" x14ac:dyDescent="0.35">
      <c r="A61" s="406"/>
      <c r="C61" t="s">
        <v>460</v>
      </c>
      <c r="H61" s="381">
        <f>L9</f>
        <v>1.01108</v>
      </c>
      <c r="I61" s="892" t="s">
        <v>1302</v>
      </c>
      <c r="J61" s="347">
        <f>ROUND(J60*H61,0)</f>
        <v>156131336</v>
      </c>
      <c r="K61" s="892" t="s">
        <v>1585</v>
      </c>
      <c r="L61" s="141"/>
    </row>
    <row r="62" spans="1:17" ht="15" thickBot="1" x14ac:dyDescent="0.4">
      <c r="A62" s="406"/>
      <c r="L62" s="141"/>
    </row>
    <row r="63" spans="1:17" ht="15.5" thickTop="1" thickBot="1" x14ac:dyDescent="0.4">
      <c r="A63" s="406"/>
      <c r="C63" s="131" t="s">
        <v>464</v>
      </c>
      <c r="J63" s="635">
        <f>J54-J61</f>
        <v>248149889</v>
      </c>
      <c r="K63" s="892" t="s">
        <v>1781</v>
      </c>
      <c r="L63" s="141"/>
    </row>
    <row r="64" spans="1:17" ht="15" thickTop="1" x14ac:dyDescent="0.35">
      <c r="A64" s="406"/>
      <c r="L64" s="141"/>
    </row>
    <row r="65" spans="1:17" x14ac:dyDescent="0.35">
      <c r="A65" s="406"/>
      <c r="C65" s="380" t="s">
        <v>469</v>
      </c>
      <c r="L65" s="141"/>
    </row>
    <row r="66" spans="1:17" x14ac:dyDescent="0.35">
      <c r="A66" s="406"/>
      <c r="C66" t="s">
        <v>470</v>
      </c>
      <c r="L66" s="141"/>
    </row>
    <row r="67" spans="1:17" x14ac:dyDescent="0.35">
      <c r="A67" s="406"/>
      <c r="C67" t="s">
        <v>465</v>
      </c>
      <c r="L67" s="141"/>
    </row>
    <row r="68" spans="1:17" x14ac:dyDescent="0.35">
      <c r="A68" s="406"/>
      <c r="L68" s="141"/>
    </row>
    <row r="69" spans="1:17" x14ac:dyDescent="0.35">
      <c r="A69" s="406"/>
      <c r="G69" s="30" t="s">
        <v>463</v>
      </c>
      <c r="H69" s="30" t="s">
        <v>293</v>
      </c>
      <c r="I69" s="30" t="s">
        <v>311</v>
      </c>
      <c r="J69" s="30"/>
      <c r="L69" s="141"/>
    </row>
    <row r="70" spans="1:17" x14ac:dyDescent="0.35">
      <c r="A70" s="406"/>
      <c r="D70" s="3" t="s">
        <v>42</v>
      </c>
      <c r="E70" s="108" t="s">
        <v>466</v>
      </c>
      <c r="G70" s="72">
        <f>$V$32</f>
        <v>391386436</v>
      </c>
      <c r="H70" s="365">
        <f>E10</f>
        <v>0.3115</v>
      </c>
      <c r="I70" s="134">
        <f>G70*H70</f>
        <v>121916874.814</v>
      </c>
      <c r="K70" s="892" t="s">
        <v>1612</v>
      </c>
      <c r="L70" s="141"/>
    </row>
    <row r="71" spans="1:17" x14ac:dyDescent="0.35">
      <c r="A71" s="406"/>
      <c r="D71" s="3" t="s">
        <v>42</v>
      </c>
      <c r="E71" s="108" t="s">
        <v>467</v>
      </c>
      <c r="G71" s="72">
        <f>$V$33</f>
        <v>391534802</v>
      </c>
      <c r="H71" s="365">
        <f>E11</f>
        <v>1.14E-2</v>
      </c>
      <c r="I71" s="134">
        <f t="shared" ref="I71:I73" si="0">G71*H71</f>
        <v>4463496.7428000001</v>
      </c>
      <c r="K71" s="892" t="s">
        <v>1613</v>
      </c>
      <c r="L71" s="141"/>
    </row>
    <row r="72" spans="1:17" x14ac:dyDescent="0.35">
      <c r="A72" s="406"/>
      <c r="D72" s="3" t="s">
        <v>40</v>
      </c>
      <c r="E72" s="3" t="s">
        <v>466</v>
      </c>
      <c r="G72" s="72">
        <f>$V$37</f>
        <v>715645401</v>
      </c>
      <c r="H72" s="365">
        <f>E12</f>
        <v>0.15339999999999998</v>
      </c>
      <c r="I72" s="134">
        <f t="shared" si="0"/>
        <v>109780004.51339999</v>
      </c>
      <c r="K72" s="892" t="s">
        <v>1614</v>
      </c>
      <c r="L72" s="141"/>
    </row>
    <row r="73" spans="1:17" ht="15" thickBot="1" x14ac:dyDescent="0.4">
      <c r="A73" s="406"/>
      <c r="D73" s="3" t="s">
        <v>40</v>
      </c>
      <c r="E73" s="3" t="s">
        <v>467</v>
      </c>
      <c r="G73" s="67">
        <f>$V$38</f>
        <v>775177119</v>
      </c>
      <c r="H73" s="365">
        <f>E13</f>
        <v>1.14E-2</v>
      </c>
      <c r="I73" s="134">
        <f t="shared" si="0"/>
        <v>8837019.1566000003</v>
      </c>
      <c r="K73" s="892" t="s">
        <v>1615</v>
      </c>
      <c r="L73" s="141"/>
    </row>
    <row r="74" spans="1:17" ht="15.5" thickTop="1" thickBot="1" x14ac:dyDescent="0.4">
      <c r="A74" s="406"/>
      <c r="C74" s="390" t="s">
        <v>1587</v>
      </c>
      <c r="D74" s="3"/>
      <c r="E74" s="3"/>
      <c r="G74" s="905">
        <f>SUM(G70:G73)</f>
        <v>2273743758</v>
      </c>
      <c r="H74" s="892" t="s">
        <v>1588</v>
      </c>
      <c r="I74" s="134"/>
      <c r="J74" s="128">
        <f>ROUND(SUM(I70:I73),0)</f>
        <v>244997395</v>
      </c>
      <c r="K74" s="892" t="s">
        <v>1589</v>
      </c>
      <c r="L74" s="141"/>
    </row>
    <row r="75" spans="1:17" ht="15" thickTop="1" x14ac:dyDescent="0.35">
      <c r="A75" s="406"/>
      <c r="L75" s="141"/>
    </row>
    <row r="76" spans="1:17" x14ac:dyDescent="0.35">
      <c r="A76" s="406"/>
      <c r="I76" s="367" t="s">
        <v>468</v>
      </c>
      <c r="J76" s="909">
        <f>ROUND(J63/J74-1,8)</f>
        <v>1.2867460000000001E-2</v>
      </c>
      <c r="K76" s="892" t="s">
        <v>1590</v>
      </c>
      <c r="L76" s="141"/>
    </row>
    <row r="77" spans="1:17" x14ac:dyDescent="0.35">
      <c r="A77" s="406"/>
      <c r="L77" s="141"/>
    </row>
    <row r="78" spans="1:17" x14ac:dyDescent="0.35">
      <c r="A78" s="407" t="s">
        <v>413</v>
      </c>
      <c r="P78"/>
      <c r="Q78"/>
    </row>
    <row r="79" spans="1:17" ht="15" thickBot="1" x14ac:dyDescent="0.4">
      <c r="A79" s="406"/>
    </row>
    <row r="80" spans="1:17" ht="15.5" thickTop="1" thickBot="1" x14ac:dyDescent="0.4">
      <c r="A80" s="406"/>
      <c r="B80" s="41" t="str">
        <f>$A$4</f>
        <v>SC2 Rate II</v>
      </c>
      <c r="C80" s="3"/>
      <c r="D80" s="3"/>
      <c r="E80" s="3"/>
      <c r="F80" s="3"/>
      <c r="G80" s="3"/>
      <c r="H80" s="1316" t="s">
        <v>680</v>
      </c>
      <c r="I80" s="1317"/>
      <c r="J80" s="1318"/>
      <c r="K80" s="3"/>
      <c r="L80" s="1307" t="s">
        <v>81</v>
      </c>
      <c r="M80" s="1308"/>
      <c r="N80" s="1309"/>
      <c r="P80"/>
      <c r="Q80"/>
    </row>
    <row r="81" spans="1:17" ht="15" thickTop="1" x14ac:dyDescent="0.35">
      <c r="A81" s="406"/>
      <c r="B81" s="3"/>
      <c r="C81" s="3"/>
      <c r="E81" s="30"/>
      <c r="F81" s="3"/>
      <c r="G81" s="3"/>
      <c r="H81" s="30" t="s">
        <v>42</v>
      </c>
      <c r="I81" s="30"/>
      <c r="J81" s="30" t="s">
        <v>40</v>
      </c>
      <c r="K81" s="3"/>
      <c r="L81" s="30" t="s">
        <v>42</v>
      </c>
      <c r="M81" s="86"/>
      <c r="N81" s="30" t="s">
        <v>40</v>
      </c>
      <c r="P81"/>
      <c r="Q81"/>
    </row>
    <row r="82" spans="1:17" x14ac:dyDescent="0.35">
      <c r="A82" s="406"/>
      <c r="B82" s="3"/>
      <c r="C82" s="3"/>
      <c r="G82" s="3"/>
      <c r="H82" s="35"/>
      <c r="I82" s="35"/>
      <c r="J82" s="35"/>
      <c r="K82" s="3"/>
      <c r="L82" s="30"/>
      <c r="M82" s="86"/>
      <c r="N82" s="30"/>
      <c r="P82"/>
      <c r="Q82"/>
    </row>
    <row r="83" spans="1:17" x14ac:dyDescent="0.35">
      <c r="B83" s="3"/>
      <c r="C83" s="3" t="s">
        <v>163</v>
      </c>
      <c r="G83" s="3"/>
      <c r="H83" s="3"/>
      <c r="I83" s="3"/>
      <c r="J83" s="3"/>
      <c r="K83" s="3"/>
      <c r="L83" s="30"/>
      <c r="M83" s="86"/>
      <c r="N83" s="30"/>
      <c r="P83"/>
      <c r="Q83"/>
    </row>
    <row r="84" spans="1:17" x14ac:dyDescent="0.35">
      <c r="E84" s="123"/>
      <c r="F84" s="121" t="str">
        <f>S6</f>
        <v>On Peak</v>
      </c>
      <c r="G84" s="123"/>
      <c r="H84" s="348">
        <f>E10</f>
        <v>0.3115</v>
      </c>
      <c r="I84" s="892" t="s">
        <v>165</v>
      </c>
      <c r="J84" s="348">
        <f>E12</f>
        <v>0.15339999999999998</v>
      </c>
      <c r="K84" s="892" t="s">
        <v>138</v>
      </c>
      <c r="L84" s="27">
        <f>H84-J$85</f>
        <v>0.30009999999999998</v>
      </c>
      <c r="M84" s="61" t="s">
        <v>1553</v>
      </c>
      <c r="N84" s="27">
        <f>J84-J$85</f>
        <v>0.14199999999999999</v>
      </c>
      <c r="O84" s="61" t="s">
        <v>1555</v>
      </c>
      <c r="P84"/>
      <c r="Q84"/>
    </row>
    <row r="85" spans="1:17" x14ac:dyDescent="0.35">
      <c r="B85" s="3"/>
      <c r="C85" s="3"/>
      <c r="D85" s="3"/>
      <c r="E85" s="123"/>
      <c r="F85" s="121" t="str">
        <f>S7</f>
        <v>Off Peak</v>
      </c>
      <c r="G85" s="36"/>
      <c r="H85" s="348">
        <f>E11</f>
        <v>1.14E-2</v>
      </c>
      <c r="I85" s="892" t="s">
        <v>166</v>
      </c>
      <c r="J85" s="348">
        <f>E13</f>
        <v>1.14E-2</v>
      </c>
      <c r="K85" s="892" t="s">
        <v>101</v>
      </c>
      <c r="L85" s="27">
        <f>H85-J$85</f>
        <v>0</v>
      </c>
      <c r="M85" s="61" t="s">
        <v>1554</v>
      </c>
      <c r="N85" s="112"/>
      <c r="O85" s="61" t="s">
        <v>1091</v>
      </c>
      <c r="P85"/>
      <c r="Q85"/>
    </row>
    <row r="86" spans="1:17" x14ac:dyDescent="0.35">
      <c r="B86" s="3"/>
      <c r="C86" s="3"/>
      <c r="D86" s="3"/>
      <c r="E86" s="3"/>
      <c r="F86" s="3"/>
      <c r="G86" s="36"/>
      <c r="P86"/>
      <c r="Q86"/>
    </row>
    <row r="87" spans="1:17" x14ac:dyDescent="0.35">
      <c r="B87" s="3"/>
      <c r="E87" s="123"/>
      <c r="F87" s="123"/>
      <c r="G87" s="36"/>
      <c r="I87" s="120"/>
      <c r="J87" s="120"/>
      <c r="K87" s="3"/>
      <c r="L87" s="27"/>
      <c r="M87" s="61"/>
      <c r="N87" s="61"/>
      <c r="P87"/>
      <c r="Q87"/>
    </row>
    <row r="88" spans="1:17" ht="15" thickBot="1" x14ac:dyDescent="0.4">
      <c r="K88" s="100" t="s">
        <v>431</v>
      </c>
      <c r="L88" s="906">
        <f>J76</f>
        <v>1.2867460000000001E-2</v>
      </c>
      <c r="M88" s="61" t="s">
        <v>1591</v>
      </c>
      <c r="N88" s="61"/>
    </row>
    <row r="89" spans="1:17" ht="15.5" thickTop="1" thickBot="1" x14ac:dyDescent="0.4">
      <c r="D89" s="1"/>
      <c r="E89" s="1"/>
      <c r="F89" s="1"/>
      <c r="L89" s="1307" t="s">
        <v>76</v>
      </c>
      <c r="M89" s="1308"/>
      <c r="N89" s="1309"/>
      <c r="P89"/>
      <c r="Q89"/>
    </row>
    <row r="90" spans="1:17" ht="15.5" thickTop="1" thickBot="1" x14ac:dyDescent="0.4">
      <c r="C90" s="70" t="s">
        <v>77</v>
      </c>
      <c r="D90" s="1"/>
      <c r="E90" s="1"/>
      <c r="F90" s="1"/>
      <c r="G90" s="118" t="s">
        <v>42</v>
      </c>
      <c r="H90" s="118" t="s">
        <v>40</v>
      </c>
      <c r="L90" s="30" t="s">
        <v>42</v>
      </c>
      <c r="M90" s="86"/>
      <c r="N90" s="30" t="s">
        <v>40</v>
      </c>
      <c r="P90"/>
      <c r="Q90"/>
    </row>
    <row r="91" spans="1:17" x14ac:dyDescent="0.35">
      <c r="D91" s="121"/>
      <c r="E91" s="122"/>
      <c r="F91" s="121" t="str">
        <f>$F$84</f>
        <v>On Peak</v>
      </c>
      <c r="G91" s="117" t="str">
        <f>CONCATENATE("X + ",L91)</f>
        <v>X + 0.304</v>
      </c>
      <c r="H91" s="116" t="str">
        <f>CONCATENATE("X + ",N91)</f>
        <v>X + 0.1438</v>
      </c>
      <c r="L91" s="223">
        <f>ROUND(L84*(1+$L$88),4)</f>
        <v>0.30399999999999999</v>
      </c>
      <c r="M91" s="61" t="s">
        <v>1592</v>
      </c>
      <c r="N91" s="223">
        <f>ROUND(N84*(1+$L$88),4)</f>
        <v>0.14380000000000001</v>
      </c>
      <c r="O91" s="61" t="s">
        <v>1594</v>
      </c>
      <c r="P91"/>
      <c r="Q91"/>
    </row>
    <row r="92" spans="1:17" x14ac:dyDescent="0.35">
      <c r="D92" s="1"/>
      <c r="E92" s="1"/>
      <c r="F92" s="1"/>
      <c r="G92" s="114"/>
      <c r="H92" s="113"/>
      <c r="L92" s="223"/>
      <c r="M92" s="61"/>
      <c r="N92" s="223"/>
      <c r="O92" s="61"/>
      <c r="P92"/>
      <c r="Q92"/>
    </row>
    <row r="93" spans="1:17" ht="15" thickBot="1" x14ac:dyDescent="0.4">
      <c r="C93" s="3"/>
      <c r="D93" s="2"/>
      <c r="E93" s="122"/>
      <c r="F93" s="121" t="str">
        <f>$F$85</f>
        <v>Off Peak</v>
      </c>
      <c r="G93" s="111" t="str">
        <f>CONCATENATE("X + ",L93)</f>
        <v>X + 0</v>
      </c>
      <c r="H93" s="350" t="s">
        <v>32</v>
      </c>
      <c r="L93" s="223">
        <f>ROUND(L85*(1+$L$88),4)</f>
        <v>0</v>
      </c>
      <c r="M93" s="61" t="s">
        <v>1593</v>
      </c>
      <c r="N93" s="223">
        <f>ROUND(N85*(1+$L$88),4)</f>
        <v>0</v>
      </c>
      <c r="O93" s="61" t="s">
        <v>1595</v>
      </c>
      <c r="P93"/>
      <c r="Q93"/>
    </row>
    <row r="94" spans="1:17" x14ac:dyDescent="0.35">
      <c r="D94" s="1"/>
      <c r="E94" s="1"/>
      <c r="F94" s="1"/>
      <c r="P94"/>
      <c r="Q94"/>
    </row>
    <row r="95" spans="1:17" x14ac:dyDescent="0.35">
      <c r="D95" s="1"/>
      <c r="E95" s="1"/>
      <c r="F95" s="1"/>
      <c r="P95"/>
      <c r="Q95"/>
    </row>
    <row r="96" spans="1:17" x14ac:dyDescent="0.35">
      <c r="B96" s="334" t="s">
        <v>46</v>
      </c>
      <c r="P96"/>
      <c r="Q96"/>
    </row>
    <row r="97" spans="2:17" x14ac:dyDescent="0.35">
      <c r="B97" s="41" t="str">
        <f>$A$4</f>
        <v>SC2 Rate II</v>
      </c>
      <c r="P97"/>
      <c r="Q97"/>
    </row>
    <row r="98" spans="2:17" ht="15" thickBot="1" x14ac:dyDescent="0.4">
      <c r="B98" s="70" t="s">
        <v>414</v>
      </c>
      <c r="C98" s="70"/>
      <c r="D98" s="70"/>
      <c r="E98" s="3"/>
      <c r="F98" s="3"/>
      <c r="I98" s="30" t="s">
        <v>463</v>
      </c>
      <c r="J98" s="3"/>
      <c r="K98" s="3"/>
      <c r="P98"/>
      <c r="Q98"/>
    </row>
    <row r="99" spans="2:17" x14ac:dyDescent="0.35">
      <c r="B99" s="3"/>
      <c r="C99" s="3" t="s">
        <v>42</v>
      </c>
      <c r="D99" s="108" t="str">
        <f>CONCATENATE(D84,E84,F84," kWh")</f>
        <v>On Peak kWh</v>
      </c>
      <c r="I99" s="72">
        <f>$V$32</f>
        <v>391386436</v>
      </c>
      <c r="J99" s="36" t="s">
        <v>39</v>
      </c>
      <c r="K99" s="74" t="str">
        <f>CONCATENATE("[",G91,"]")</f>
        <v>[X + 0.304]</v>
      </c>
      <c r="L99" s="61" t="s">
        <v>1558</v>
      </c>
      <c r="P99"/>
      <c r="Q99"/>
    </row>
    <row r="100" spans="2:17" x14ac:dyDescent="0.35">
      <c r="B100" s="3"/>
      <c r="C100" s="3" t="s">
        <v>42</v>
      </c>
      <c r="D100" s="108" t="str">
        <f>CONCATENATE(D85,E85,F85," kWh")</f>
        <v>Off Peak kWh</v>
      </c>
      <c r="I100" s="72">
        <f>$V$33</f>
        <v>391534802</v>
      </c>
      <c r="J100" s="36" t="s">
        <v>39</v>
      </c>
      <c r="K100" s="107" t="str">
        <f>CONCATENATE("[",G93,"]")</f>
        <v>[X + 0]</v>
      </c>
      <c r="L100" s="61" t="s">
        <v>1559</v>
      </c>
      <c r="P100"/>
      <c r="Q100"/>
    </row>
    <row r="101" spans="2:17" x14ac:dyDescent="0.35">
      <c r="B101" s="3"/>
      <c r="C101" s="3" t="s">
        <v>40</v>
      </c>
      <c r="D101" s="3" t="str">
        <f>D99</f>
        <v>On Peak kWh</v>
      </c>
      <c r="I101" s="72">
        <f>$V$37</f>
        <v>715645401</v>
      </c>
      <c r="J101" s="36" t="s">
        <v>39</v>
      </c>
      <c r="K101" s="73" t="str">
        <f>CONCATENATE("[",H91,"]")</f>
        <v>[X + 0.1438]</v>
      </c>
      <c r="L101" s="61" t="s">
        <v>1560</v>
      </c>
      <c r="P101"/>
      <c r="Q101"/>
    </row>
    <row r="102" spans="2:17" ht="15" thickBot="1" x14ac:dyDescent="0.4">
      <c r="B102" s="3"/>
      <c r="C102" s="3" t="s">
        <v>40</v>
      </c>
      <c r="D102" s="3" t="str">
        <f>D100</f>
        <v>Off Peak kWh</v>
      </c>
      <c r="I102" s="67">
        <f>$V$38</f>
        <v>775177119</v>
      </c>
      <c r="J102" s="36" t="s">
        <v>39</v>
      </c>
      <c r="K102" s="71" t="str">
        <f>CONCATENATE("[",H93,"]")</f>
        <v>[X]</v>
      </c>
      <c r="L102" s="61" t="s">
        <v>1642</v>
      </c>
      <c r="P102"/>
      <c r="Q102"/>
    </row>
    <row r="103" spans="2:17" x14ac:dyDescent="0.35">
      <c r="I103" s="366">
        <f>SUM(I99:I102)</f>
        <v>2273743758</v>
      </c>
      <c r="J103" s="61" t="s">
        <v>1596</v>
      </c>
    </row>
    <row r="105" spans="2:17" x14ac:dyDescent="0.35">
      <c r="B105" s="70" t="s">
        <v>472</v>
      </c>
      <c r="P105"/>
      <c r="Q105"/>
    </row>
    <row r="106" spans="2:17" x14ac:dyDescent="0.35">
      <c r="B106" s="41" t="str">
        <f>$A$4</f>
        <v>SC2 Rate II</v>
      </c>
      <c r="F106" s="3"/>
      <c r="G106" s="3"/>
      <c r="H106" s="3"/>
      <c r="I106" s="69" t="s">
        <v>25</v>
      </c>
      <c r="J106" s="3"/>
      <c r="K106" s="106"/>
      <c r="L106" s="3"/>
      <c r="M106" s="3"/>
      <c r="N106" s="17"/>
      <c r="P106"/>
      <c r="Q106"/>
    </row>
    <row r="107" spans="2:17" x14ac:dyDescent="0.35">
      <c r="C107" s="3" t="s">
        <v>42</v>
      </c>
      <c r="D107" s="392" t="str">
        <f>D99</f>
        <v>On Peak kWh</v>
      </c>
      <c r="H107" s="3"/>
      <c r="I107" s="105">
        <f>I99</f>
        <v>391386436</v>
      </c>
      <c r="J107" s="65" t="s">
        <v>63</v>
      </c>
      <c r="K107" s="26">
        <f>ROUND(I107*L91,0)</f>
        <v>118981477</v>
      </c>
      <c r="L107" s="3" t="s">
        <v>62</v>
      </c>
      <c r="M107" s="61" t="s">
        <v>1564</v>
      </c>
      <c r="N107" s="17"/>
      <c r="P107"/>
      <c r="Q107"/>
    </row>
    <row r="108" spans="2:17" x14ac:dyDescent="0.35">
      <c r="C108" s="3" t="s">
        <v>42</v>
      </c>
      <c r="D108" s="392" t="str">
        <f>D100</f>
        <v>Off Peak kWh</v>
      </c>
      <c r="H108" s="3"/>
      <c r="I108" s="105">
        <f>I100</f>
        <v>391534802</v>
      </c>
      <c r="J108" s="65" t="s">
        <v>63</v>
      </c>
      <c r="K108" s="26">
        <f>ROUND(I108*L93,0)</f>
        <v>0</v>
      </c>
      <c r="L108" s="3" t="s">
        <v>62</v>
      </c>
      <c r="M108" s="61" t="s">
        <v>1565</v>
      </c>
      <c r="N108" s="17"/>
      <c r="P108"/>
      <c r="Q108"/>
    </row>
    <row r="109" spans="2:17" x14ac:dyDescent="0.35">
      <c r="C109" s="3" t="s">
        <v>40</v>
      </c>
      <c r="D109" s="392" t="str">
        <f>D101</f>
        <v>On Peak kWh</v>
      </c>
      <c r="H109" s="3"/>
      <c r="I109" s="105">
        <f>I101</f>
        <v>715645401</v>
      </c>
      <c r="J109" s="65" t="s">
        <v>63</v>
      </c>
      <c r="K109" s="26">
        <f>ROUND(I109*N91,0)</f>
        <v>102909809</v>
      </c>
      <c r="L109" s="3" t="s">
        <v>62</v>
      </c>
      <c r="M109" s="61" t="s">
        <v>1566</v>
      </c>
      <c r="N109" s="17"/>
      <c r="P109"/>
      <c r="Q109"/>
    </row>
    <row r="110" spans="2:17" x14ac:dyDescent="0.35">
      <c r="C110" s="3" t="s">
        <v>40</v>
      </c>
      <c r="D110" s="392" t="str">
        <f>D102</f>
        <v>Off Peak kWh</v>
      </c>
      <c r="H110" s="3"/>
      <c r="I110" s="351">
        <f>I102</f>
        <v>775177119</v>
      </c>
      <c r="J110" s="65" t="s">
        <v>63</v>
      </c>
      <c r="K110" s="37">
        <f>ROUND(I110*N93,0)</f>
        <v>0</v>
      </c>
      <c r="L110" s="3" t="s">
        <v>62</v>
      </c>
      <c r="M110" s="61" t="s">
        <v>1561</v>
      </c>
      <c r="N110" s="17"/>
      <c r="P110"/>
      <c r="Q110"/>
    </row>
    <row r="111" spans="2:17" x14ac:dyDescent="0.35">
      <c r="C111" s="3"/>
      <c r="F111" s="66"/>
      <c r="G111" s="908">
        <f>J63</f>
        <v>248149889</v>
      </c>
      <c r="H111" s="63" t="s">
        <v>31</v>
      </c>
      <c r="I111" s="28">
        <f>SUM(I107:I110)</f>
        <v>2273743758</v>
      </c>
      <c r="J111" s="65" t="s">
        <v>63</v>
      </c>
      <c r="K111" s="103">
        <f>SUM(K107:K110)</f>
        <v>221891286</v>
      </c>
      <c r="L111" s="3" t="s">
        <v>1597</v>
      </c>
      <c r="M111" s="61" t="s">
        <v>1598</v>
      </c>
      <c r="N111" s="17"/>
      <c r="P111"/>
      <c r="Q111"/>
    </row>
    <row r="112" spans="2:17" x14ac:dyDescent="0.35">
      <c r="F112" s="3"/>
      <c r="G112" s="3"/>
      <c r="H112" s="3"/>
      <c r="I112" s="3"/>
      <c r="J112" s="3"/>
      <c r="K112" s="3"/>
      <c r="L112" s="3"/>
      <c r="M112" s="61" t="s">
        <v>1599</v>
      </c>
      <c r="N112" s="17"/>
      <c r="P112"/>
      <c r="Q112"/>
    </row>
    <row r="113" spans="2:17" x14ac:dyDescent="0.35">
      <c r="F113" s="34"/>
      <c r="G113" s="34">
        <f>G111-K111</f>
        <v>26258603</v>
      </c>
      <c r="H113" s="63" t="s">
        <v>31</v>
      </c>
      <c r="I113" s="28">
        <f>I111</f>
        <v>2273743758</v>
      </c>
      <c r="J113" s="65" t="s">
        <v>32</v>
      </c>
      <c r="K113" s="3"/>
      <c r="L113" s="3"/>
      <c r="M113" s="61" t="s">
        <v>1600</v>
      </c>
      <c r="N113" s="17"/>
      <c r="P113"/>
      <c r="Q113"/>
    </row>
    <row r="114" spans="2:17" ht="15" thickBot="1" x14ac:dyDescent="0.4">
      <c r="F114" s="3"/>
      <c r="G114" s="3"/>
      <c r="H114" s="3"/>
      <c r="I114" s="3"/>
      <c r="J114" s="3"/>
      <c r="K114" s="34"/>
      <c r="L114" s="34"/>
      <c r="M114" s="34"/>
      <c r="N114" s="17"/>
      <c r="P114"/>
      <c r="Q114"/>
    </row>
    <row r="115" spans="2:17" ht="15.5" thickTop="1" thickBot="1" x14ac:dyDescent="0.4">
      <c r="F115" s="64"/>
      <c r="G115" s="101" t="s">
        <v>32</v>
      </c>
      <c r="H115" s="63" t="s">
        <v>31</v>
      </c>
      <c r="I115" s="352">
        <f>ROUND(G113/I113,4)</f>
        <v>1.15E-2</v>
      </c>
      <c r="J115" s="61" t="s">
        <v>1601</v>
      </c>
      <c r="K115" s="143"/>
      <c r="L115" s="34"/>
      <c r="M115" s="61" t="s">
        <v>1602</v>
      </c>
      <c r="N115" s="17"/>
      <c r="P115"/>
      <c r="Q115"/>
    </row>
    <row r="116" spans="2:17" ht="15" thickTop="1" x14ac:dyDescent="0.35">
      <c r="P116"/>
      <c r="Q116"/>
    </row>
    <row r="118" spans="2:17" x14ac:dyDescent="0.35">
      <c r="B118" s="334" t="str">
        <f>CONCATENATE($A$4," at Proposed T&amp;D Rates")</f>
        <v>SC2 Rate II at Proposed T&amp;D Rates</v>
      </c>
      <c r="P118"/>
      <c r="Q118"/>
    </row>
    <row r="119" spans="2:17" ht="15" thickBot="1" x14ac:dyDescent="0.4">
      <c r="B119" s="42"/>
      <c r="P119"/>
      <c r="Q119"/>
    </row>
    <row r="120" spans="2:17" ht="15" thickBot="1" x14ac:dyDescent="0.4">
      <c r="C120" s="60" t="s">
        <v>5</v>
      </c>
      <c r="D120" s="353">
        <f>$L$4</f>
        <v>2020</v>
      </c>
      <c r="E120" s="58"/>
      <c r="F120" s="58"/>
      <c r="G120" s="59"/>
      <c r="H120" s="59"/>
      <c r="I120" s="59"/>
      <c r="J120" s="59"/>
      <c r="K120" s="98"/>
      <c r="L120" s="3"/>
      <c r="M120" s="3"/>
      <c r="N120" s="17"/>
      <c r="O120" s="3"/>
      <c r="P120"/>
      <c r="Q120"/>
    </row>
    <row r="121" spans="2:17" ht="15.5" thickTop="1" thickBot="1" x14ac:dyDescent="0.4">
      <c r="C121" s="96"/>
      <c r="D121" s="44"/>
      <c r="E121" s="44"/>
      <c r="F121" s="44"/>
      <c r="G121" s="44"/>
      <c r="H121" s="1307" t="s">
        <v>415</v>
      </c>
      <c r="I121" s="1308"/>
      <c r="J121" s="1309"/>
      <c r="K121" s="94"/>
      <c r="L121" s="3"/>
      <c r="M121" s="1307" t="s">
        <v>471</v>
      </c>
      <c r="N121" s="1308"/>
      <c r="O121" s="1309"/>
      <c r="P121"/>
      <c r="Q121"/>
    </row>
    <row r="122" spans="2:17" ht="15" thickTop="1" x14ac:dyDescent="0.35">
      <c r="C122" s="96"/>
      <c r="D122" s="44"/>
      <c r="E122" s="44"/>
      <c r="F122" s="44"/>
      <c r="G122" s="44"/>
      <c r="H122" s="1255" t="s">
        <v>10</v>
      </c>
      <c r="I122" s="44"/>
      <c r="J122" s="1255" t="s">
        <v>7</v>
      </c>
      <c r="K122" s="94"/>
      <c r="L122" s="3"/>
      <c r="M122" s="1255" t="s">
        <v>10</v>
      </c>
      <c r="N122" s="44"/>
      <c r="O122" s="1255" t="s">
        <v>7</v>
      </c>
      <c r="P122"/>
      <c r="Q122"/>
    </row>
    <row r="123" spans="2:17" x14ac:dyDescent="0.35">
      <c r="C123" s="96" t="s">
        <v>474</v>
      </c>
      <c r="D123" s="44"/>
      <c r="E123" s="44"/>
      <c r="F123" s="44"/>
      <c r="G123" s="44"/>
      <c r="H123" s="354">
        <f>F18</f>
        <v>28.1</v>
      </c>
      <c r="I123" s="44"/>
      <c r="J123" s="698">
        <f>H123</f>
        <v>28.1</v>
      </c>
      <c r="K123" s="94"/>
      <c r="L123" s="3"/>
      <c r="M123" s="1255"/>
      <c r="N123" s="44"/>
      <c r="O123" s="1255"/>
      <c r="P123"/>
      <c r="Q123"/>
    </row>
    <row r="124" spans="2:17" x14ac:dyDescent="0.35">
      <c r="C124" s="96" t="s">
        <v>473</v>
      </c>
      <c r="D124" s="44"/>
      <c r="E124" s="44"/>
      <c r="F124" s="44"/>
      <c r="G124" s="44"/>
      <c r="H124" s="921">
        <f>F17</f>
        <v>4.46</v>
      </c>
      <c r="I124" s="922"/>
      <c r="J124" s="921">
        <f>H124</f>
        <v>4.46</v>
      </c>
      <c r="K124" s="94"/>
      <c r="L124" s="3"/>
      <c r="M124" s="1255"/>
      <c r="N124" s="44"/>
      <c r="O124" s="1255"/>
      <c r="P124"/>
      <c r="Q124"/>
    </row>
    <row r="125" spans="2:17" x14ac:dyDescent="0.35">
      <c r="C125" s="96" t="s">
        <v>163</v>
      </c>
      <c r="D125" s="44"/>
      <c r="E125" s="44"/>
      <c r="F125" s="44"/>
      <c r="G125" s="44"/>
      <c r="H125" s="354">
        <f>H123+H124</f>
        <v>32.56</v>
      </c>
      <c r="I125" s="358" t="s">
        <v>109</v>
      </c>
      <c r="J125" s="354">
        <f>J123+J124</f>
        <v>32.56</v>
      </c>
      <c r="K125" s="359" t="s">
        <v>1638</v>
      </c>
      <c r="L125" s="3"/>
      <c r="M125" s="3"/>
      <c r="N125" s="3"/>
      <c r="P125"/>
      <c r="Q125"/>
    </row>
    <row r="126" spans="2:17" x14ac:dyDescent="0.35">
      <c r="C126" s="96"/>
      <c r="D126" s="355"/>
      <c r="E126" s="356"/>
      <c r="F126" s="355" t="str">
        <f>$F$84</f>
        <v>On Peak</v>
      </c>
      <c r="G126" s="44"/>
      <c r="H126" s="357">
        <f>$I$115+L91</f>
        <v>0.3155</v>
      </c>
      <c r="I126" s="358" t="s">
        <v>108</v>
      </c>
      <c r="J126" s="357">
        <f>$I$115+N91</f>
        <v>0.15530000000000002</v>
      </c>
      <c r="K126" s="359" t="s">
        <v>1639</v>
      </c>
      <c r="L126" s="3"/>
      <c r="M126" s="81">
        <f>ROUND(H126/H84-1,4)</f>
        <v>1.2800000000000001E-2</v>
      </c>
      <c r="N126" s="358" t="s">
        <v>1605</v>
      </c>
      <c r="O126" s="81">
        <f>ROUND(J126/J84-1,4)</f>
        <v>1.24E-2</v>
      </c>
      <c r="P126" s="54" t="s">
        <v>1607</v>
      </c>
      <c r="Q126"/>
    </row>
    <row r="127" spans="2:17" x14ac:dyDescent="0.35">
      <c r="C127" s="96"/>
      <c r="D127" s="360"/>
      <c r="E127" s="356"/>
      <c r="F127" s="355" t="str">
        <f>$F$85</f>
        <v>Off Peak</v>
      </c>
      <c r="G127" s="44"/>
      <c r="H127" s="357">
        <f>$I$115+L93</f>
        <v>1.15E-2</v>
      </c>
      <c r="I127" s="358" t="s">
        <v>1574</v>
      </c>
      <c r="J127" s="357">
        <f>I115</f>
        <v>1.15E-2</v>
      </c>
      <c r="K127" s="359" t="s">
        <v>1640</v>
      </c>
      <c r="L127" s="3"/>
      <c r="M127" s="81">
        <f>ROUND(H127/H85-1,4)</f>
        <v>8.8000000000000005E-3</v>
      </c>
      <c r="N127" s="358" t="s">
        <v>1606</v>
      </c>
      <c r="O127" s="81">
        <f>ROUND(J127/J85-1,4)</f>
        <v>8.8000000000000005E-3</v>
      </c>
      <c r="P127" s="54" t="s">
        <v>1608</v>
      </c>
      <c r="Q127"/>
    </row>
    <row r="128" spans="2:17" ht="15" thickBot="1" x14ac:dyDescent="0.4">
      <c r="C128" s="93"/>
      <c r="D128" s="46"/>
      <c r="E128" s="46"/>
      <c r="F128" s="46"/>
      <c r="G128" s="46"/>
      <c r="H128" s="46"/>
      <c r="I128" s="46"/>
      <c r="J128" s="46"/>
      <c r="K128" s="91"/>
      <c r="L128" s="3"/>
      <c r="M128" s="81"/>
      <c r="N128" s="3"/>
      <c r="O128" s="81"/>
      <c r="P128"/>
      <c r="Q128"/>
    </row>
    <row r="129" spans="1:20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/>
      <c r="Q129"/>
    </row>
    <row r="130" spans="1:20" x14ac:dyDescent="0.35">
      <c r="A130" s="406"/>
      <c r="B130" s="40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/>
      <c r="Q130"/>
    </row>
    <row r="131" spans="1:20" x14ac:dyDescent="0.35">
      <c r="A131" s="334" t="s">
        <v>1579</v>
      </c>
      <c r="B131" s="410"/>
      <c r="C131" s="3"/>
      <c r="D131" s="3"/>
      <c r="E131" s="3"/>
      <c r="F131" s="3"/>
      <c r="G131" s="3"/>
      <c r="H131" s="3"/>
      <c r="I131" s="3"/>
      <c r="P131"/>
      <c r="Q131"/>
    </row>
    <row r="132" spans="1:20" x14ac:dyDescent="0.35">
      <c r="A132" s="334"/>
      <c r="B132" s="410"/>
      <c r="C132" s="3"/>
      <c r="D132" s="3"/>
      <c r="E132" s="3"/>
      <c r="F132" s="3"/>
      <c r="G132" s="3"/>
      <c r="H132" s="3"/>
      <c r="I132" s="3"/>
      <c r="P132"/>
      <c r="Q132"/>
    </row>
    <row r="133" spans="1:20" ht="15" thickBot="1" x14ac:dyDescent="0.4">
      <c r="A133" s="334"/>
      <c r="B133" s="334" t="str">
        <f>CONCATENATE($A$4," at Proposed T&amp;D Rates")</f>
        <v>SC2 Rate II at Proposed T&amp;D Rates</v>
      </c>
      <c r="C133" s="3"/>
      <c r="D133" s="3"/>
      <c r="E133" s="3"/>
      <c r="F133" s="3"/>
      <c r="G133" s="3"/>
      <c r="H133" s="3"/>
      <c r="I133" s="3"/>
      <c r="K133" s="367" t="s">
        <v>426</v>
      </c>
      <c r="L133" s="368">
        <f>$L$10</f>
        <v>1.0119199999999999</v>
      </c>
      <c r="N133" s="344" t="str">
        <f>$A$4</f>
        <v>SC2 Rate II</v>
      </c>
      <c r="P133"/>
    </row>
    <row r="134" spans="1:20" ht="15.5" thickTop="1" thickBot="1" x14ac:dyDescent="0.4">
      <c r="A134" s="406"/>
      <c r="B134" s="407"/>
      <c r="H134" s="1307" t="s">
        <v>417</v>
      </c>
      <c r="I134" s="1308"/>
      <c r="J134" s="1309"/>
      <c r="L134" s="1253" t="s">
        <v>475</v>
      </c>
      <c r="N134" s="369" t="s">
        <v>42</v>
      </c>
      <c r="P134"/>
    </row>
    <row r="135" spans="1:20" ht="15" thickTop="1" x14ac:dyDescent="0.35">
      <c r="A135" s="406"/>
      <c r="B135" s="410"/>
      <c r="H135" s="30" t="s">
        <v>416</v>
      </c>
      <c r="I135" s="30" t="s">
        <v>418</v>
      </c>
      <c r="J135" s="36" t="s">
        <v>419</v>
      </c>
      <c r="L135" s="30" t="s">
        <v>425</v>
      </c>
      <c r="N135" s="36" t="s">
        <v>429</v>
      </c>
      <c r="R135" s="1"/>
      <c r="S135" s="1"/>
      <c r="T135" s="1"/>
    </row>
    <row r="136" spans="1:20" x14ac:dyDescent="0.35">
      <c r="A136" s="406"/>
      <c r="B136" s="407" t="s">
        <v>42</v>
      </c>
      <c r="C136" s="3" t="s">
        <v>163</v>
      </c>
      <c r="G136" s="759"/>
      <c r="H136" s="223">
        <f>H125</f>
        <v>32.56</v>
      </c>
      <c r="I136" s="105">
        <f>U35</f>
        <v>1584240.9999999998</v>
      </c>
      <c r="J136" s="26">
        <f>ROUND(H136*I136,0)</f>
        <v>51582887</v>
      </c>
      <c r="L136" s="134">
        <f>ROUND(J136*(L$133-1),0)</f>
        <v>614868</v>
      </c>
      <c r="N136" s="26">
        <f>J136+L136</f>
        <v>52197755</v>
      </c>
      <c r="R136" s="1"/>
      <c r="S136" s="1"/>
      <c r="T136" s="1"/>
    </row>
    <row r="137" spans="1:20" x14ac:dyDescent="0.35">
      <c r="A137" s="406"/>
      <c r="B137" s="406"/>
      <c r="C137" s="121" t="str">
        <f>$F$84</f>
        <v>On Peak</v>
      </c>
      <c r="D137" s="121"/>
      <c r="E137" s="122"/>
      <c r="H137" s="223">
        <f>H126</f>
        <v>0.3155</v>
      </c>
      <c r="I137" s="105">
        <f>V32</f>
        <v>391386436</v>
      </c>
      <c r="J137" s="26">
        <f>ROUND(H137*I137,0)</f>
        <v>123482421</v>
      </c>
      <c r="L137" s="397"/>
      <c r="N137" s="26">
        <f>J137+L137</f>
        <v>123482421</v>
      </c>
      <c r="R137" s="1"/>
      <c r="S137" s="1"/>
      <c r="T137" s="1"/>
    </row>
    <row r="138" spans="1:20" x14ac:dyDescent="0.35">
      <c r="A138" s="406"/>
      <c r="B138" s="406"/>
      <c r="C138" s="121" t="str">
        <f>$F$85</f>
        <v>Off Peak</v>
      </c>
      <c r="D138" s="36"/>
      <c r="E138" s="122"/>
      <c r="H138" s="223">
        <f>H127</f>
        <v>1.15E-2</v>
      </c>
      <c r="I138" s="105">
        <f>V33</f>
        <v>391534802</v>
      </c>
      <c r="J138" s="26">
        <f>ROUND(H138*I138,0)</f>
        <v>4502650</v>
      </c>
      <c r="L138" s="397"/>
      <c r="N138" s="26">
        <f>J138+L138</f>
        <v>4502650</v>
      </c>
      <c r="R138" s="1"/>
      <c r="S138" s="1"/>
      <c r="T138" s="1"/>
    </row>
    <row r="139" spans="1:20" x14ac:dyDescent="0.35">
      <c r="A139" s="406"/>
      <c r="B139" s="406"/>
      <c r="C139" s="3" t="s">
        <v>420</v>
      </c>
      <c r="D139" s="3"/>
      <c r="E139" s="3"/>
      <c r="F139" s="3"/>
      <c r="H139" s="223"/>
      <c r="I139" s="223"/>
      <c r="J139" s="32">
        <f>SUM(J136:J138)</f>
        <v>179567958</v>
      </c>
      <c r="L139" s="32">
        <f>SUM(L136:L138)</f>
        <v>614868</v>
      </c>
      <c r="N139" s="32">
        <f>SUM(N136:N138)</f>
        <v>180182826</v>
      </c>
      <c r="P139"/>
    </row>
    <row r="140" spans="1:20" s="1" customFormat="1" x14ac:dyDescent="0.35">
      <c r="A140" s="464"/>
      <c r="B140" s="464"/>
      <c r="C140" s="2"/>
      <c r="D140" s="121"/>
      <c r="E140" s="121"/>
      <c r="F140" s="361"/>
      <c r="H140" s="223"/>
      <c r="I140" s="362"/>
      <c r="J140" s="395"/>
      <c r="K140"/>
    </row>
    <row r="141" spans="1:20" s="1" customFormat="1" ht="15" thickBot="1" x14ac:dyDescent="0.4">
      <c r="A141" s="464"/>
      <c r="B141" s="464"/>
      <c r="C141" s="2"/>
      <c r="D141" s="121"/>
      <c r="E141" s="121"/>
      <c r="F141" s="361"/>
      <c r="H141" s="223"/>
      <c r="I141" s="362"/>
      <c r="J141" s="223"/>
      <c r="K141"/>
      <c r="L141" s="368">
        <f>$L$11</f>
        <v>1.01067</v>
      </c>
    </row>
    <row r="142" spans="1:20" s="1" customFormat="1" ht="15.5" thickTop="1" thickBot="1" x14ac:dyDescent="0.4">
      <c r="A142" s="464"/>
      <c r="B142" s="464"/>
      <c r="C142" s="2"/>
      <c r="D142" s="121"/>
      <c r="E142" s="121"/>
      <c r="F142" s="361"/>
      <c r="H142" s="1307" t="s">
        <v>417</v>
      </c>
      <c r="I142" s="1308"/>
      <c r="J142" s="1309"/>
      <c r="K142"/>
      <c r="L142" s="1253" t="s">
        <v>475</v>
      </c>
      <c r="N142" s="369" t="s">
        <v>40</v>
      </c>
    </row>
    <row r="143" spans="1:20" s="1" customFormat="1" ht="15" thickTop="1" x14ac:dyDescent="0.35">
      <c r="A143" s="464"/>
      <c r="B143" s="464"/>
      <c r="C143" s="2"/>
      <c r="D143" s="121"/>
      <c r="E143" s="121"/>
      <c r="F143" s="361"/>
      <c r="H143" s="30" t="s">
        <v>416</v>
      </c>
      <c r="I143" s="30" t="s">
        <v>418</v>
      </c>
      <c r="J143" s="36" t="s">
        <v>419</v>
      </c>
      <c r="K143"/>
      <c r="L143" s="30" t="s">
        <v>425</v>
      </c>
      <c r="N143" s="36" t="s">
        <v>429</v>
      </c>
    </row>
    <row r="144" spans="1:20" s="1" customFormat="1" x14ac:dyDescent="0.35">
      <c r="A144" s="464"/>
      <c r="B144" s="407" t="s">
        <v>40</v>
      </c>
      <c r="C144" s="3" t="s">
        <v>163</v>
      </c>
      <c r="D144"/>
      <c r="E144"/>
      <c r="F144"/>
      <c r="G144" s="759"/>
      <c r="H144" s="223">
        <f>J125</f>
        <v>32.56</v>
      </c>
      <c r="I144" s="105">
        <f>U40</f>
        <v>3158399.0000000005</v>
      </c>
      <c r="J144" s="26">
        <f>ROUND(H144*I144,0)</f>
        <v>102837471</v>
      </c>
      <c r="K144"/>
      <c r="L144" s="134">
        <f>ROUND(J144*(L$141-1),0)</f>
        <v>1097276</v>
      </c>
      <c r="N144" s="26">
        <f>J144+L144</f>
        <v>103934747</v>
      </c>
    </row>
    <row r="145" spans="1:18" s="1" customFormat="1" x14ac:dyDescent="0.35">
      <c r="A145" s="464"/>
      <c r="B145" s="406"/>
      <c r="C145" s="121" t="str">
        <f>$F$84</f>
        <v>On Peak</v>
      </c>
      <c r="D145" s="121"/>
      <c r="E145" s="122"/>
      <c r="H145" s="223">
        <f>J126</f>
        <v>0.15530000000000002</v>
      </c>
      <c r="I145" s="105">
        <f>V37</f>
        <v>715645401</v>
      </c>
      <c r="J145" s="26">
        <f>ROUND(H145*I145,0)</f>
        <v>111139731</v>
      </c>
      <c r="K145"/>
      <c r="L145" s="397"/>
      <c r="N145" s="26">
        <f>J145+L145</f>
        <v>111139731</v>
      </c>
    </row>
    <row r="146" spans="1:18" s="1" customFormat="1" x14ac:dyDescent="0.35">
      <c r="A146" s="464"/>
      <c r="B146" s="406"/>
      <c r="C146" s="121" t="str">
        <f>$F$85</f>
        <v>Off Peak</v>
      </c>
      <c r="D146" s="36"/>
      <c r="E146" s="122"/>
      <c r="H146" s="223">
        <f>J127</f>
        <v>1.15E-2</v>
      </c>
      <c r="I146" s="105">
        <f>V38</f>
        <v>775177119</v>
      </c>
      <c r="J146" s="26">
        <f>ROUND(H146*I146,0)</f>
        <v>8914537</v>
      </c>
      <c r="K146"/>
      <c r="L146" s="397"/>
      <c r="N146" s="26">
        <f>J146+L146</f>
        <v>8914537</v>
      </c>
    </row>
    <row r="147" spans="1:18" s="1" customFormat="1" x14ac:dyDescent="0.35">
      <c r="A147" s="464"/>
      <c r="B147" s="406"/>
      <c r="C147" s="3" t="s">
        <v>421</v>
      </c>
      <c r="D147" s="3"/>
      <c r="E147" s="3"/>
      <c r="F147" s="3"/>
      <c r="H147" s="223"/>
      <c r="I147" s="223"/>
      <c r="J147" s="32">
        <f>SUM(J144:J146)</f>
        <v>222891739</v>
      </c>
      <c r="K147"/>
      <c r="L147" s="32">
        <f>SUM(L144:L146)</f>
        <v>1097276</v>
      </c>
      <c r="N147" s="32">
        <f>SUM(N144:N146)</f>
        <v>223989015</v>
      </c>
    </row>
    <row r="148" spans="1:18" s="1" customFormat="1" ht="15" thickBot="1" x14ac:dyDescent="0.4">
      <c r="A148" s="464"/>
      <c r="B148" s="464"/>
      <c r="C148" s="2"/>
      <c r="D148" s="121"/>
      <c r="E148" s="121"/>
      <c r="F148" s="361"/>
      <c r="H148" s="223"/>
      <c r="I148" s="362"/>
      <c r="J148" s="395"/>
      <c r="K148"/>
      <c r="N148" s="223"/>
    </row>
    <row r="149" spans="1:18" s="1" customFormat="1" ht="15.5" thickTop="1" thickBot="1" x14ac:dyDescent="0.4">
      <c r="A149" s="464"/>
      <c r="B149" s="464"/>
      <c r="C149" s="837" t="str">
        <f>CONCATENATE($A$4," - Annual Revenue Price-Out at Proposed Rates:")</f>
        <v>SC2 Rate II - Annual Revenue Price-Out at Proposed Rates:</v>
      </c>
      <c r="D149" s="121"/>
      <c r="E149" s="121"/>
      <c r="F149" s="361"/>
      <c r="H149" s="223"/>
      <c r="I149" s="222" t="s">
        <v>427</v>
      </c>
      <c r="J149" s="243">
        <f>J139+J147</f>
        <v>402459697</v>
      </c>
      <c r="K149" s="222" t="s">
        <v>428</v>
      </c>
      <c r="L149" s="243">
        <f>L139+L147</f>
        <v>1712144</v>
      </c>
      <c r="N149" s="243">
        <f>N139+N147</f>
        <v>404171841</v>
      </c>
      <c r="O149" s="374"/>
    </row>
    <row r="150" spans="1:18" s="1" customFormat="1" ht="15" thickTop="1" x14ac:dyDescent="0.35">
      <c r="A150" s="464"/>
      <c r="B150" s="464"/>
      <c r="C150" s="25"/>
      <c r="D150" s="121"/>
      <c r="E150" s="121"/>
      <c r="F150" s="361"/>
      <c r="H150" s="223"/>
      <c r="I150" s="222"/>
      <c r="J150" s="396"/>
      <c r="K150" s="362"/>
      <c r="L150" s="363"/>
      <c r="M150" s="364"/>
      <c r="N150" s="222"/>
      <c r="O150" s="26"/>
      <c r="Q150" s="26"/>
      <c r="R150" s="374"/>
    </row>
    <row r="151" spans="1:18" s="1" customFormat="1" x14ac:dyDescent="0.35">
      <c r="C151" s="25"/>
      <c r="D151" s="121"/>
      <c r="E151" s="121"/>
      <c r="F151" s="361"/>
      <c r="H151" s="223"/>
      <c r="I151" s="222"/>
      <c r="J151" s="26"/>
      <c r="K151" s="362"/>
      <c r="L151" s="363"/>
      <c r="M151" s="364"/>
      <c r="N151" s="222"/>
      <c r="O151" s="26"/>
      <c r="Q151" s="26"/>
      <c r="R151" s="374"/>
    </row>
    <row r="152" spans="1:18" ht="15" thickBot="1" x14ac:dyDescent="0.4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7"/>
      <c r="O152" s="3"/>
      <c r="P152" s="2"/>
      <c r="Q152" s="2"/>
    </row>
    <row r="153" spans="1:18" x14ac:dyDescent="0.35">
      <c r="B153" s="3"/>
      <c r="C153" s="815" t="str">
        <f>$A$4</f>
        <v>SC2 Rate II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1" t="s">
        <v>6</v>
      </c>
      <c r="N153" s="3"/>
      <c r="O153" s="2"/>
      <c r="P153" s="2"/>
      <c r="Q153" s="2"/>
    </row>
    <row r="154" spans="1:18" x14ac:dyDescent="0.35">
      <c r="B154" s="3"/>
      <c r="C154" s="11" t="s">
        <v>5</v>
      </c>
      <c r="D154" s="1305">
        <f>L4</f>
        <v>2020</v>
      </c>
      <c r="E154" s="1305"/>
      <c r="F154" s="1305"/>
      <c r="G154" s="10"/>
      <c r="H154" s="10"/>
      <c r="I154" s="10"/>
      <c r="J154" s="10"/>
      <c r="K154" s="10"/>
      <c r="L154" s="10"/>
      <c r="M154" s="13"/>
      <c r="N154" s="17"/>
      <c r="O154" s="2"/>
      <c r="P154" s="2"/>
      <c r="Q154" s="2"/>
    </row>
    <row r="155" spans="1:18" x14ac:dyDescent="0.35">
      <c r="B155" s="3"/>
      <c r="C155" s="699" t="s">
        <v>679</v>
      </c>
      <c r="D155" s="1254"/>
      <c r="E155" s="1254"/>
      <c r="F155" s="1254"/>
      <c r="G155" s="10"/>
      <c r="H155" s="10"/>
      <c r="I155" s="10"/>
      <c r="J155" s="10"/>
      <c r="K155" s="10"/>
      <c r="L155" s="10"/>
      <c r="M155" s="12">
        <f>N149</f>
        <v>404171841</v>
      </c>
      <c r="N155" s="3"/>
      <c r="O155" s="2"/>
      <c r="P155" s="2"/>
      <c r="Q155" s="2"/>
    </row>
    <row r="156" spans="1:18" x14ac:dyDescent="0.35">
      <c r="B156" s="3"/>
      <c r="C156" s="699"/>
      <c r="D156" s="1254"/>
      <c r="E156" s="1254"/>
      <c r="F156" s="1254"/>
      <c r="G156" s="10"/>
      <c r="H156" s="10"/>
      <c r="I156" s="10"/>
      <c r="J156" s="10"/>
      <c r="K156" s="10"/>
      <c r="L156" s="10"/>
      <c r="M156" s="18"/>
      <c r="N156" s="3"/>
      <c r="O156" s="2"/>
      <c r="P156" s="2"/>
      <c r="Q156" s="2"/>
    </row>
    <row r="157" spans="1:18" x14ac:dyDescent="0.35">
      <c r="B157" s="3"/>
      <c r="C157" s="699"/>
      <c r="D157" s="1254"/>
      <c r="E157" s="1254"/>
      <c r="F157" s="1254"/>
      <c r="G157" s="10"/>
      <c r="H157" s="10"/>
      <c r="I157" s="10"/>
      <c r="J157" s="10"/>
      <c r="K157" s="10"/>
      <c r="L157" s="10"/>
      <c r="M157" s="18"/>
      <c r="N157" s="3"/>
      <c r="O157" s="2"/>
      <c r="P157" s="2"/>
      <c r="Q157" s="2"/>
    </row>
    <row r="158" spans="1:18" x14ac:dyDescent="0.35">
      <c r="B158" s="3"/>
      <c r="C158" s="699"/>
      <c r="D158" s="1254"/>
      <c r="E158" s="1254"/>
      <c r="F158" s="1254"/>
      <c r="G158" s="10"/>
      <c r="H158" s="10"/>
      <c r="I158" s="10"/>
      <c r="J158" s="10"/>
      <c r="K158" s="10"/>
      <c r="L158" s="10"/>
      <c r="M158" s="376"/>
      <c r="N158" s="3"/>
      <c r="O158" s="2"/>
      <c r="P158" s="2"/>
      <c r="Q158" s="2"/>
    </row>
    <row r="159" spans="1:18" x14ac:dyDescent="0.35">
      <c r="B159" s="3"/>
      <c r="C159" s="699" t="s">
        <v>430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2">
        <f>M155+M156+M157-M158</f>
        <v>404171841</v>
      </c>
      <c r="N159" s="3"/>
      <c r="O159" s="2"/>
      <c r="P159" s="2"/>
      <c r="Q159" s="2"/>
    </row>
    <row r="160" spans="1:18" x14ac:dyDescent="0.35">
      <c r="B160" s="3"/>
      <c r="C160" s="11"/>
      <c r="D160" s="10"/>
      <c r="E160" s="10"/>
      <c r="F160" s="10"/>
      <c r="G160" s="10"/>
      <c r="H160" s="10"/>
      <c r="I160" s="10"/>
      <c r="J160" s="10"/>
      <c r="K160" s="10"/>
      <c r="L160" s="10"/>
      <c r="M160" s="13"/>
      <c r="N160" s="3"/>
      <c r="O160" s="2"/>
      <c r="P160" s="2"/>
      <c r="Q160" s="2"/>
    </row>
    <row r="161" spans="1:26" x14ac:dyDescent="0.35">
      <c r="B161" s="3"/>
      <c r="C161" s="11"/>
      <c r="D161" s="10" t="s">
        <v>2</v>
      </c>
      <c r="E161" s="10"/>
      <c r="F161" s="10"/>
      <c r="G161" s="10"/>
      <c r="H161" s="10"/>
      <c r="I161" s="10"/>
      <c r="J161" s="10"/>
      <c r="K161" s="10"/>
      <c r="L161" s="10"/>
      <c r="M161" s="828">
        <f>L31</f>
        <v>404281225</v>
      </c>
      <c r="N161" s="3"/>
      <c r="O161" s="3"/>
      <c r="P161" s="2"/>
      <c r="Q161" s="2"/>
    </row>
    <row r="162" spans="1:26" x14ac:dyDescent="0.35">
      <c r="B162" s="3"/>
      <c r="C162" s="11"/>
      <c r="D162" s="10" t="s">
        <v>1</v>
      </c>
      <c r="E162" s="10"/>
      <c r="F162" s="10"/>
      <c r="G162" s="10"/>
      <c r="H162" s="10"/>
      <c r="I162" s="10"/>
      <c r="J162" s="10"/>
      <c r="K162" s="10"/>
      <c r="L162" s="10"/>
      <c r="M162" s="12">
        <f>M159-M161</f>
        <v>-109384</v>
      </c>
      <c r="N162" s="3"/>
      <c r="O162" s="3"/>
      <c r="P162" s="2"/>
      <c r="Q162" s="2"/>
    </row>
    <row r="163" spans="1:26" x14ac:dyDescent="0.35">
      <c r="B163" s="3"/>
      <c r="C163" s="11"/>
      <c r="D163" s="10" t="s">
        <v>0</v>
      </c>
      <c r="E163" s="10"/>
      <c r="F163" s="10"/>
      <c r="G163" s="10"/>
      <c r="H163" s="10"/>
      <c r="I163" s="10"/>
      <c r="J163" s="10"/>
      <c r="K163" s="10"/>
      <c r="L163" s="10"/>
      <c r="M163" s="9">
        <f>M159/M161-1</f>
        <v>-2.7056413515125222E-4</v>
      </c>
      <c r="N163" s="3"/>
      <c r="O163" s="3"/>
      <c r="P163" s="2"/>
      <c r="Q163" s="2"/>
    </row>
    <row r="164" spans="1:26" ht="15" thickBot="1" x14ac:dyDescent="0.4">
      <c r="B164" s="3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3"/>
      <c r="O164" s="3"/>
      <c r="P164" s="2"/>
      <c r="Q164" s="2"/>
    </row>
    <row r="165" spans="1:26" s="1" customForma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/>
      <c r="R165"/>
      <c r="S165"/>
      <c r="T165"/>
      <c r="U165"/>
      <c r="V165"/>
    </row>
    <row r="166" spans="1:26" s="1" customForma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2"/>
      <c r="R166"/>
      <c r="S166"/>
      <c r="T166"/>
      <c r="U166"/>
      <c r="V166"/>
    </row>
    <row r="167" spans="1:26" s="87" customFormat="1" x14ac:dyDescent="0.35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</row>
    <row r="168" spans="1:26" ht="15.5" x14ac:dyDescent="0.35">
      <c r="B168" s="298" t="s">
        <v>1512</v>
      </c>
    </row>
    <row r="169" spans="1:26" x14ac:dyDescent="0.35">
      <c r="B169" s="372" t="s">
        <v>1513</v>
      </c>
    </row>
    <row r="171" spans="1:26" ht="15" thickBot="1" x14ac:dyDescent="0.4">
      <c r="B171" s="42" t="str">
        <f>CONCATENATE($A$4," at Proposed T&amp;D Rates")</f>
        <v>SC2 Rate II at Proposed T&amp;D Rates</v>
      </c>
      <c r="C171" s="3"/>
      <c r="D171" s="3"/>
      <c r="E171" s="3"/>
      <c r="F171" s="3"/>
      <c r="G171" s="3"/>
      <c r="H171" s="3"/>
      <c r="K171" s="367" t="s">
        <v>426</v>
      </c>
      <c r="L171" s="368">
        <f>$L$10</f>
        <v>1.0119199999999999</v>
      </c>
      <c r="N171" s="344" t="str">
        <f>$A$4</f>
        <v>SC2 Rate II</v>
      </c>
    </row>
    <row r="172" spans="1:26" ht="15.5" thickTop="1" thickBot="1" x14ac:dyDescent="0.4">
      <c r="B172" s="41"/>
      <c r="H172" s="1307" t="s">
        <v>417</v>
      </c>
      <c r="I172" s="1308"/>
      <c r="J172" s="1309"/>
      <c r="L172" s="1253" t="s">
        <v>475</v>
      </c>
      <c r="N172" s="369" t="s">
        <v>42</v>
      </c>
    </row>
    <row r="173" spans="1:26" ht="15" thickTop="1" x14ac:dyDescent="0.35">
      <c r="B173" s="3"/>
      <c r="H173" s="30" t="s">
        <v>416</v>
      </c>
      <c r="I173" s="30" t="s">
        <v>418</v>
      </c>
      <c r="J173" s="36" t="s">
        <v>419</v>
      </c>
      <c r="L173" s="30" t="s">
        <v>425</v>
      </c>
      <c r="N173" s="36" t="s">
        <v>429</v>
      </c>
    </row>
    <row r="174" spans="1:26" s="1" customFormat="1" x14ac:dyDescent="0.35">
      <c r="A174"/>
      <c r="B174" s="126" t="s">
        <v>42</v>
      </c>
      <c r="C174" s="3" t="s">
        <v>163</v>
      </c>
      <c r="D174"/>
      <c r="E174"/>
      <c r="F174"/>
      <c r="G174"/>
      <c r="H174" s="223">
        <f>H125</f>
        <v>32.56</v>
      </c>
      <c r="I174" s="105">
        <f>T9</f>
        <v>11618</v>
      </c>
      <c r="J174" s="26">
        <f>ROUND(H174*I174,0)</f>
        <v>378282</v>
      </c>
      <c r="K174"/>
      <c r="L174" s="134">
        <f>ROUND(J174*(L$133-1),0)</f>
        <v>4509</v>
      </c>
      <c r="M174"/>
      <c r="N174" s="26">
        <f>J174+L174</f>
        <v>382791</v>
      </c>
      <c r="O174" s="465"/>
      <c r="R174"/>
      <c r="S174"/>
      <c r="T174"/>
      <c r="U174"/>
      <c r="V174"/>
      <c r="W174"/>
      <c r="X174"/>
      <c r="Y174"/>
      <c r="Z174"/>
    </row>
    <row r="175" spans="1:26" s="1" customFormat="1" x14ac:dyDescent="0.35">
      <c r="A175"/>
      <c r="B175"/>
      <c r="C175" s="121" t="str">
        <f>$F$84</f>
        <v>On Peak</v>
      </c>
      <c r="D175" s="121"/>
      <c r="E175" s="122"/>
      <c r="F175"/>
      <c r="G175"/>
      <c r="H175" s="223">
        <f t="shared" ref="H175:H176" si="1">H126</f>
        <v>0.3155</v>
      </c>
      <c r="I175" s="105">
        <f>V6</f>
        <v>15478338</v>
      </c>
      <c r="J175" s="26">
        <f>ROUND(H175*I175,0)</f>
        <v>4883416</v>
      </c>
      <c r="K175"/>
      <c r="L175" s="397"/>
      <c r="M175"/>
      <c r="N175" s="26">
        <f>J175+L175</f>
        <v>4883416</v>
      </c>
      <c r="O175"/>
      <c r="R175"/>
      <c r="S175"/>
      <c r="T175"/>
      <c r="U175"/>
      <c r="V175"/>
      <c r="W175"/>
      <c r="X175"/>
      <c r="Y175"/>
      <c r="Z175"/>
    </row>
    <row r="176" spans="1:26" s="1" customFormat="1" x14ac:dyDescent="0.35">
      <c r="A176"/>
      <c r="B176"/>
      <c r="C176" s="121" t="str">
        <f>$F$85</f>
        <v>Off Peak</v>
      </c>
      <c r="D176" s="36"/>
      <c r="E176" s="122"/>
      <c r="F176"/>
      <c r="G176"/>
      <c r="H176" s="223">
        <f t="shared" si="1"/>
        <v>1.15E-2</v>
      </c>
      <c r="I176" s="105">
        <f>V7</f>
        <v>20407730</v>
      </c>
      <c r="J176" s="26">
        <f>ROUND(H176*I176,0)</f>
        <v>234689</v>
      </c>
      <c r="K176"/>
      <c r="L176" s="397"/>
      <c r="M176"/>
      <c r="N176" s="26">
        <f>J176+L176</f>
        <v>234689</v>
      </c>
      <c r="O176"/>
      <c r="R176"/>
      <c r="S176"/>
      <c r="T176"/>
      <c r="U176"/>
      <c r="V176"/>
      <c r="W176"/>
      <c r="X176"/>
      <c r="Y176"/>
      <c r="Z176"/>
    </row>
    <row r="177" spans="1:26" s="1" customFormat="1" x14ac:dyDescent="0.35">
      <c r="A177"/>
      <c r="B177"/>
      <c r="C177" s="3" t="s">
        <v>420</v>
      </c>
      <c r="D177" s="3"/>
      <c r="E177" s="3"/>
      <c r="F177" s="3"/>
      <c r="G177"/>
      <c r="H177" s="223"/>
      <c r="I177" s="223"/>
      <c r="J177" s="32">
        <f>SUM(J174:J176)</f>
        <v>5496387</v>
      </c>
      <c r="K177"/>
      <c r="L177" s="32">
        <f>SUM(L174:L176)</f>
        <v>4509</v>
      </c>
      <c r="M177"/>
      <c r="N177" s="32">
        <f>SUM(N174:N176)</f>
        <v>5500896</v>
      </c>
      <c r="O177"/>
      <c r="R177"/>
      <c r="S177"/>
      <c r="T177"/>
      <c r="U177"/>
      <c r="V177"/>
      <c r="W177"/>
      <c r="X177"/>
      <c r="Y177"/>
      <c r="Z177"/>
    </row>
    <row r="178" spans="1:26" s="1" customFormat="1" x14ac:dyDescent="0.35">
      <c r="A178"/>
      <c r="C178" s="2"/>
      <c r="D178" s="121"/>
      <c r="E178" s="121"/>
      <c r="F178" s="361"/>
      <c r="H178" s="223"/>
      <c r="I178" s="362"/>
      <c r="J178" s="395"/>
      <c r="K178"/>
      <c r="O178"/>
      <c r="R178"/>
      <c r="S178"/>
      <c r="T178"/>
      <c r="U178"/>
      <c r="V178"/>
      <c r="W178"/>
      <c r="X178"/>
      <c r="Y178"/>
      <c r="Z178"/>
    </row>
    <row r="179" spans="1:26" s="1" customFormat="1" ht="15" thickBot="1" x14ac:dyDescent="0.4">
      <c r="A179"/>
      <c r="C179" s="2"/>
      <c r="D179" s="121"/>
      <c r="E179" s="121"/>
      <c r="F179" s="361"/>
      <c r="H179" s="223"/>
      <c r="I179" s="362"/>
      <c r="J179" s="223"/>
      <c r="K179"/>
      <c r="L179" s="368">
        <f>$L$11</f>
        <v>1.01067</v>
      </c>
      <c r="O179"/>
      <c r="R179"/>
      <c r="S179"/>
      <c r="T179"/>
      <c r="U179"/>
      <c r="V179"/>
      <c r="W179"/>
      <c r="X179"/>
      <c r="Y179"/>
      <c r="Z179"/>
    </row>
    <row r="180" spans="1:26" s="1" customFormat="1" ht="15.5" thickTop="1" thickBot="1" x14ac:dyDescent="0.4">
      <c r="A180"/>
      <c r="C180" s="2"/>
      <c r="D180" s="121"/>
      <c r="E180" s="121"/>
      <c r="F180" s="361"/>
      <c r="H180" s="1307" t="s">
        <v>417</v>
      </c>
      <c r="I180" s="1308"/>
      <c r="J180" s="1309"/>
      <c r="K180"/>
      <c r="L180" s="1253" t="s">
        <v>475</v>
      </c>
      <c r="N180" s="369" t="s">
        <v>40</v>
      </c>
      <c r="O180"/>
      <c r="R180"/>
      <c r="S180"/>
      <c r="T180"/>
      <c r="U180"/>
      <c r="V180"/>
      <c r="W180"/>
      <c r="X180"/>
      <c r="Y180"/>
      <c r="Z180"/>
    </row>
    <row r="181" spans="1:26" s="1" customFormat="1" ht="15" thickTop="1" x14ac:dyDescent="0.35">
      <c r="A181"/>
      <c r="C181" s="2"/>
      <c r="D181" s="121"/>
      <c r="E181" s="121"/>
      <c r="F181" s="361"/>
      <c r="H181" s="30" t="s">
        <v>416</v>
      </c>
      <c r="I181" s="30" t="s">
        <v>418</v>
      </c>
      <c r="J181" s="36" t="s">
        <v>419</v>
      </c>
      <c r="K181"/>
      <c r="L181" s="30" t="s">
        <v>425</v>
      </c>
      <c r="N181" s="36" t="s">
        <v>429</v>
      </c>
      <c r="O181"/>
      <c r="R181"/>
      <c r="S181"/>
      <c r="T181"/>
      <c r="U181"/>
      <c r="V181"/>
      <c r="W181"/>
      <c r="X181"/>
      <c r="Y181"/>
      <c r="Z181"/>
    </row>
    <row r="182" spans="1:26" s="1" customFormat="1" x14ac:dyDescent="0.35">
      <c r="A182"/>
      <c r="B182" s="126" t="s">
        <v>40</v>
      </c>
      <c r="C182" s="3" t="s">
        <v>163</v>
      </c>
      <c r="D182"/>
      <c r="E182"/>
      <c r="F182"/>
      <c r="H182" s="223">
        <f>J125</f>
        <v>32.56</v>
      </c>
      <c r="I182" s="105">
        <f>T14</f>
        <v>23236</v>
      </c>
      <c r="J182" s="26">
        <f>ROUND(H182*I182,0)</f>
        <v>756564</v>
      </c>
      <c r="K182"/>
      <c r="L182" s="134">
        <f>ROUND(J182*(L$141-1),0)</f>
        <v>8073</v>
      </c>
      <c r="N182" s="26">
        <f>J182+L182</f>
        <v>764637</v>
      </c>
      <c r="O182"/>
      <c r="R182"/>
      <c r="S182"/>
      <c r="T182"/>
      <c r="U182"/>
      <c r="V182"/>
      <c r="W182"/>
      <c r="X182"/>
      <c r="Y182"/>
      <c r="Z182"/>
    </row>
    <row r="183" spans="1:26" s="1" customFormat="1" x14ac:dyDescent="0.35">
      <c r="A183"/>
      <c r="B183"/>
      <c r="C183" s="121" t="str">
        <f>$F$84</f>
        <v>On Peak</v>
      </c>
      <c r="D183" s="121"/>
      <c r="E183" s="122"/>
      <c r="H183" s="223">
        <f t="shared" ref="H183:H184" si="2">J126</f>
        <v>0.15530000000000002</v>
      </c>
      <c r="I183" s="105">
        <f>V11</f>
        <v>29992321</v>
      </c>
      <c r="J183" s="26">
        <f>ROUND(H183*I183,0)</f>
        <v>4657807</v>
      </c>
      <c r="K183"/>
      <c r="L183" s="397"/>
      <c r="N183" s="26">
        <f>J183+L183</f>
        <v>4657807</v>
      </c>
      <c r="O183"/>
      <c r="R183"/>
      <c r="S183"/>
      <c r="T183"/>
      <c r="U183"/>
      <c r="V183"/>
      <c r="W183"/>
      <c r="X183"/>
      <c r="Y183"/>
      <c r="Z183"/>
    </row>
    <row r="184" spans="1:26" s="1" customFormat="1" x14ac:dyDescent="0.35">
      <c r="A184"/>
      <c r="B184"/>
      <c r="C184" s="121" t="str">
        <f>$F$85</f>
        <v>Off Peak</v>
      </c>
      <c r="D184" s="36"/>
      <c r="E184" s="122"/>
      <c r="H184" s="223">
        <f t="shared" si="2"/>
        <v>1.15E-2</v>
      </c>
      <c r="I184" s="105">
        <f>V12</f>
        <v>39787547</v>
      </c>
      <c r="J184" s="26">
        <f>ROUND(H184*I184,0)</f>
        <v>457557</v>
      </c>
      <c r="K184"/>
      <c r="L184" s="397"/>
      <c r="N184" s="26">
        <f>J184+L184</f>
        <v>457557</v>
      </c>
      <c r="O184"/>
      <c r="R184"/>
      <c r="S184"/>
      <c r="T184"/>
      <c r="U184"/>
      <c r="V184"/>
      <c r="W184"/>
      <c r="X184"/>
      <c r="Y184"/>
      <c r="Z184"/>
    </row>
    <row r="185" spans="1:26" s="1" customFormat="1" x14ac:dyDescent="0.35">
      <c r="A185"/>
      <c r="B185"/>
      <c r="C185" s="3" t="s">
        <v>421</v>
      </c>
      <c r="D185" s="3"/>
      <c r="E185" s="3"/>
      <c r="F185" s="3"/>
      <c r="H185" s="223"/>
      <c r="I185" s="223"/>
      <c r="J185" s="32">
        <f>SUM(J182:J184)</f>
        <v>5871928</v>
      </c>
      <c r="K185"/>
      <c r="L185" s="32">
        <f>SUM(L182:L184)</f>
        <v>8073</v>
      </c>
      <c r="N185" s="32">
        <f>SUM(N182:N184)</f>
        <v>5880001</v>
      </c>
      <c r="O185"/>
      <c r="R185"/>
      <c r="S185"/>
      <c r="T185"/>
      <c r="U185"/>
      <c r="V185"/>
      <c r="W185"/>
      <c r="X185"/>
      <c r="Y185"/>
      <c r="Z185"/>
    </row>
    <row r="186" spans="1:26" s="1" customFormat="1" ht="15" thickBot="1" x14ac:dyDescent="0.4">
      <c r="A186"/>
      <c r="C186" s="2"/>
      <c r="D186" s="121"/>
      <c r="E186" s="121"/>
      <c r="F186" s="361"/>
      <c r="H186" s="223"/>
      <c r="I186" s="362"/>
      <c r="J186" s="395"/>
      <c r="K186"/>
      <c r="N186" s="223"/>
      <c r="O186"/>
      <c r="R186"/>
      <c r="S186"/>
      <c r="T186"/>
      <c r="U186"/>
      <c r="V186"/>
      <c r="W186"/>
      <c r="X186"/>
      <c r="Y186"/>
      <c r="Z186"/>
    </row>
    <row r="187" spans="1:26" s="1" customFormat="1" ht="15.5" thickTop="1" thickBot="1" x14ac:dyDescent="0.4">
      <c r="A187"/>
      <c r="C187" s="25" t="str">
        <f>CONCATENATE($A$4," - Annual Revenue Price-Out at Proposed Rates:")</f>
        <v>SC2 Rate II - Annual Revenue Price-Out at Proposed Rates:</v>
      </c>
      <c r="D187" s="121"/>
      <c r="E187" s="121"/>
      <c r="F187" s="361"/>
      <c r="H187" s="223"/>
      <c r="I187" s="222" t="s">
        <v>427</v>
      </c>
      <c r="J187" s="243">
        <f>J177+J185</f>
        <v>11368315</v>
      </c>
      <c r="K187" s="222" t="s">
        <v>428</v>
      </c>
      <c r="L187" s="243">
        <f>L177+L185</f>
        <v>12582</v>
      </c>
      <c r="N187" s="333">
        <f>N177+N185</f>
        <v>11380897</v>
      </c>
      <c r="O187"/>
      <c r="R187"/>
      <c r="S187"/>
      <c r="T187"/>
      <c r="U187"/>
      <c r="V187"/>
      <c r="W187"/>
      <c r="X187"/>
      <c r="Y187"/>
      <c r="Z187"/>
    </row>
    <row r="188" spans="1:26" s="1" customFormat="1" ht="15" thickTop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R188"/>
      <c r="S188"/>
      <c r="T188"/>
      <c r="U188"/>
      <c r="V188"/>
      <c r="W188"/>
      <c r="X188"/>
      <c r="Y188"/>
      <c r="Z188"/>
    </row>
  </sheetData>
  <mergeCells count="10">
    <mergeCell ref="L80:N80"/>
    <mergeCell ref="L89:N89"/>
    <mergeCell ref="H121:J121"/>
    <mergeCell ref="M121:O121"/>
    <mergeCell ref="H134:J134"/>
    <mergeCell ref="H142:J142"/>
    <mergeCell ref="D154:F154"/>
    <mergeCell ref="H172:J172"/>
    <mergeCell ref="H180:J180"/>
    <mergeCell ref="H80:J80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&amp;P/&amp;N</oddFooter>
  </headerFooter>
  <rowBreaks count="2" manualBreakCount="2">
    <brk id="77" max="16383" man="1"/>
    <brk id="130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2"/>
  <dimension ref="A1:Y114"/>
  <sheetViews>
    <sheetView workbookViewId="0">
      <selection activeCell="J24" sqref="J24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9.7265625" customWidth="1"/>
    <col min="5" max="5" width="14.26953125" customWidth="1"/>
    <col min="6" max="6" width="14.72656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4" width="15.1796875" customWidth="1"/>
    <col min="15" max="15" width="13.26953125" customWidth="1"/>
    <col min="16" max="16" width="15" style="1" customWidth="1"/>
    <col min="17" max="17" width="6.7265625" style="1" hidden="1" customWidth="1"/>
    <col min="18" max="19" width="6.7265625" hidden="1" customWidth="1"/>
    <col min="20" max="20" width="14" customWidth="1"/>
    <col min="21" max="21" width="11.453125" hidden="1" customWidth="1"/>
    <col min="22" max="22" width="17.453125" customWidth="1"/>
    <col min="23" max="23" width="15.7265625" customWidth="1"/>
    <col min="24" max="24" width="17.453125" customWidth="1"/>
    <col min="25" max="25" width="18.81640625" customWidth="1"/>
    <col min="26" max="26" width="11.7265625" customWidth="1"/>
  </cols>
  <sheetData>
    <row r="1" spans="1:22" ht="18.5" x14ac:dyDescent="0.45">
      <c r="A1" s="447" t="s">
        <v>636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SC6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489</v>
      </c>
      <c r="B4" s="864"/>
      <c r="C4" s="3"/>
      <c r="D4" s="3"/>
      <c r="E4" s="3"/>
      <c r="F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410"/>
      <c r="B5" s="410"/>
      <c r="C5" s="3"/>
      <c r="D5" s="3"/>
      <c r="E5" s="3"/>
      <c r="F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B6" s="180"/>
      <c r="C6" s="180"/>
      <c r="D6" s="180"/>
      <c r="E6" s="490" t="str">
        <f>'10A.)EnergyRateDesignSummary'!D117</f>
        <v>Current</v>
      </c>
      <c r="F6" s="101" t="s">
        <v>521</v>
      </c>
      <c r="J6" t="s">
        <v>1382</v>
      </c>
      <c r="L6" s="687">
        <f>'[1]A1.)RatesInput'!$G$3</f>
        <v>2017</v>
      </c>
      <c r="M6" s="180"/>
      <c r="P6" s="165" t="s">
        <v>42</v>
      </c>
      <c r="Q6" s="164"/>
      <c r="R6" s="163"/>
      <c r="S6" s="164"/>
      <c r="T6" s="386">
        <f>'[2]4B.)HY_EnergyRatePxOut(Rate I)'!$L$112</f>
        <v>13640</v>
      </c>
      <c r="U6" s="161"/>
      <c r="V6" s="386">
        <f>'[2]4B.)HY_EnergyRatePxOut(Rate I)'!$M$112</f>
        <v>1964206</v>
      </c>
    </row>
    <row r="7" spans="1:22" ht="15" outlineLevel="1" thickBot="1" x14ac:dyDescent="0.4">
      <c r="A7" s="3"/>
      <c r="B7" s="3"/>
      <c r="C7" s="3"/>
      <c r="D7" s="3"/>
      <c r="E7" s="101"/>
      <c r="J7" s="3"/>
      <c r="K7" s="17"/>
      <c r="L7" s="118" t="str">
        <f>A4</f>
        <v>SC6</v>
      </c>
      <c r="M7" s="3"/>
      <c r="P7" s="170" t="s">
        <v>42</v>
      </c>
      <c r="Q7" s="159"/>
      <c r="R7" s="158"/>
      <c r="S7" s="159"/>
      <c r="T7" s="387">
        <f>'[2]4B.)HY_EnergyRatePxOut(Rate I)'!$L$113</f>
        <v>0</v>
      </c>
      <c r="U7" s="156"/>
      <c r="V7" s="387">
        <f>'[2]4B.)HY_EnergyRatePxOut(Rate I)'!$M$113</f>
        <v>0</v>
      </c>
    </row>
    <row r="8" spans="1:22" ht="15.5" outlineLevel="1" thickTop="1" thickBot="1" x14ac:dyDescent="0.4">
      <c r="A8" s="3" t="s">
        <v>489</v>
      </c>
      <c r="B8" s="3"/>
      <c r="C8" s="190" t="s">
        <v>163</v>
      </c>
      <c r="D8" s="3"/>
      <c r="E8" s="309">
        <f>'10A.)EnergyRateDesignSummary'!D120</f>
        <v>33.89</v>
      </c>
      <c r="F8" s="309">
        <f>'7A.)CustCharge_Summary'!$I$99</f>
        <v>36.6</v>
      </c>
      <c r="J8" s="410"/>
      <c r="K8" s="410"/>
      <c r="L8" s="410"/>
      <c r="M8" s="410"/>
      <c r="P8" s="168" t="s">
        <v>42</v>
      </c>
      <c r="Q8" s="155"/>
      <c r="R8" s="176"/>
      <c r="S8" s="711"/>
      <c r="T8" s="388"/>
      <c r="U8" s="191"/>
      <c r="V8" s="388"/>
    </row>
    <row r="9" spans="1:22" ht="15.5" outlineLevel="1" thickTop="1" thickBot="1" x14ac:dyDescent="0.4">
      <c r="A9" s="3"/>
      <c r="B9" s="3"/>
      <c r="C9" s="190"/>
      <c r="D9" s="3"/>
      <c r="E9" s="873"/>
      <c r="F9" s="873"/>
      <c r="J9" s="33" t="s">
        <v>139</v>
      </c>
      <c r="K9" s="17"/>
      <c r="L9" s="689">
        <v>1</v>
      </c>
      <c r="M9" s="411"/>
      <c r="S9" s="1"/>
      <c r="T9" s="717">
        <f>SUM(T6:T8)</f>
        <v>13640</v>
      </c>
      <c r="U9" s="151">
        <f>SUM(U6:U8)</f>
        <v>0</v>
      </c>
      <c r="V9" s="717">
        <f>SUM(V6:V8)</f>
        <v>1964206</v>
      </c>
    </row>
    <row r="10" spans="1:22" ht="15" outlineLevel="1" thickTop="1" x14ac:dyDescent="0.35">
      <c r="A10" s="3" t="s">
        <v>909</v>
      </c>
      <c r="B10" s="3"/>
      <c r="C10" s="3"/>
      <c r="D10" s="3"/>
      <c r="E10" s="310">
        <f>'10A.)EnergyRateDesignSummary'!D121</f>
        <v>5.6899999999999999E-2</v>
      </c>
      <c r="F10" s="310">
        <f>H79</f>
        <v>6.93E-2</v>
      </c>
      <c r="J10" s="33" t="s">
        <v>137</v>
      </c>
      <c r="K10" s="17"/>
      <c r="L10" s="689">
        <v>1</v>
      </c>
      <c r="M10" s="410"/>
      <c r="V10" s="1"/>
    </row>
    <row r="11" spans="1:22" outlineLevel="1" x14ac:dyDescent="0.35">
      <c r="A11" s="3"/>
      <c r="B11" s="3"/>
      <c r="C11" s="3"/>
      <c r="D11" s="3"/>
      <c r="E11" s="873"/>
      <c r="F11" s="873"/>
      <c r="J11" s="33" t="s">
        <v>136</v>
      </c>
      <c r="K11" s="17"/>
      <c r="L11" s="689">
        <v>1</v>
      </c>
      <c r="M11" s="410"/>
      <c r="P11" s="165" t="s">
        <v>40</v>
      </c>
      <c r="Q11" s="164"/>
      <c r="R11" s="163"/>
      <c r="S11" s="162"/>
      <c r="T11" s="386">
        <f>'[2]4B.)HY_EnergyRatePxOut(Rate I)'!$L$107</f>
        <v>27359</v>
      </c>
      <c r="U11" s="161"/>
      <c r="V11" s="386">
        <f>'[2]4B.)HY_EnergyRatePxOut(Rate I)'!$M$107</f>
        <v>5541507</v>
      </c>
    </row>
    <row r="12" spans="1:22" outlineLevel="1" x14ac:dyDescent="0.35">
      <c r="A12" s="3" t="s">
        <v>910</v>
      </c>
      <c r="B12" s="3"/>
      <c r="C12" s="3"/>
      <c r="D12" s="3"/>
      <c r="E12" s="310">
        <f>'10A.)EnergyRateDesignSummary'!D122</f>
        <v>5.6899999999999999E-2</v>
      </c>
      <c r="F12" s="310">
        <f>J79</f>
        <v>6.93E-2</v>
      </c>
      <c r="P12" s="160" t="s">
        <v>40</v>
      </c>
      <c r="Q12" s="159"/>
      <c r="R12" s="158"/>
      <c r="S12" s="157"/>
      <c r="T12" s="387">
        <f>'[2]4B.)HY_EnergyRatePxOut(Rate I)'!$L$108</f>
        <v>0</v>
      </c>
      <c r="U12" s="156"/>
      <c r="V12" s="387">
        <f>'[2]4B.)HY_EnergyRatePxOut(Rate I)'!$M$108</f>
        <v>0</v>
      </c>
    </row>
    <row r="13" spans="1:22" ht="15" outlineLevel="1" thickBot="1" x14ac:dyDescent="0.4">
      <c r="A13" s="3"/>
      <c r="B13" s="3"/>
      <c r="C13" s="3"/>
      <c r="D13" s="3"/>
      <c r="E13" s="873"/>
      <c r="F13" s="873"/>
      <c r="I13" s="3"/>
      <c r="P13" s="155" t="s">
        <v>40</v>
      </c>
      <c r="Q13" s="154"/>
      <c r="R13" s="154"/>
      <c r="S13" s="154"/>
      <c r="T13" s="388"/>
      <c r="U13" s="191"/>
      <c r="V13" s="388"/>
    </row>
    <row r="14" spans="1:22" ht="15.5" outlineLevel="1" thickTop="1" thickBot="1" x14ac:dyDescent="0.4">
      <c r="A14" s="3"/>
      <c r="B14" s="3"/>
      <c r="C14" s="3"/>
      <c r="D14" s="3"/>
      <c r="E14" s="311"/>
      <c r="F14" s="311"/>
      <c r="J14" s="33" t="s">
        <v>1483</v>
      </c>
      <c r="K14" s="17"/>
      <c r="L14" s="690">
        <f>ROUND('[2]6B.)RateChgAllocation'!$E$34/'[2]6B.)RateChgAllocation'!$H$34,8)</f>
        <v>0.21743721999999999</v>
      </c>
      <c r="M14" s="406"/>
      <c r="Q14" s="2"/>
      <c r="R14" s="3"/>
      <c r="S14" s="3"/>
      <c r="T14" s="717">
        <f>SUM(T11:T13)</f>
        <v>27359</v>
      </c>
      <c r="U14" s="151">
        <f>SUM(U11:U13)</f>
        <v>0</v>
      </c>
      <c r="V14" s="717">
        <f>SUM(V11:V13)</f>
        <v>5541507</v>
      </c>
    </row>
    <row r="15" spans="1:22" ht="15" outlineLevel="1" thickTop="1" x14ac:dyDescent="0.35">
      <c r="A15" s="3"/>
      <c r="B15" s="3"/>
      <c r="C15" s="3"/>
      <c r="D15" s="3"/>
      <c r="E15" s="410"/>
      <c r="F15" s="410"/>
      <c r="G15" s="3"/>
      <c r="H15" s="3"/>
      <c r="L15" s="408"/>
      <c r="M15" s="408"/>
      <c r="Q15" s="2"/>
      <c r="R15" s="3"/>
      <c r="S15" s="3"/>
      <c r="T15" s="150"/>
      <c r="U15" s="150"/>
      <c r="V15" s="150"/>
    </row>
    <row r="16" spans="1:22" outlineLevel="1" x14ac:dyDescent="0.35">
      <c r="A16" s="3"/>
      <c r="B16" s="3"/>
      <c r="C16" s="3"/>
      <c r="D16" s="3"/>
      <c r="E16" s="3"/>
      <c r="F16" s="3"/>
      <c r="G16" s="3"/>
      <c r="H16" s="3"/>
      <c r="J16" s="33" t="s">
        <v>490</v>
      </c>
      <c r="L16" s="728">
        <f>'7A.)CustCharge_Summary'!$I$10</f>
        <v>40999</v>
      </c>
      <c r="M16" s="406"/>
      <c r="Q16" s="2"/>
      <c r="R16" s="3"/>
      <c r="S16" s="3"/>
      <c r="T16" s="150"/>
      <c r="U16" s="150"/>
      <c r="V16" s="150"/>
    </row>
    <row r="17" spans="1:25" outlineLevel="1" x14ac:dyDescent="0.35">
      <c r="A17" s="3"/>
      <c r="B17" s="3"/>
      <c r="C17" s="3"/>
      <c r="D17" s="3"/>
      <c r="E17" s="3"/>
      <c r="F17" s="3"/>
      <c r="G17" s="3"/>
      <c r="H17" s="3"/>
      <c r="J17" s="33"/>
      <c r="L17" s="412"/>
      <c r="M17" s="408"/>
    </row>
    <row r="18" spans="1:25" outlineLevel="1" x14ac:dyDescent="0.35">
      <c r="A18" s="3"/>
      <c r="B18" s="3"/>
      <c r="C18" s="3"/>
      <c r="D18" s="3"/>
      <c r="E18" s="3"/>
      <c r="F18" s="3"/>
      <c r="G18" s="3"/>
      <c r="H18" s="3"/>
      <c r="J18" s="33"/>
      <c r="L18" s="408"/>
      <c r="M18" s="408"/>
    </row>
    <row r="19" spans="1:25" outlineLevel="1" x14ac:dyDescent="0.35">
      <c r="A19" s="3"/>
      <c r="B19" s="3"/>
      <c r="C19" s="3"/>
      <c r="D19" s="3"/>
      <c r="E19" s="3"/>
      <c r="F19" s="3"/>
      <c r="G19" s="3"/>
      <c r="H19" s="3"/>
      <c r="L19" s="408" t="s">
        <v>135</v>
      </c>
    </row>
    <row r="20" spans="1:25" outlineLevel="1" x14ac:dyDescent="0.35">
      <c r="A20" s="3"/>
      <c r="B20" s="3"/>
      <c r="C20" s="3"/>
      <c r="D20" s="3"/>
      <c r="E20" s="3"/>
      <c r="F20" s="3"/>
      <c r="G20" s="3"/>
      <c r="J20" s="33" t="s">
        <v>491</v>
      </c>
    </row>
    <row r="21" spans="1:25" outlineLevel="1" x14ac:dyDescent="0.35">
      <c r="A21" s="3"/>
      <c r="B21" s="3"/>
      <c r="C21" s="3"/>
      <c r="D21" s="3"/>
      <c r="E21" s="3"/>
      <c r="F21" s="3"/>
      <c r="G21" s="230"/>
      <c r="H21" s="3"/>
      <c r="J21" s="33" t="s">
        <v>492</v>
      </c>
      <c r="L21" s="727">
        <f>'[2]4B.)HY_EnergyRatePxOut(Rate I)'!$V$116</f>
        <v>1389457</v>
      </c>
    </row>
    <row r="22" spans="1:25" outlineLevel="1" x14ac:dyDescent="0.35">
      <c r="A22" s="3"/>
      <c r="B22" s="3"/>
      <c r="C22" s="3"/>
      <c r="D22" s="3"/>
      <c r="E22" s="3"/>
      <c r="F22" s="3"/>
      <c r="G22" s="230"/>
      <c r="H22" s="3"/>
      <c r="J22" s="33" t="s">
        <v>1456</v>
      </c>
      <c r="L22" s="727">
        <f>'[2]4B.)HY_EnergyRatePxOut(Rate I)'!$V$117+'[2]4B.)HY_EnergyRatePxOut(Rate I)'!$V$118</f>
        <v>427075</v>
      </c>
    </row>
    <row r="23" spans="1:25" outlineLevel="1" x14ac:dyDescent="0.35">
      <c r="J23" s="33" t="s">
        <v>493</v>
      </c>
    </row>
    <row r="24" spans="1:25" outlineLevel="1" x14ac:dyDescent="0.35">
      <c r="L24" s="406"/>
      <c r="M24" s="406"/>
      <c r="T24" s="366"/>
      <c r="V24" s="150"/>
      <c r="Y24" s="150"/>
    </row>
    <row r="25" spans="1:25" outlineLevel="1" x14ac:dyDescent="0.35">
      <c r="J25" s="33" t="s">
        <v>508</v>
      </c>
      <c r="L25" s="727">
        <f>'[2]6B.)RateChgAllocation'!$M$34</f>
        <v>92862</v>
      </c>
      <c r="T25" s="150"/>
      <c r="U25" s="150"/>
      <c r="V25" s="150"/>
    </row>
    <row r="26" spans="1:25" outlineLevel="1" x14ac:dyDescent="0.35">
      <c r="J26" s="33" t="s">
        <v>496</v>
      </c>
      <c r="L26" s="727">
        <f>'[2]6A.)RateChange'!$BJ$34</f>
        <v>2020500</v>
      </c>
      <c r="M26" s="407"/>
    </row>
    <row r="27" spans="1:25" outlineLevel="1" x14ac:dyDescent="0.35">
      <c r="J27" s="33"/>
      <c r="L27" s="407"/>
      <c r="M27" s="407"/>
    </row>
    <row r="28" spans="1:25" outlineLevel="1" x14ac:dyDescent="0.35"/>
    <row r="29" spans="1:25" s="148" customFormat="1" outlineLevel="1" x14ac:dyDescent="0.35"/>
    <row r="30" spans="1:25" x14ac:dyDescent="0.35">
      <c r="A30" s="407" t="s">
        <v>1651</v>
      </c>
      <c r="B30" s="147"/>
      <c r="C30" s="131"/>
      <c r="D30" s="131"/>
      <c r="E30" s="131"/>
      <c r="F30" s="131"/>
    </row>
    <row r="31" spans="1:25" x14ac:dyDescent="0.35">
      <c r="A31" s="126"/>
      <c r="B31" s="407" t="s">
        <v>150</v>
      </c>
      <c r="C31" s="706">
        <f>$L$3</f>
        <v>2019</v>
      </c>
      <c r="D31" s="131"/>
      <c r="E31" s="131"/>
      <c r="F31" s="131"/>
    </row>
    <row r="32" spans="1:25" x14ac:dyDescent="0.35">
      <c r="A32" s="131"/>
      <c r="B32" s="131" t="s">
        <v>5</v>
      </c>
      <c r="C32" s="706">
        <f>$L$4</f>
        <v>2020</v>
      </c>
      <c r="D32" s="131"/>
      <c r="E32" s="131"/>
      <c r="F32" s="131"/>
    </row>
    <row r="33" spans="1:17" x14ac:dyDescent="0.35">
      <c r="B33" s="41" t="str">
        <f>$A$4</f>
        <v>SC6</v>
      </c>
      <c r="C33" s="380" t="s">
        <v>458</v>
      </c>
      <c r="D33" s="133"/>
      <c r="E33" s="133"/>
      <c r="F33" s="133"/>
      <c r="P33"/>
      <c r="Q33"/>
    </row>
    <row r="34" spans="1:17" x14ac:dyDescent="0.35">
      <c r="C34" t="s">
        <v>1425</v>
      </c>
      <c r="J34" s="894">
        <f>L22</f>
        <v>427075</v>
      </c>
      <c r="K34" s="892" t="s">
        <v>79</v>
      </c>
      <c r="P34"/>
      <c r="Q34"/>
    </row>
    <row r="35" spans="1:17" x14ac:dyDescent="0.35">
      <c r="C35" t="s">
        <v>1457</v>
      </c>
      <c r="J35" s="894">
        <f>L25</f>
        <v>92862</v>
      </c>
      <c r="K35" s="892" t="s">
        <v>78</v>
      </c>
      <c r="P35"/>
      <c r="Q35"/>
    </row>
    <row r="36" spans="1:17" ht="15" thickBot="1" x14ac:dyDescent="0.4">
      <c r="J36" s="130"/>
      <c r="P36"/>
      <c r="Q36"/>
    </row>
    <row r="37" spans="1:17" ht="15.5" thickTop="1" thickBot="1" x14ac:dyDescent="0.4">
      <c r="C37" s="75" t="s">
        <v>494</v>
      </c>
      <c r="D37" s="75"/>
      <c r="E37" s="75"/>
      <c r="F37" s="75"/>
      <c r="J37" s="740">
        <f>J34+J35</f>
        <v>519937</v>
      </c>
      <c r="K37" s="892" t="s">
        <v>1580</v>
      </c>
      <c r="P37"/>
      <c r="Q37"/>
    </row>
    <row r="38" spans="1:17" ht="15" thickTop="1" x14ac:dyDescent="0.35">
      <c r="L38" s="141"/>
    </row>
    <row r="39" spans="1:17" x14ac:dyDescent="0.35">
      <c r="A39" s="406"/>
      <c r="L39" s="141"/>
    </row>
    <row r="40" spans="1:17" x14ac:dyDescent="0.35">
      <c r="A40" s="407" t="s">
        <v>413</v>
      </c>
      <c r="P40"/>
      <c r="Q40"/>
    </row>
    <row r="41" spans="1:17" ht="15" thickBot="1" x14ac:dyDescent="0.4">
      <c r="A41" s="406"/>
    </row>
    <row r="42" spans="1:17" ht="15.5" thickTop="1" thickBot="1" x14ac:dyDescent="0.4">
      <c r="A42" s="406"/>
      <c r="B42" s="41" t="str">
        <f>$A$4</f>
        <v>SC6</v>
      </c>
      <c r="C42" s="3"/>
      <c r="D42" s="3"/>
      <c r="E42" s="3"/>
      <c r="F42" s="3"/>
      <c r="G42" s="3"/>
      <c r="H42" s="1316" t="s">
        <v>680</v>
      </c>
      <c r="I42" s="1317"/>
      <c r="J42" s="1318"/>
      <c r="K42" s="3"/>
      <c r="L42" s="1307" t="s">
        <v>81</v>
      </c>
      <c r="M42" s="1308"/>
      <c r="N42" s="1309"/>
      <c r="P42"/>
      <c r="Q42"/>
    </row>
    <row r="43" spans="1:17" ht="15" thickTop="1" x14ac:dyDescent="0.35">
      <c r="A43" s="406"/>
      <c r="B43" s="3"/>
      <c r="C43" s="3"/>
      <c r="E43" s="30"/>
      <c r="F43" s="3"/>
      <c r="G43" s="3"/>
      <c r="H43" s="30" t="s">
        <v>42</v>
      </c>
      <c r="I43" s="30"/>
      <c r="J43" s="30" t="s">
        <v>40</v>
      </c>
      <c r="K43" s="3"/>
      <c r="L43" s="30" t="s">
        <v>42</v>
      </c>
      <c r="M43" s="86"/>
      <c r="N43" s="30" t="s">
        <v>40</v>
      </c>
      <c r="P43"/>
      <c r="Q43"/>
    </row>
    <row r="44" spans="1:17" x14ac:dyDescent="0.35">
      <c r="A44" s="406"/>
      <c r="B44" s="3"/>
      <c r="C44" s="3"/>
      <c r="G44" s="3"/>
      <c r="H44" s="35"/>
      <c r="I44" s="35"/>
      <c r="J44" s="35"/>
      <c r="K44" s="3"/>
      <c r="L44" s="30"/>
      <c r="M44" s="86"/>
      <c r="N44" s="30"/>
      <c r="P44"/>
      <c r="Q44"/>
    </row>
    <row r="45" spans="1:17" x14ac:dyDescent="0.35">
      <c r="A45" s="406"/>
      <c r="B45" s="3"/>
      <c r="C45" s="3"/>
      <c r="G45" s="3"/>
      <c r="H45" s="35"/>
      <c r="I45" s="892"/>
      <c r="J45" s="35"/>
      <c r="K45" s="892"/>
      <c r="L45" s="30"/>
      <c r="M45" s="86"/>
      <c r="N45" s="30"/>
      <c r="P45"/>
      <c r="Q45"/>
    </row>
    <row r="46" spans="1:17" x14ac:dyDescent="0.35">
      <c r="C46" t="s">
        <v>13</v>
      </c>
      <c r="E46" s="123"/>
      <c r="G46" s="123"/>
      <c r="H46" s="348">
        <f>E10</f>
        <v>5.6899999999999999E-2</v>
      </c>
      <c r="I46" s="892" t="s">
        <v>165</v>
      </c>
      <c r="J46" s="348">
        <f>E12</f>
        <v>5.6899999999999999E-2</v>
      </c>
      <c r="K46" s="892" t="s">
        <v>166</v>
      </c>
      <c r="L46" s="27">
        <f>H46-J$46</f>
        <v>0</v>
      </c>
      <c r="M46" s="61" t="s">
        <v>1192</v>
      </c>
      <c r="N46" s="413"/>
      <c r="O46" s="61" t="s">
        <v>101</v>
      </c>
      <c r="P46"/>
      <c r="Q46"/>
    </row>
    <row r="47" spans="1:17" x14ac:dyDescent="0.35">
      <c r="B47" s="3"/>
      <c r="C47" s="3"/>
      <c r="D47" s="3"/>
      <c r="E47" s="3"/>
      <c r="F47" s="3"/>
      <c r="G47" s="36"/>
      <c r="P47"/>
      <c r="Q47"/>
    </row>
    <row r="48" spans="1:17" x14ac:dyDescent="0.35">
      <c r="B48" s="3"/>
      <c r="E48" s="123"/>
      <c r="F48" s="123"/>
      <c r="G48" s="36"/>
      <c r="I48" s="120"/>
      <c r="J48" s="120"/>
      <c r="K48" s="3"/>
      <c r="L48" s="27"/>
      <c r="M48" s="61"/>
      <c r="N48" s="61"/>
      <c r="P48"/>
      <c r="Q48"/>
    </row>
    <row r="49" spans="2:17" x14ac:dyDescent="0.35">
      <c r="K49" s="100"/>
      <c r="N49" s="61"/>
      <c r="O49" s="3"/>
    </row>
    <row r="50" spans="2:17" x14ac:dyDescent="0.35">
      <c r="D50" s="1"/>
      <c r="E50" s="1"/>
      <c r="F50" s="1"/>
      <c r="K50" s="3"/>
      <c r="L50" s="3"/>
      <c r="M50" s="3"/>
      <c r="N50" s="3"/>
      <c r="P50"/>
      <c r="Q50"/>
    </row>
    <row r="51" spans="2:17" ht="15" thickBot="1" x14ac:dyDescent="0.4">
      <c r="C51" s="70" t="s">
        <v>77</v>
      </c>
      <c r="D51" s="1"/>
      <c r="E51" s="1"/>
      <c r="F51" s="1"/>
      <c r="G51" s="118" t="s">
        <v>42</v>
      </c>
      <c r="H51" s="118" t="s">
        <v>40</v>
      </c>
      <c r="K51" s="3"/>
      <c r="L51" s="3"/>
      <c r="M51" s="3"/>
      <c r="N51" s="3"/>
      <c r="P51"/>
      <c r="Q51"/>
    </row>
    <row r="52" spans="2:17" ht="15" thickBot="1" x14ac:dyDescent="0.4">
      <c r="C52" t="s">
        <v>377</v>
      </c>
      <c r="D52" s="121"/>
      <c r="E52" s="122"/>
      <c r="F52" s="121"/>
      <c r="G52" s="414" t="str">
        <f>CONCATENATE("X + ",L46)</f>
        <v>X + 0</v>
      </c>
      <c r="H52" s="415" t="s">
        <v>32</v>
      </c>
      <c r="K52" s="3"/>
      <c r="L52" s="3"/>
      <c r="M52" s="3"/>
      <c r="N52" s="3"/>
      <c r="P52"/>
      <c r="Q52"/>
    </row>
    <row r="53" spans="2:17" x14ac:dyDescent="0.35">
      <c r="D53" s="1"/>
      <c r="E53" s="1"/>
      <c r="F53" s="1"/>
      <c r="P53"/>
      <c r="Q53"/>
    </row>
    <row r="54" spans="2:17" x14ac:dyDescent="0.35">
      <c r="D54" s="1"/>
      <c r="E54" s="1"/>
      <c r="F54" s="1"/>
      <c r="P54"/>
      <c r="Q54"/>
    </row>
    <row r="55" spans="2:17" x14ac:dyDescent="0.35">
      <c r="B55" s="42" t="s">
        <v>46</v>
      </c>
      <c r="P55"/>
      <c r="Q55"/>
    </row>
    <row r="56" spans="2:17" x14ac:dyDescent="0.35">
      <c r="B56" s="41" t="str">
        <f>$A$4</f>
        <v>SC6</v>
      </c>
      <c r="P56"/>
      <c r="Q56"/>
    </row>
    <row r="57" spans="2:17" ht="15" thickBot="1" x14ac:dyDescent="0.4">
      <c r="B57" s="70" t="s">
        <v>414</v>
      </c>
      <c r="C57" s="70"/>
      <c r="D57" s="70"/>
      <c r="E57" s="3"/>
      <c r="F57" s="3"/>
      <c r="I57" s="30" t="s">
        <v>44</v>
      </c>
      <c r="J57" s="3"/>
      <c r="K57" s="3"/>
      <c r="P57"/>
      <c r="Q57"/>
    </row>
    <row r="58" spans="2:17" x14ac:dyDescent="0.35">
      <c r="B58" s="3"/>
      <c r="C58" s="3" t="s">
        <v>42</v>
      </c>
      <c r="D58" s="108"/>
      <c r="I58" s="72">
        <f>V6</f>
        <v>1964206</v>
      </c>
      <c r="J58" s="36" t="s">
        <v>39</v>
      </c>
      <c r="K58" s="74" t="str">
        <f>CONCATENATE("[",G52,"]")</f>
        <v>[X + 0]</v>
      </c>
      <c r="L58" s="61" t="s">
        <v>1641</v>
      </c>
      <c r="P58"/>
      <c r="Q58"/>
    </row>
    <row r="59" spans="2:17" ht="15" thickBot="1" x14ac:dyDescent="0.4">
      <c r="B59" s="3"/>
      <c r="C59" s="3" t="s">
        <v>40</v>
      </c>
      <c r="D59" s="3"/>
      <c r="I59" s="67">
        <f>V11</f>
        <v>5541507</v>
      </c>
      <c r="J59" s="36" t="s">
        <v>39</v>
      </c>
      <c r="K59" s="71" t="str">
        <f>CONCATENATE("[",H52,"]")</f>
        <v>[X]</v>
      </c>
      <c r="L59" s="61" t="s">
        <v>1642</v>
      </c>
      <c r="P59"/>
      <c r="Q59"/>
    </row>
    <row r="60" spans="2:17" x14ac:dyDescent="0.35">
      <c r="I60" s="366">
        <f>I58+I59</f>
        <v>7505713</v>
      </c>
      <c r="J60" s="61" t="s">
        <v>100</v>
      </c>
    </row>
    <row r="62" spans="2:17" x14ac:dyDescent="0.35">
      <c r="B62" s="70" t="s">
        <v>472</v>
      </c>
      <c r="P62"/>
      <c r="Q62"/>
    </row>
    <row r="63" spans="2:17" x14ac:dyDescent="0.35">
      <c r="B63" s="41" t="str">
        <f>$A$4</f>
        <v>SC6</v>
      </c>
      <c r="F63" s="3"/>
      <c r="G63" s="3"/>
      <c r="H63" s="3"/>
      <c r="I63" s="69" t="s">
        <v>25</v>
      </c>
      <c r="J63" s="3"/>
      <c r="K63" s="106"/>
      <c r="L63" s="3"/>
      <c r="M63" s="3"/>
      <c r="N63" s="17"/>
      <c r="P63"/>
      <c r="Q63"/>
    </row>
    <row r="64" spans="2:17" ht="15.75" customHeight="1" x14ac:dyDescent="0.35">
      <c r="C64" s="3" t="s">
        <v>42</v>
      </c>
      <c r="D64" s="392"/>
      <c r="H64" s="3"/>
      <c r="I64" s="105">
        <f>I58</f>
        <v>1964206</v>
      </c>
      <c r="J64" s="65" t="s">
        <v>63</v>
      </c>
      <c r="K64" s="26">
        <f>ROUND(I64*L46,0)</f>
        <v>0</v>
      </c>
      <c r="L64" s="3" t="s">
        <v>62</v>
      </c>
      <c r="M64" s="61" t="s">
        <v>1643</v>
      </c>
      <c r="N64" s="17"/>
      <c r="P64"/>
      <c r="Q64"/>
    </row>
    <row r="65" spans="2:17" x14ac:dyDescent="0.35">
      <c r="C65" s="3" t="s">
        <v>40</v>
      </c>
      <c r="D65" s="392"/>
      <c r="H65" s="3"/>
      <c r="I65" s="351">
        <f>I59</f>
        <v>5541507</v>
      </c>
      <c r="J65" s="65" t="s">
        <v>63</v>
      </c>
      <c r="K65" s="37">
        <f>ROUND(I65*N46,0)</f>
        <v>0</v>
      </c>
      <c r="L65" s="3" t="s">
        <v>62</v>
      </c>
      <c r="M65" s="61" t="s">
        <v>1644</v>
      </c>
      <c r="N65" s="17"/>
      <c r="P65"/>
      <c r="Q65"/>
    </row>
    <row r="66" spans="2:17" x14ac:dyDescent="0.35">
      <c r="C66" s="3"/>
      <c r="F66" s="66"/>
      <c r="G66" s="908">
        <f>J37</f>
        <v>519937</v>
      </c>
      <c r="H66" s="63" t="s">
        <v>31</v>
      </c>
      <c r="I66" s="28">
        <f>SUM(I64:I65)</f>
        <v>7505713</v>
      </c>
      <c r="J66" s="65" t="s">
        <v>63</v>
      </c>
      <c r="K66" s="103">
        <f>SUM(K64:K65)</f>
        <v>0</v>
      </c>
      <c r="L66" s="3" t="s">
        <v>1646</v>
      </c>
      <c r="M66" s="61" t="s">
        <v>1645</v>
      </c>
      <c r="N66" s="17"/>
      <c r="P66"/>
      <c r="Q66"/>
    </row>
    <row r="67" spans="2:17" x14ac:dyDescent="0.35">
      <c r="F67" s="3"/>
      <c r="G67" s="3"/>
      <c r="H67" s="3"/>
      <c r="I67" s="3"/>
      <c r="J67" s="3"/>
      <c r="K67" s="3"/>
      <c r="L67" s="3"/>
      <c r="M67" s="61" t="s">
        <v>1647</v>
      </c>
      <c r="N67" s="17"/>
      <c r="P67"/>
      <c r="Q67"/>
    </row>
    <row r="68" spans="2:17" x14ac:dyDescent="0.35">
      <c r="B68" s="406"/>
      <c r="F68" s="34"/>
      <c r="G68" s="34">
        <f>G66-K66</f>
        <v>519937</v>
      </c>
      <c r="H68" s="63" t="s">
        <v>31</v>
      </c>
      <c r="I68" s="28">
        <f>I66</f>
        <v>7505713</v>
      </c>
      <c r="J68" s="65" t="s">
        <v>32</v>
      </c>
      <c r="K68" s="3"/>
      <c r="L68" s="3"/>
      <c r="M68" s="17"/>
      <c r="N68" s="17"/>
      <c r="P68"/>
      <c r="Q68"/>
    </row>
    <row r="69" spans="2:17" ht="15" thickBot="1" x14ac:dyDescent="0.4">
      <c r="B69" s="406"/>
      <c r="F69" s="3"/>
      <c r="G69" s="3"/>
      <c r="H69" s="3"/>
      <c r="I69" s="3"/>
      <c r="J69" s="3"/>
      <c r="K69" s="34"/>
      <c r="L69" s="34"/>
      <c r="M69" s="34"/>
      <c r="N69" s="17"/>
      <c r="P69"/>
      <c r="Q69"/>
    </row>
    <row r="70" spans="2:17" ht="15.5" thickTop="1" thickBot="1" x14ac:dyDescent="0.4">
      <c r="B70" s="406"/>
      <c r="F70" s="64"/>
      <c r="G70" s="101" t="s">
        <v>32</v>
      </c>
      <c r="H70" s="63" t="s">
        <v>31</v>
      </c>
      <c r="I70" s="352">
        <f>ROUND(G68/I68,4)</f>
        <v>6.93E-2</v>
      </c>
      <c r="J70" s="61" t="s">
        <v>1090</v>
      </c>
      <c r="K70" s="143"/>
      <c r="L70" s="17"/>
      <c r="M70" s="61" t="s">
        <v>1648</v>
      </c>
      <c r="N70" s="17"/>
      <c r="P70"/>
      <c r="Q70"/>
    </row>
    <row r="71" spans="2:17" ht="15" thickTop="1" x14ac:dyDescent="0.35">
      <c r="B71" s="406"/>
      <c r="P71"/>
      <c r="Q71"/>
    </row>
    <row r="72" spans="2:17" x14ac:dyDescent="0.35">
      <c r="B72" s="406"/>
    </row>
    <row r="73" spans="2:17" x14ac:dyDescent="0.35">
      <c r="B73" s="334" t="str">
        <f>CONCATENATE($A$4," at Proposed T&amp;D Rates")</f>
        <v>SC6 at Proposed T&amp;D Rates</v>
      </c>
      <c r="P73"/>
      <c r="Q73"/>
    </row>
    <row r="74" spans="2:17" ht="15" thickBot="1" x14ac:dyDescent="0.4">
      <c r="B74" s="334"/>
      <c r="P74"/>
      <c r="Q74"/>
    </row>
    <row r="75" spans="2:17" ht="15" thickBot="1" x14ac:dyDescent="0.4">
      <c r="B75" s="406"/>
      <c r="C75" s="60" t="s">
        <v>5</v>
      </c>
      <c r="D75" s="901">
        <f>$L$4</f>
        <v>2020</v>
      </c>
      <c r="E75" s="58"/>
      <c r="F75" s="58"/>
      <c r="G75" s="59"/>
      <c r="H75" s="59"/>
      <c r="I75" s="59"/>
      <c r="J75" s="59"/>
      <c r="K75" s="98"/>
      <c r="L75" s="3"/>
      <c r="M75" s="3"/>
      <c r="N75" s="17"/>
      <c r="O75" s="3"/>
      <c r="P75"/>
      <c r="Q75"/>
    </row>
    <row r="76" spans="2:17" ht="15.5" thickTop="1" thickBot="1" x14ac:dyDescent="0.4">
      <c r="B76" s="406"/>
      <c r="C76" s="96"/>
      <c r="D76" s="44"/>
      <c r="E76" s="44"/>
      <c r="F76" s="44"/>
      <c r="G76" s="44"/>
      <c r="H76" s="1341" t="s">
        <v>415</v>
      </c>
      <c r="I76" s="1342"/>
      <c r="J76" s="1343"/>
      <c r="K76" s="94"/>
      <c r="L76" s="3"/>
      <c r="M76" s="1307" t="s">
        <v>471</v>
      </c>
      <c r="N76" s="1308"/>
      <c r="O76" s="1309"/>
      <c r="P76"/>
      <c r="Q76"/>
    </row>
    <row r="77" spans="2:17" ht="15" thickTop="1" x14ac:dyDescent="0.35">
      <c r="B77" s="406"/>
      <c r="C77" s="96"/>
      <c r="D77" s="44"/>
      <c r="E77" s="44"/>
      <c r="F77" s="44"/>
      <c r="G77" s="44"/>
      <c r="H77" s="1255" t="s">
        <v>10</v>
      </c>
      <c r="I77" s="44"/>
      <c r="J77" s="1255" t="s">
        <v>7</v>
      </c>
      <c r="K77" s="94"/>
      <c r="L77" s="3"/>
      <c r="M77" s="1255" t="s">
        <v>10</v>
      </c>
      <c r="N77" s="44"/>
      <c r="O77" s="1255" t="s">
        <v>7</v>
      </c>
      <c r="P77"/>
      <c r="Q77"/>
    </row>
    <row r="78" spans="2:17" x14ac:dyDescent="0.35">
      <c r="B78" s="406"/>
      <c r="C78" s="96" t="s">
        <v>163</v>
      </c>
      <c r="D78" s="44"/>
      <c r="E78" s="44"/>
      <c r="F78" s="44"/>
      <c r="G78" s="44"/>
      <c r="H78" s="354">
        <f>F8</f>
        <v>36.6</v>
      </c>
      <c r="I78" s="358" t="s">
        <v>109</v>
      </c>
      <c r="J78" s="354">
        <f>H78</f>
        <v>36.6</v>
      </c>
      <c r="K78" s="359" t="s">
        <v>1574</v>
      </c>
      <c r="L78" s="3"/>
      <c r="M78" s="3"/>
      <c r="N78" s="3"/>
      <c r="P78"/>
      <c r="Q78"/>
    </row>
    <row r="79" spans="2:17" x14ac:dyDescent="0.35">
      <c r="C79" s="96" t="s">
        <v>377</v>
      </c>
      <c r="D79" s="355"/>
      <c r="E79" s="356"/>
      <c r="F79" s="355"/>
      <c r="G79" s="44"/>
      <c r="H79" s="357">
        <f>$I$70+L52</f>
        <v>6.93E-2</v>
      </c>
      <c r="I79" s="358" t="s">
        <v>108</v>
      </c>
      <c r="J79" s="357">
        <f>$I$70+N52</f>
        <v>6.93E-2</v>
      </c>
      <c r="K79" s="359" t="s">
        <v>1638</v>
      </c>
      <c r="L79" s="3"/>
      <c r="M79" s="81">
        <f>ROUND(H79/H46-1,4)</f>
        <v>0.21790000000000001</v>
      </c>
      <c r="N79" s="358" t="s">
        <v>1649</v>
      </c>
      <c r="O79" s="81">
        <f>ROUND(J79/J46-1,4)</f>
        <v>0.21790000000000001</v>
      </c>
      <c r="P79" s="358" t="s">
        <v>1650</v>
      </c>
      <c r="Q79"/>
    </row>
    <row r="80" spans="2:17" ht="15" thickBot="1" x14ac:dyDescent="0.4">
      <c r="C80" s="93"/>
      <c r="D80" s="46"/>
      <c r="E80" s="46"/>
      <c r="F80" s="46"/>
      <c r="G80" s="46"/>
      <c r="H80" s="46"/>
      <c r="I80" s="46"/>
      <c r="J80" s="46"/>
      <c r="K80" s="91"/>
      <c r="L80" s="3"/>
      <c r="M80" s="81"/>
      <c r="N80" s="3"/>
      <c r="O80" s="81"/>
      <c r="P80"/>
      <c r="Q80"/>
    </row>
    <row r="81" spans="1:17" x14ac:dyDescent="0.3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/>
      <c r="Q81"/>
    </row>
    <row r="82" spans="1:17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/>
      <c r="Q82"/>
    </row>
    <row r="83" spans="1:17" x14ac:dyDescent="0.35">
      <c r="A83" s="334" t="s">
        <v>1579</v>
      </c>
      <c r="B83" s="410"/>
      <c r="C83" s="3"/>
      <c r="D83" s="3"/>
      <c r="E83" s="3"/>
      <c r="F83" s="3"/>
      <c r="G83" s="3"/>
      <c r="H83" s="3"/>
      <c r="I83" s="3"/>
      <c r="P83"/>
      <c r="Q83"/>
    </row>
    <row r="84" spans="1:17" x14ac:dyDescent="0.35">
      <c r="A84" s="334"/>
      <c r="B84" s="410"/>
      <c r="C84" s="3"/>
      <c r="D84" s="3"/>
      <c r="E84" s="3"/>
      <c r="F84" s="3"/>
      <c r="G84" s="3"/>
      <c r="H84" s="3"/>
      <c r="I84" s="3"/>
      <c r="P84"/>
      <c r="Q84"/>
    </row>
    <row r="85" spans="1:17" ht="15" thickBot="1" x14ac:dyDescent="0.4">
      <c r="A85" s="334"/>
      <c r="B85" s="334" t="str">
        <f>CONCATENATE($A$4," at Proposed T&amp;D Rates")</f>
        <v>SC6 at Proposed T&amp;D Rates</v>
      </c>
      <c r="C85" s="3"/>
      <c r="D85" s="3"/>
      <c r="E85" s="3"/>
      <c r="F85" s="3"/>
      <c r="G85" s="3"/>
      <c r="H85" s="3"/>
      <c r="I85" s="3"/>
      <c r="K85" s="367" t="s">
        <v>426</v>
      </c>
      <c r="L85" s="923">
        <f>$L$10</f>
        <v>1</v>
      </c>
      <c r="N85" s="344" t="str">
        <f>$A$4</f>
        <v>SC6</v>
      </c>
      <c r="P85"/>
    </row>
    <row r="86" spans="1:17" ht="15.5" thickTop="1" thickBot="1" x14ac:dyDescent="0.4">
      <c r="A86" s="406"/>
      <c r="B86" s="407"/>
      <c r="H86" s="1307" t="s">
        <v>417</v>
      </c>
      <c r="I86" s="1308"/>
      <c r="J86" s="1309"/>
      <c r="L86" s="1253" t="s">
        <v>475</v>
      </c>
      <c r="N86" s="369" t="s">
        <v>42</v>
      </c>
      <c r="P86"/>
    </row>
    <row r="87" spans="1:17" ht="15" thickTop="1" x14ac:dyDescent="0.35">
      <c r="A87" s="406"/>
      <c r="B87" s="410"/>
      <c r="H87" s="30" t="s">
        <v>416</v>
      </c>
      <c r="I87" s="30" t="s">
        <v>418</v>
      </c>
      <c r="J87" s="36" t="s">
        <v>419</v>
      </c>
      <c r="L87" s="30" t="s">
        <v>425</v>
      </c>
      <c r="N87" s="36" t="s">
        <v>429</v>
      </c>
      <c r="P87"/>
    </row>
    <row r="88" spans="1:17" x14ac:dyDescent="0.35">
      <c r="A88" s="406"/>
      <c r="B88" s="407" t="s">
        <v>42</v>
      </c>
      <c r="C88" s="3" t="s">
        <v>163</v>
      </c>
      <c r="H88" s="223">
        <f>H78</f>
        <v>36.6</v>
      </c>
      <c r="I88" s="105">
        <f>T9</f>
        <v>13640</v>
      </c>
      <c r="J88" s="26">
        <f>ROUND(H88*I88,0)</f>
        <v>499224</v>
      </c>
      <c r="L88" s="134">
        <f>ROUND(J88*(L$85-1),0)</f>
        <v>0</v>
      </c>
      <c r="N88" s="26">
        <f>J88+L88</f>
        <v>499224</v>
      </c>
      <c r="P88"/>
    </row>
    <row r="89" spans="1:17" x14ac:dyDescent="0.35">
      <c r="A89" s="406"/>
      <c r="B89" s="406"/>
      <c r="C89" s="416" t="s">
        <v>13</v>
      </c>
      <c r="D89" s="121"/>
      <c r="E89" s="122"/>
      <c r="H89" s="223">
        <f>H79</f>
        <v>6.93E-2</v>
      </c>
      <c r="I89" s="105">
        <f>V9</f>
        <v>1964206</v>
      </c>
      <c r="J89" s="26">
        <f>ROUND(H89*I89,0)</f>
        <v>136119</v>
      </c>
      <c r="L89" s="397"/>
      <c r="N89" s="26">
        <f>J89+L89</f>
        <v>136119</v>
      </c>
      <c r="P89"/>
    </row>
    <row r="90" spans="1:17" x14ac:dyDescent="0.35">
      <c r="A90" s="406"/>
      <c r="B90" s="406"/>
      <c r="C90" s="3" t="s">
        <v>420</v>
      </c>
      <c r="D90" s="3"/>
      <c r="E90" s="3"/>
      <c r="F90" s="3"/>
      <c r="H90" s="223"/>
      <c r="I90" s="223"/>
      <c r="J90" s="32">
        <f>SUM(J88:J89)</f>
        <v>635343</v>
      </c>
      <c r="L90" s="32">
        <f>SUM(L88:L89)</f>
        <v>0</v>
      </c>
      <c r="N90" s="32">
        <f>SUM(N88:N89)</f>
        <v>635343</v>
      </c>
      <c r="P90"/>
    </row>
    <row r="91" spans="1:17" s="1" customFormat="1" x14ac:dyDescent="0.35">
      <c r="A91" s="464"/>
      <c r="B91" s="464"/>
      <c r="C91" s="2"/>
      <c r="D91" s="121"/>
      <c r="E91" s="121"/>
      <c r="F91" s="361"/>
      <c r="H91" s="223"/>
      <c r="I91" s="362"/>
      <c r="J91" s="395"/>
      <c r="K91"/>
    </row>
    <row r="92" spans="1:17" s="1" customFormat="1" ht="15" thickBot="1" x14ac:dyDescent="0.4">
      <c r="A92" s="464"/>
      <c r="B92" s="464"/>
      <c r="C92" s="2"/>
      <c r="D92" s="121"/>
      <c r="E92" s="121"/>
      <c r="F92" s="361"/>
      <c r="H92" s="223"/>
      <c r="I92" s="362"/>
      <c r="J92" s="223"/>
      <c r="K92"/>
      <c r="L92" s="368">
        <f>$L$11</f>
        <v>1</v>
      </c>
    </row>
    <row r="93" spans="1:17" s="1" customFormat="1" ht="15.5" thickTop="1" thickBot="1" x14ac:dyDescent="0.4">
      <c r="A93" s="464"/>
      <c r="B93" s="464"/>
      <c r="C93" s="2"/>
      <c r="D93" s="121"/>
      <c r="E93" s="121"/>
      <c r="F93" s="361"/>
      <c r="H93" s="1307" t="s">
        <v>417</v>
      </c>
      <c r="I93" s="1308"/>
      <c r="J93" s="1309"/>
      <c r="K93"/>
      <c r="L93" s="1253" t="s">
        <v>475</v>
      </c>
      <c r="N93" s="369" t="s">
        <v>40</v>
      </c>
    </row>
    <row r="94" spans="1:17" s="1" customFormat="1" ht="15" thickTop="1" x14ac:dyDescent="0.35">
      <c r="A94" s="464"/>
      <c r="B94" s="464"/>
      <c r="C94" s="2"/>
      <c r="D94" s="121"/>
      <c r="E94" s="121"/>
      <c r="F94" s="361"/>
      <c r="H94" s="30" t="s">
        <v>416</v>
      </c>
      <c r="I94" s="30" t="s">
        <v>418</v>
      </c>
      <c r="J94" s="36" t="s">
        <v>419</v>
      </c>
      <c r="K94"/>
      <c r="L94" s="30" t="s">
        <v>425</v>
      </c>
      <c r="N94" s="36" t="s">
        <v>429</v>
      </c>
    </row>
    <row r="95" spans="1:17" s="1" customFormat="1" x14ac:dyDescent="0.35">
      <c r="A95" s="464"/>
      <c r="B95" s="407" t="s">
        <v>40</v>
      </c>
      <c r="C95" s="3" t="s">
        <v>163</v>
      </c>
      <c r="D95"/>
      <c r="E95"/>
      <c r="F95"/>
      <c r="H95" s="223">
        <f>H78</f>
        <v>36.6</v>
      </c>
      <c r="I95" s="105">
        <f>T14</f>
        <v>27359</v>
      </c>
      <c r="J95" s="26">
        <f>ROUND(H95*I95,0)</f>
        <v>1001339</v>
      </c>
      <c r="K95"/>
      <c r="L95" s="134">
        <f>ROUND(J95*(L$92-1),0)</f>
        <v>0</v>
      </c>
      <c r="N95" s="26">
        <f>J95+L95</f>
        <v>1001339</v>
      </c>
    </row>
    <row r="96" spans="1:17" s="1" customFormat="1" x14ac:dyDescent="0.35">
      <c r="A96" s="464"/>
      <c r="B96" s="406"/>
      <c r="C96" s="416" t="s">
        <v>13</v>
      </c>
      <c r="D96" s="121"/>
      <c r="E96" s="122"/>
      <c r="H96" s="223">
        <f>J79</f>
        <v>6.93E-2</v>
      </c>
      <c r="I96" s="105">
        <f>V14</f>
        <v>5541507</v>
      </c>
      <c r="J96" s="26">
        <f>ROUND(H96*I96,0)</f>
        <v>384026</v>
      </c>
      <c r="K96"/>
      <c r="L96" s="397"/>
      <c r="N96" s="26">
        <f>J96+L96</f>
        <v>384026</v>
      </c>
    </row>
    <row r="97" spans="1:18" s="1" customFormat="1" x14ac:dyDescent="0.35">
      <c r="A97" s="464"/>
      <c r="B97" s="406"/>
      <c r="C97" s="3" t="s">
        <v>421</v>
      </c>
      <c r="D97" s="3"/>
      <c r="E97" s="3"/>
      <c r="F97" s="3"/>
      <c r="H97" s="223"/>
      <c r="I97" s="223"/>
      <c r="J97" s="32">
        <f>SUM(J95:J96)</f>
        <v>1385365</v>
      </c>
      <c r="K97"/>
      <c r="L97" s="32">
        <f>SUM(L95:L96)</f>
        <v>0</v>
      </c>
      <c r="N97" s="32">
        <f>SUM(N95:N96)</f>
        <v>1385365</v>
      </c>
    </row>
    <row r="98" spans="1:18" s="1" customFormat="1" ht="15" thickBot="1" x14ac:dyDescent="0.4">
      <c r="A98" s="464"/>
      <c r="B98" s="464"/>
      <c r="C98" s="2"/>
      <c r="D98" s="121"/>
      <c r="E98" s="121"/>
      <c r="F98" s="361"/>
      <c r="H98" s="223"/>
      <c r="I98" s="362"/>
      <c r="J98" s="395"/>
      <c r="K98"/>
      <c r="N98" s="223"/>
    </row>
    <row r="99" spans="1:18" s="1" customFormat="1" ht="15.5" thickTop="1" thickBot="1" x14ac:dyDescent="0.4">
      <c r="A99" s="464"/>
      <c r="B99" s="464"/>
      <c r="C99" s="837" t="str">
        <f>CONCATENATE($A$4," - Annual Revenue Price-Out at Proposed Rates:")</f>
        <v>SC6 - Annual Revenue Price-Out at Proposed Rates:</v>
      </c>
      <c r="D99" s="121"/>
      <c r="E99" s="121"/>
      <c r="F99" s="361"/>
      <c r="H99" s="223"/>
      <c r="I99" s="222" t="s">
        <v>427</v>
      </c>
      <c r="J99" s="243">
        <f>J90+J97</f>
        <v>2020708</v>
      </c>
      <c r="K99" s="222" t="s">
        <v>428</v>
      </c>
      <c r="L99" s="243">
        <f>L90+L97</f>
        <v>0</v>
      </c>
      <c r="N99" s="243">
        <f>N90+N97</f>
        <v>2020708</v>
      </c>
      <c r="O99" s="374"/>
    </row>
    <row r="100" spans="1:18" s="1" customFormat="1" ht="15" thickTop="1" x14ac:dyDescent="0.35">
      <c r="A100" s="464"/>
      <c r="B100" s="464"/>
      <c r="C100" s="25"/>
      <c r="D100" s="121"/>
      <c r="E100" s="121"/>
      <c r="F100" s="361"/>
      <c r="H100" s="223"/>
      <c r="I100" s="222"/>
      <c r="J100" s="396"/>
      <c r="K100" s="362"/>
      <c r="L100" s="363"/>
      <c r="M100" s="364"/>
      <c r="N100" s="222"/>
      <c r="O100" s="26"/>
      <c r="Q100" s="26"/>
      <c r="R100" s="374"/>
    </row>
    <row r="101" spans="1:18" s="1" customFormat="1" x14ac:dyDescent="0.35">
      <c r="A101" s="464"/>
      <c r="B101" s="464"/>
      <c r="C101" s="25"/>
      <c r="D101" s="121"/>
      <c r="E101" s="121"/>
      <c r="F101" s="361"/>
      <c r="H101" s="223"/>
      <c r="I101" s="222"/>
      <c r="J101" s="26"/>
      <c r="K101" s="362"/>
      <c r="L101" s="363"/>
      <c r="M101" s="364"/>
      <c r="N101" s="222"/>
      <c r="O101" s="26"/>
      <c r="Q101" s="26"/>
      <c r="R101" s="374"/>
    </row>
    <row r="102" spans="1:18" ht="15" thickBot="1" x14ac:dyDescent="0.4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7"/>
      <c r="O102" s="3"/>
      <c r="P102" s="2"/>
      <c r="Q102" s="2"/>
    </row>
    <row r="103" spans="1:18" x14ac:dyDescent="0.35">
      <c r="B103" s="3"/>
      <c r="C103" s="815" t="str">
        <f>$A$4</f>
        <v>SC6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1" t="s">
        <v>6</v>
      </c>
      <c r="N103" s="3"/>
      <c r="O103" s="2"/>
      <c r="P103" s="2"/>
      <c r="Q103" s="2"/>
    </row>
    <row r="104" spans="1:18" x14ac:dyDescent="0.35">
      <c r="B104" s="3"/>
      <c r="C104" s="11" t="s">
        <v>5</v>
      </c>
      <c r="D104" s="1344">
        <f>L4</f>
        <v>2020</v>
      </c>
      <c r="E104" s="1344"/>
      <c r="F104" s="1344"/>
      <c r="G104" s="10"/>
      <c r="H104" s="10"/>
      <c r="I104" s="10"/>
      <c r="J104" s="10"/>
      <c r="K104" s="10"/>
      <c r="L104" s="10"/>
      <c r="M104" s="13"/>
      <c r="N104" s="17"/>
      <c r="O104" s="2"/>
      <c r="P104" s="2"/>
      <c r="Q104" s="2"/>
    </row>
    <row r="105" spans="1:18" x14ac:dyDescent="0.35">
      <c r="B105" s="3"/>
      <c r="C105" s="699" t="s">
        <v>1426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2">
        <f>N88+N95</f>
        <v>1500563</v>
      </c>
      <c r="N105" s="17"/>
      <c r="O105" s="2"/>
      <c r="P105" s="2"/>
      <c r="Q105" s="2"/>
    </row>
    <row r="106" spans="1:18" x14ac:dyDescent="0.35">
      <c r="B106" s="3"/>
      <c r="C106" s="699" t="s">
        <v>1427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2">
        <f>N89+N96</f>
        <v>520145</v>
      </c>
      <c r="N106" s="17"/>
      <c r="O106" s="2"/>
      <c r="P106" s="2"/>
      <c r="Q106" s="2"/>
    </row>
    <row r="107" spans="1:18" x14ac:dyDescent="0.35">
      <c r="B107" s="3"/>
      <c r="C107" s="699" t="s">
        <v>495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2">
        <f>M105+M106</f>
        <v>2020708</v>
      </c>
      <c r="N107" s="17"/>
      <c r="O107" s="2"/>
      <c r="P107" s="2"/>
      <c r="Q107" s="2"/>
    </row>
    <row r="108" spans="1:18" x14ac:dyDescent="0.35">
      <c r="B108" s="3"/>
      <c r="C108" s="11"/>
      <c r="D108" s="10"/>
      <c r="E108" s="10"/>
      <c r="F108" s="10"/>
      <c r="G108" s="10"/>
      <c r="H108" s="10"/>
      <c r="I108" s="10"/>
      <c r="J108" s="10"/>
      <c r="K108" s="10"/>
      <c r="L108" s="10"/>
      <c r="M108" s="13"/>
      <c r="N108" s="17"/>
      <c r="O108" s="2"/>
      <c r="P108" s="2"/>
      <c r="Q108" s="2"/>
    </row>
    <row r="109" spans="1:18" x14ac:dyDescent="0.35">
      <c r="B109" s="3"/>
      <c r="C109" s="11"/>
      <c r="D109" s="10" t="s">
        <v>2</v>
      </c>
      <c r="E109" s="10"/>
      <c r="F109" s="10"/>
      <c r="G109" s="10"/>
      <c r="H109" s="10"/>
      <c r="I109" s="10"/>
      <c r="J109" s="10"/>
      <c r="K109" s="10"/>
      <c r="L109" s="10"/>
      <c r="M109" s="828">
        <f>L26</f>
        <v>2020500</v>
      </c>
      <c r="N109" s="17"/>
      <c r="O109" s="3"/>
      <c r="P109" s="2"/>
      <c r="Q109" s="2"/>
    </row>
    <row r="110" spans="1:18" x14ac:dyDescent="0.35">
      <c r="B110" s="3"/>
      <c r="C110" s="11"/>
      <c r="D110" s="10" t="s">
        <v>1</v>
      </c>
      <c r="E110" s="10"/>
      <c r="F110" s="10"/>
      <c r="G110" s="10"/>
      <c r="H110" s="10"/>
      <c r="I110" s="10"/>
      <c r="J110" s="10"/>
      <c r="K110" s="10"/>
      <c r="L110" s="10"/>
      <c r="M110" s="12">
        <f>M107-M109</f>
        <v>208</v>
      </c>
      <c r="N110" s="17"/>
      <c r="O110" s="3"/>
      <c r="P110" s="2"/>
      <c r="Q110" s="2"/>
    </row>
    <row r="111" spans="1:18" x14ac:dyDescent="0.35">
      <c r="B111" s="3"/>
      <c r="C111" s="11"/>
      <c r="D111" s="10" t="s">
        <v>0</v>
      </c>
      <c r="E111" s="10"/>
      <c r="F111" s="10"/>
      <c r="G111" s="10"/>
      <c r="H111" s="10"/>
      <c r="I111" s="10"/>
      <c r="J111" s="10"/>
      <c r="K111" s="10"/>
      <c r="L111" s="10"/>
      <c r="M111" s="9">
        <f>M107/M109-1</f>
        <v>1.0294481563977165E-4</v>
      </c>
      <c r="N111" s="8"/>
      <c r="O111" s="3"/>
      <c r="P111" s="2"/>
      <c r="Q111" s="2"/>
    </row>
    <row r="112" spans="1:18" ht="15" thickBot="1" x14ac:dyDescent="0.4">
      <c r="B112" s="3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5"/>
      <c r="N112" s="4"/>
      <c r="O112" s="3"/>
      <c r="P112" s="2"/>
      <c r="Q112" s="2"/>
    </row>
    <row r="113" spans="1:22" s="1" customForma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2"/>
      <c r="R113"/>
      <c r="S113"/>
      <c r="T113"/>
      <c r="U113"/>
      <c r="V113"/>
    </row>
    <row r="114" spans="1:22" s="1" customForma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2"/>
      <c r="R114"/>
      <c r="S114"/>
      <c r="T114"/>
      <c r="U114"/>
      <c r="V114"/>
    </row>
  </sheetData>
  <mergeCells count="7">
    <mergeCell ref="H93:J93"/>
    <mergeCell ref="D104:F104"/>
    <mergeCell ref="H42:J42"/>
    <mergeCell ref="L42:N42"/>
    <mergeCell ref="H76:J76"/>
    <mergeCell ref="M76:O76"/>
    <mergeCell ref="H86:J86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 / &amp;N</oddFooter>
  </headerFooter>
  <rowBreaks count="1" manualBreakCount="1">
    <brk id="82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3"/>
  <dimension ref="A1:V118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7.7265625" customWidth="1"/>
    <col min="4" max="4" width="9.7265625" customWidth="1"/>
    <col min="5" max="5" width="14.26953125" customWidth="1"/>
    <col min="6" max="6" width="15.5429687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5" style="1" customWidth="1"/>
    <col min="17" max="17" width="15.7265625" style="1" customWidth="1"/>
    <col min="18" max="19" width="11.1796875" customWidth="1"/>
    <col min="20" max="20" width="14" customWidth="1"/>
    <col min="21" max="21" width="13.26953125" hidden="1" customWidth="1"/>
    <col min="22" max="22" width="14.1796875" customWidth="1"/>
    <col min="25" max="26" width="11.7265625" customWidth="1"/>
    <col min="27" max="27" width="16.81640625" customWidth="1"/>
  </cols>
  <sheetData>
    <row r="1" spans="1:22" ht="18.5" x14ac:dyDescent="0.45">
      <c r="A1" s="447" t="s">
        <v>637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22" outlineLevel="1" x14ac:dyDescent="0.35">
      <c r="A3" s="70" t="s">
        <v>161</v>
      </c>
      <c r="B3" s="70"/>
      <c r="C3" s="75" t="s">
        <v>159</v>
      </c>
      <c r="E3" s="245">
        <f>'[2]5A.)RevAllocation'!$T$7</f>
        <v>113251000</v>
      </c>
      <c r="F3" s="3"/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SC12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157</v>
      </c>
      <c r="B4" s="864"/>
      <c r="C4" s="3"/>
      <c r="D4" s="3"/>
      <c r="E4" s="3"/>
      <c r="F4" s="3"/>
      <c r="H4" s="3"/>
      <c r="J4" s="3" t="s">
        <v>5</v>
      </c>
      <c r="K4" s="3"/>
      <c r="L4" s="687">
        <f>'[1]A1.)RatesInput'!$I$4</f>
        <v>2020</v>
      </c>
      <c r="M4" s="107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180"/>
      <c r="B5" s="180"/>
      <c r="C5" s="3"/>
      <c r="D5" s="3"/>
      <c r="E5" s="3"/>
      <c r="F5" s="3"/>
      <c r="H5" s="3"/>
      <c r="J5" s="3" t="s">
        <v>145</v>
      </c>
      <c r="K5" s="3"/>
      <c r="L5" s="692" t="str">
        <f>'10B.)Energy_RateDesign_SC1_I'!$L$5</f>
        <v>Shift of 5%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490" t="str">
        <f>'10A.)EnergyRateDesignSummary'!D135</f>
        <v>Current(RY1)</v>
      </c>
      <c r="F6" s="101" t="s">
        <v>521</v>
      </c>
      <c r="H6" s="180"/>
      <c r="J6" t="s">
        <v>1382</v>
      </c>
      <c r="L6" s="687">
        <f>'[1]A1.)RatesInput'!$G$3</f>
        <v>2017</v>
      </c>
      <c r="M6" s="180"/>
      <c r="P6" s="165" t="s">
        <v>42</v>
      </c>
      <c r="Q6" s="164">
        <v>0</v>
      </c>
      <c r="R6" s="163" t="s">
        <v>143</v>
      </c>
      <c r="S6" s="164">
        <f>'[2]4B.)HY_EnergyRatePxOut(Rate I)'!$E$312</f>
        <v>10</v>
      </c>
      <c r="T6" s="386">
        <f>'[2]4B.)HY_EnergyRatePxOut(Rate I)'!$L$312</f>
        <v>25</v>
      </c>
      <c r="U6" s="161"/>
      <c r="V6" s="386">
        <f>'[2]4B.)HY_EnergyRatePxOut(Rate I)'!$M$312</f>
        <v>8366</v>
      </c>
    </row>
    <row r="7" spans="1:22" ht="15" outlineLevel="1" thickBot="1" x14ac:dyDescent="0.4">
      <c r="A7" s="3"/>
      <c r="B7" s="3"/>
      <c r="C7" s="3"/>
      <c r="D7" s="3"/>
      <c r="E7" s="101"/>
      <c r="H7" s="3"/>
      <c r="J7" s="3"/>
      <c r="K7" s="17"/>
      <c r="L7" s="118" t="str">
        <f>A4</f>
        <v>SC12 Rate I</v>
      </c>
      <c r="M7" s="3"/>
      <c r="P7" s="170" t="s">
        <v>42</v>
      </c>
      <c r="Q7" s="159"/>
      <c r="R7" s="158" t="s">
        <v>141</v>
      </c>
      <c r="S7" s="159">
        <f>'[2]4B.)HY_EnergyRatePxOut(Rate I)'!$E$313</f>
        <v>10</v>
      </c>
      <c r="T7" s="387">
        <f>'[2]4B.)HY_EnergyRatePxOut(Rate I)'!$L$313</f>
        <v>827</v>
      </c>
      <c r="U7" s="156"/>
      <c r="V7" s="387">
        <f>'[2]4B.)HY_EnergyRatePxOut(Rate I)'!$M$313</f>
        <v>268358</v>
      </c>
    </row>
    <row r="8" spans="1:22" ht="15.5" outlineLevel="1" thickTop="1" thickBot="1" x14ac:dyDescent="0.4">
      <c r="A8" s="3"/>
      <c r="B8" s="2"/>
      <c r="C8" s="409"/>
      <c r="D8" s="2"/>
      <c r="E8" s="309"/>
      <c r="F8" s="309"/>
      <c r="G8" s="1"/>
      <c r="H8" s="3"/>
      <c r="J8" s="3"/>
      <c r="K8" s="3"/>
      <c r="L8" s="3"/>
      <c r="M8" s="3"/>
      <c r="P8" s="168" t="s">
        <v>42</v>
      </c>
      <c r="Q8" s="155"/>
      <c r="R8" s="176"/>
      <c r="S8" s="711"/>
      <c r="T8" s="388"/>
      <c r="U8" s="191"/>
      <c r="V8" s="388"/>
    </row>
    <row r="9" spans="1:22" ht="15.5" outlineLevel="1" thickTop="1" thickBot="1" x14ac:dyDescent="0.4">
      <c r="A9" s="3"/>
      <c r="B9" s="2"/>
      <c r="C9" s="409"/>
      <c r="D9" s="2"/>
      <c r="E9" s="310"/>
      <c r="F9" s="310"/>
      <c r="G9" s="1"/>
      <c r="H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T9" s="151">
        <f>SUM(T6:T8)</f>
        <v>852</v>
      </c>
      <c r="U9" s="151">
        <f>SUM(U6:U8)</f>
        <v>0</v>
      </c>
      <c r="V9" s="151">
        <f>SUM(V6:V8)</f>
        <v>276724</v>
      </c>
    </row>
    <row r="10" spans="1:22" ht="15" outlineLevel="1" thickTop="1" x14ac:dyDescent="0.35">
      <c r="A10" s="3" t="s">
        <v>497</v>
      </c>
      <c r="B10" s="2"/>
      <c r="C10" s="2"/>
      <c r="D10" s="2"/>
      <c r="E10" s="310">
        <f>'10A.)EnergyRateDesignSummary'!D137</f>
        <v>12.8</v>
      </c>
      <c r="F10" s="310">
        <f>H84</f>
        <v>13.34</v>
      </c>
      <c r="G10" s="1"/>
      <c r="H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498</v>
      </c>
      <c r="B11" s="2"/>
      <c r="C11" s="2"/>
      <c r="D11" s="2"/>
      <c r="E11" s="310">
        <f>'10A.)EnergyRateDesignSummary'!D138</f>
        <v>0.12280000000000001</v>
      </c>
      <c r="F11" s="310">
        <f>H85</f>
        <v>0.128</v>
      </c>
      <c r="G11" s="1"/>
      <c r="H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40</v>
      </c>
      <c r="Q11" s="164">
        <f>$Q$6</f>
        <v>0</v>
      </c>
      <c r="R11" s="163" t="str">
        <f>$R$6</f>
        <v>-</v>
      </c>
      <c r="S11" s="162">
        <f>$S$6</f>
        <v>10</v>
      </c>
      <c r="T11" s="386">
        <f>'[2]4B.)HY_EnergyRatePxOut(Rate I)'!$L$307</f>
        <v>29</v>
      </c>
      <c r="U11" s="161"/>
      <c r="V11" s="386">
        <f>'[2]4B.)HY_EnergyRatePxOut(Rate I)'!$M$307</f>
        <v>16851</v>
      </c>
    </row>
    <row r="12" spans="1:22" outlineLevel="1" x14ac:dyDescent="0.35">
      <c r="A12" s="3" t="s">
        <v>499</v>
      </c>
      <c r="B12" s="2"/>
      <c r="C12" s="2"/>
      <c r="D12" s="2"/>
      <c r="E12" s="310">
        <f>'10A.)EnergyRateDesignSummary'!D139</f>
        <v>12.65</v>
      </c>
      <c r="F12" s="310">
        <f>J84</f>
        <v>13.19</v>
      </c>
      <c r="G12" s="1"/>
      <c r="H12" s="3"/>
      <c r="J12" s="33"/>
      <c r="L12" s="697"/>
      <c r="P12" s="160" t="s">
        <v>40</v>
      </c>
      <c r="Q12" s="159"/>
      <c r="R12" s="158" t="str">
        <f>$R$7</f>
        <v>&gt;</v>
      </c>
      <c r="S12" s="157">
        <f>$S$7</f>
        <v>10</v>
      </c>
      <c r="T12" s="387">
        <f>'[2]4B.)HY_EnergyRatePxOut(Rate I)'!$L$308</f>
        <v>1675</v>
      </c>
      <c r="U12" s="156"/>
      <c r="V12" s="387">
        <f>'[2]4B.)HY_EnergyRatePxOut(Rate I)'!$M$308</f>
        <v>846731</v>
      </c>
    </row>
    <row r="13" spans="1:22" ht="15" outlineLevel="1" thickBot="1" x14ac:dyDescent="0.4">
      <c r="A13" s="3" t="s">
        <v>500</v>
      </c>
      <c r="B13" s="2"/>
      <c r="C13" s="2"/>
      <c r="D13" s="2"/>
      <c r="E13" s="310">
        <f>'10A.)EnergyRateDesignSummary'!D140</f>
        <v>0.1106</v>
      </c>
      <c r="F13" s="310">
        <f>J85</f>
        <v>0.1153</v>
      </c>
      <c r="G13" s="1"/>
      <c r="H13" s="3"/>
      <c r="I13" s="3"/>
      <c r="J13" s="33"/>
      <c r="L13" s="697"/>
      <c r="M13" s="372"/>
      <c r="P13" s="155" t="s">
        <v>40</v>
      </c>
      <c r="Q13" s="154"/>
      <c r="R13" s="154"/>
      <c r="S13" s="154"/>
      <c r="T13" s="388"/>
      <c r="U13" s="191"/>
      <c r="V13" s="388"/>
    </row>
    <row r="14" spans="1:22" ht="15.5" outlineLevel="1" thickTop="1" thickBot="1" x14ac:dyDescent="0.4">
      <c r="A14" s="3"/>
      <c r="B14" s="2"/>
      <c r="C14" s="2"/>
      <c r="D14" s="2"/>
      <c r="E14" s="311"/>
      <c r="F14" s="311"/>
      <c r="G14" s="1"/>
      <c r="H14" s="3"/>
      <c r="J14" s="33" t="s">
        <v>1484</v>
      </c>
      <c r="K14" s="17"/>
      <c r="L14" s="690">
        <f>ROUND('[2]6B.)RateChgAllocation'!$E$58/'[2]6B.)RateChgAllocation'!$J$58,8)</f>
        <v>4.245401E-2</v>
      </c>
      <c r="Q14" s="2"/>
      <c r="R14" s="3"/>
      <c r="S14" s="3"/>
      <c r="T14" s="151">
        <f>SUM(T11:T13)</f>
        <v>1704</v>
      </c>
      <c r="U14" s="151">
        <f>SUM(U11:U13)</f>
        <v>0</v>
      </c>
      <c r="V14" s="151">
        <f>SUM(V11:V13)</f>
        <v>863582</v>
      </c>
    </row>
    <row r="15" spans="1:22" ht="15" outlineLevel="1" thickTop="1" x14ac:dyDescent="0.35">
      <c r="A15" s="3"/>
      <c r="B15" s="3"/>
      <c r="C15" s="3"/>
      <c r="D15" s="3"/>
      <c r="E15" s="3"/>
      <c r="F15" s="3"/>
      <c r="G15" s="3"/>
      <c r="H15" s="3"/>
      <c r="L15" s="135"/>
      <c r="M15" s="135"/>
      <c r="Q15" s="2"/>
      <c r="R15" s="3"/>
      <c r="S15" s="3"/>
      <c r="T15" s="150"/>
      <c r="U15" s="150"/>
      <c r="V15" s="150"/>
    </row>
    <row r="16" spans="1:22" outlineLevel="1" x14ac:dyDescent="0.35">
      <c r="A16" s="3"/>
      <c r="B16" s="3"/>
      <c r="C16" s="3"/>
      <c r="D16" s="3"/>
      <c r="E16" s="3"/>
      <c r="F16" s="3"/>
      <c r="G16" s="3"/>
      <c r="H16" s="3"/>
      <c r="L16" s="135" t="s">
        <v>135</v>
      </c>
      <c r="Q16" s="2"/>
      <c r="R16" s="3"/>
      <c r="S16" s="3"/>
      <c r="T16" s="150"/>
      <c r="U16" s="150"/>
      <c r="V16" s="150"/>
    </row>
    <row r="17" spans="1:17" outlineLevel="1" x14ac:dyDescent="0.35">
      <c r="A17" s="3"/>
      <c r="B17" s="3"/>
      <c r="C17" s="3"/>
      <c r="D17" s="3"/>
      <c r="E17" s="3"/>
      <c r="F17" s="3"/>
      <c r="G17" s="3"/>
      <c r="J17" s="33" t="s">
        <v>1458</v>
      </c>
      <c r="L17" s="245">
        <f>'[2]4B.)HY_EnergyRatePxOut(Rate I)'!$V$317</f>
        <v>32470</v>
      </c>
    </row>
    <row r="18" spans="1:17" outlineLevel="1" x14ac:dyDescent="0.35">
      <c r="A18" s="3"/>
      <c r="B18" s="3"/>
      <c r="C18" s="3"/>
      <c r="D18" s="3"/>
      <c r="E18" s="3"/>
      <c r="F18" s="3"/>
      <c r="G18" s="230"/>
      <c r="L18" s="135" t="s">
        <v>134</v>
      </c>
    </row>
    <row r="19" spans="1:17" outlineLevel="1" x14ac:dyDescent="0.35">
      <c r="A19" s="3"/>
      <c r="B19" s="3"/>
      <c r="C19" s="3"/>
      <c r="D19" s="3"/>
      <c r="E19" s="3"/>
      <c r="F19" s="3"/>
      <c r="G19" s="230"/>
      <c r="H19" s="3"/>
      <c r="J19" s="33" t="s">
        <v>501</v>
      </c>
      <c r="L19" s="245">
        <f>'[2]4B.)HY_EnergyRatePxOut(Rate I)'!$T$317</f>
        <v>32462</v>
      </c>
      <c r="N19" s="130"/>
    </row>
    <row r="20" spans="1:17" outlineLevel="1" x14ac:dyDescent="0.35">
      <c r="A20" s="3"/>
      <c r="B20" s="3"/>
      <c r="C20" s="3"/>
      <c r="D20" s="3"/>
      <c r="E20" s="3"/>
      <c r="F20" s="3"/>
      <c r="G20" s="230"/>
      <c r="J20" s="33" t="s">
        <v>503</v>
      </c>
      <c r="L20" s="245">
        <f>'[2]4B.)HY_EnergyRatePxOut(Rate I)'!$T$318</f>
        <v>126602</v>
      </c>
      <c r="N20" s="467"/>
    </row>
    <row r="21" spans="1:17" outlineLevel="1" x14ac:dyDescent="0.35">
      <c r="A21" s="3"/>
      <c r="B21" s="3"/>
      <c r="C21" s="3"/>
      <c r="D21" s="3"/>
      <c r="E21" s="3"/>
      <c r="F21" s="3"/>
      <c r="G21" s="230"/>
      <c r="J21" s="33" t="s">
        <v>502</v>
      </c>
      <c r="L21" s="245">
        <f>'[2]4B.)HY_EnergyRatePxOut(Rate I)'!$T$319</f>
        <v>159064</v>
      </c>
    </row>
    <row r="22" spans="1:17" outlineLevel="1" x14ac:dyDescent="0.35">
      <c r="J22" s="33" t="s">
        <v>506</v>
      </c>
      <c r="L22" s="932">
        <v>1</v>
      </c>
    </row>
    <row r="23" spans="1:17" outlineLevel="1" x14ac:dyDescent="0.35">
      <c r="J23" s="33"/>
      <c r="L23" s="193"/>
      <c r="M23" s="193"/>
    </row>
    <row r="24" spans="1:17" outlineLevel="1" x14ac:dyDescent="0.35"/>
    <row r="25" spans="1:17" outlineLevel="1" x14ac:dyDescent="0.35">
      <c r="J25" s="33" t="s">
        <v>509</v>
      </c>
      <c r="L25" s="245">
        <f>'[2]6B.)RateChgAllocation'!$M$54</f>
        <v>6767</v>
      </c>
    </row>
    <row r="26" spans="1:17" outlineLevel="1" x14ac:dyDescent="0.35">
      <c r="J26" s="33" t="str">
        <f>CONCATENATE(A4," - Energy Only - T&amp;D Target:")</f>
        <v>SC12 Rate I - Energy Only - T&amp;D Target:</v>
      </c>
      <c r="L26" s="245">
        <f>'[2]6B.)RateChgAllocation'!$J$54+'[2]6B.)RateChgAllocation'!$M$54</f>
        <v>166159</v>
      </c>
    </row>
    <row r="27" spans="1:17" outlineLevel="1" x14ac:dyDescent="0.35"/>
    <row r="28" spans="1:17" s="148" customFormat="1" outlineLevel="1" x14ac:dyDescent="0.35"/>
    <row r="29" spans="1:17" x14ac:dyDescent="0.35">
      <c r="A29" s="407" t="s">
        <v>122</v>
      </c>
      <c r="B29" s="407"/>
      <c r="C29" s="131"/>
      <c r="D29" s="131"/>
      <c r="E29" s="131"/>
      <c r="F29" s="131"/>
    </row>
    <row r="30" spans="1:17" x14ac:dyDescent="0.35">
      <c r="A30" s="407"/>
      <c r="B30" s="407" t="s">
        <v>150</v>
      </c>
      <c r="C30" s="706">
        <f>$L$3</f>
        <v>2019</v>
      </c>
      <c r="D30" s="131"/>
      <c r="E30" s="131"/>
      <c r="F30" s="131"/>
    </row>
    <row r="31" spans="1:17" x14ac:dyDescent="0.35">
      <c r="A31" s="131"/>
      <c r="B31" s="131" t="s">
        <v>5</v>
      </c>
      <c r="C31" s="706">
        <f>$L$4</f>
        <v>2020</v>
      </c>
      <c r="D31" s="131"/>
      <c r="E31" s="131"/>
      <c r="F31" s="131"/>
    </row>
    <row r="32" spans="1:17" x14ac:dyDescent="0.35">
      <c r="B32" s="41" t="str">
        <f>$A$4</f>
        <v>SC12 Rate I</v>
      </c>
      <c r="C32" s="133" t="s">
        <v>1719</v>
      </c>
      <c r="D32" s="133"/>
      <c r="E32" s="133"/>
      <c r="F32" s="133"/>
      <c r="P32"/>
      <c r="Q32"/>
    </row>
    <row r="33" spans="1:17" x14ac:dyDescent="0.35">
      <c r="B33" s="41" t="s">
        <v>505</v>
      </c>
      <c r="C33" t="s">
        <v>511</v>
      </c>
      <c r="J33" s="894">
        <f>L21</f>
        <v>159064</v>
      </c>
      <c r="K33" s="892" t="s">
        <v>79</v>
      </c>
      <c r="P33"/>
      <c r="Q33"/>
    </row>
    <row r="34" spans="1:17" x14ac:dyDescent="0.35">
      <c r="C34" t="s">
        <v>504</v>
      </c>
      <c r="J34" s="903">
        <f>L19</f>
        <v>32462</v>
      </c>
      <c r="K34" s="892" t="s">
        <v>78</v>
      </c>
      <c r="P34"/>
      <c r="Q34"/>
    </row>
    <row r="35" spans="1:17" x14ac:dyDescent="0.35">
      <c r="C35" t="s">
        <v>513</v>
      </c>
      <c r="J35" s="130">
        <f>J33-J34</f>
        <v>126602</v>
      </c>
      <c r="K35" s="892" t="s">
        <v>1714</v>
      </c>
      <c r="P35"/>
      <c r="Q35"/>
    </row>
    <row r="36" spans="1:17" x14ac:dyDescent="0.35">
      <c r="I36" s="134"/>
      <c r="K36" s="143"/>
      <c r="P36"/>
      <c r="Q36"/>
    </row>
    <row r="37" spans="1:17" x14ac:dyDescent="0.35">
      <c r="C37" t="s">
        <v>510</v>
      </c>
      <c r="I37" s="601">
        <f>L25</f>
        <v>6767</v>
      </c>
      <c r="K37" s="892" t="s">
        <v>1173</v>
      </c>
      <c r="P37"/>
      <c r="Q37"/>
    </row>
    <row r="38" spans="1:17" x14ac:dyDescent="0.35">
      <c r="I38" s="417"/>
      <c r="K38" s="143"/>
      <c r="P38"/>
      <c r="Q38"/>
    </row>
    <row r="39" spans="1:17" x14ac:dyDescent="0.35">
      <c r="C39" t="s">
        <v>512</v>
      </c>
      <c r="H39" s="819">
        <f>L17</f>
        <v>32470</v>
      </c>
      <c r="K39" s="892" t="s">
        <v>177</v>
      </c>
      <c r="P39"/>
      <c r="Q39"/>
    </row>
    <row r="40" spans="1:17" x14ac:dyDescent="0.35">
      <c r="C40" t="s">
        <v>515</v>
      </c>
      <c r="H40" s="926">
        <f>L14</f>
        <v>4.245401E-2</v>
      </c>
      <c r="K40" s="892" t="s">
        <v>178</v>
      </c>
      <c r="P40"/>
      <c r="Q40"/>
    </row>
    <row r="41" spans="1:17" x14ac:dyDescent="0.35">
      <c r="C41" t="s">
        <v>516</v>
      </c>
      <c r="I41" s="418">
        <f>ROUND(H39*H40,0)</f>
        <v>1378</v>
      </c>
      <c r="K41" s="892" t="s">
        <v>1715</v>
      </c>
      <c r="P41"/>
      <c r="Q41"/>
    </row>
    <row r="42" spans="1:17" x14ac:dyDescent="0.35">
      <c r="C42" t="s">
        <v>1459</v>
      </c>
      <c r="I42" s="130">
        <f>I37-I41</f>
        <v>5389</v>
      </c>
      <c r="K42" s="892" t="s">
        <v>1716</v>
      </c>
      <c r="P42"/>
      <c r="Q42"/>
    </row>
    <row r="43" spans="1:17" x14ac:dyDescent="0.35">
      <c r="B43" s="419"/>
      <c r="C43" t="s">
        <v>1460</v>
      </c>
      <c r="I43" s="933">
        <f>L22</f>
        <v>1</v>
      </c>
      <c r="K43" s="892" t="s">
        <v>1304</v>
      </c>
      <c r="P43"/>
      <c r="Q43"/>
    </row>
    <row r="44" spans="1:17" ht="15" thickBot="1" x14ac:dyDescent="0.4">
      <c r="C44" t="s">
        <v>514</v>
      </c>
      <c r="J44" s="130">
        <f>I42/I43</f>
        <v>5389</v>
      </c>
      <c r="K44" s="892" t="s">
        <v>1717</v>
      </c>
      <c r="P44"/>
      <c r="Q44"/>
    </row>
    <row r="45" spans="1:17" ht="15.5" thickTop="1" thickBot="1" x14ac:dyDescent="0.4">
      <c r="C45" s="75" t="s">
        <v>412</v>
      </c>
      <c r="D45" s="75"/>
      <c r="E45" s="75"/>
      <c r="F45" s="75"/>
      <c r="J45" s="635">
        <f>J35+J44</f>
        <v>131991</v>
      </c>
      <c r="K45" s="892" t="s">
        <v>1718</v>
      </c>
      <c r="P45"/>
      <c r="Q45"/>
    </row>
    <row r="46" spans="1:17" ht="15" thickTop="1" x14ac:dyDescent="0.35">
      <c r="L46" s="141"/>
    </row>
    <row r="47" spans="1:17" x14ac:dyDescent="0.35">
      <c r="A47" s="858" t="s">
        <v>413</v>
      </c>
      <c r="B47" s="406"/>
      <c r="P47"/>
      <c r="Q47"/>
    </row>
    <row r="48" spans="1:17" ht="15" thickBot="1" x14ac:dyDescent="0.4">
      <c r="A48" s="406"/>
      <c r="B48" s="406"/>
    </row>
    <row r="49" spans="1:17" ht="15.5" thickTop="1" thickBot="1" x14ac:dyDescent="0.4">
      <c r="A49" s="406"/>
      <c r="B49" s="407" t="str">
        <f>CONCATENATE($A$4," Energy Only - Block 1 Calculation")</f>
        <v>SC12 Rate I Energy Only - Block 1 Calculation</v>
      </c>
      <c r="C49" s="3"/>
      <c r="D49" s="3"/>
      <c r="E49" s="3"/>
      <c r="F49" s="3"/>
      <c r="G49" s="3"/>
      <c r="H49" s="1316" t="s">
        <v>680</v>
      </c>
      <c r="I49" s="1317"/>
      <c r="J49" s="1318"/>
      <c r="K49" s="3"/>
      <c r="L49" s="1307" t="s">
        <v>81</v>
      </c>
      <c r="M49" s="1308"/>
      <c r="N49" s="1309"/>
      <c r="P49"/>
      <c r="Q49"/>
    </row>
    <row r="50" spans="1:17" ht="15" thickTop="1" x14ac:dyDescent="0.35">
      <c r="B50" s="3"/>
      <c r="C50" s="3"/>
      <c r="E50" s="30" t="s">
        <v>80</v>
      </c>
      <c r="F50" s="3"/>
      <c r="G50" s="3"/>
      <c r="H50" s="30" t="s">
        <v>42</v>
      </c>
      <c r="I50" s="30"/>
      <c r="J50" s="30" t="s">
        <v>40</v>
      </c>
      <c r="K50" s="3"/>
      <c r="L50" s="30" t="s">
        <v>42</v>
      </c>
      <c r="M50" s="86"/>
      <c r="N50" s="30" t="s">
        <v>40</v>
      </c>
      <c r="P50"/>
      <c r="Q50"/>
    </row>
    <row r="51" spans="1:17" x14ac:dyDescent="0.35">
      <c r="B51" s="3"/>
      <c r="C51" s="3"/>
      <c r="G51" s="3"/>
      <c r="H51" s="35"/>
      <c r="I51" s="35"/>
      <c r="J51" s="35"/>
      <c r="K51" s="3"/>
      <c r="L51" s="30"/>
      <c r="M51" s="86"/>
      <c r="N51" s="30"/>
      <c r="P51"/>
      <c r="Q51"/>
    </row>
    <row r="52" spans="1:17" x14ac:dyDescent="0.35">
      <c r="C52" t="s">
        <v>377</v>
      </c>
      <c r="D52" s="567">
        <f>Q6</f>
        <v>0</v>
      </c>
      <c r="E52" s="123" t="str">
        <f>R6</f>
        <v>-</v>
      </c>
      <c r="F52" s="567">
        <f>S6</f>
        <v>10</v>
      </c>
      <c r="G52" s="123" t="s">
        <v>517</v>
      </c>
      <c r="H52" s="348">
        <f>E$10/F52</f>
        <v>1.28</v>
      </c>
      <c r="I52" s="892" t="s">
        <v>165</v>
      </c>
      <c r="J52" s="348">
        <f>E$12/F52</f>
        <v>1.2650000000000001</v>
      </c>
      <c r="K52" s="892" t="s">
        <v>138</v>
      </c>
      <c r="L52" s="27">
        <f>H52-J$53</f>
        <v>1.1694</v>
      </c>
      <c r="M52" s="892" t="s">
        <v>1553</v>
      </c>
      <c r="N52" s="27">
        <f>J52-J$53</f>
        <v>1.1544000000000001</v>
      </c>
      <c r="O52" s="892" t="s">
        <v>1555</v>
      </c>
      <c r="P52"/>
      <c r="Q52"/>
    </row>
    <row r="53" spans="1:17" x14ac:dyDescent="0.35">
      <c r="B53" s="3"/>
      <c r="C53" s="3" t="s">
        <v>376</v>
      </c>
      <c r="D53" s="3"/>
      <c r="E53" s="123" t="str">
        <f>R7</f>
        <v>&gt;</v>
      </c>
      <c r="F53" s="567">
        <f>S7</f>
        <v>10</v>
      </c>
      <c r="G53" s="123" t="s">
        <v>517</v>
      </c>
      <c r="H53" s="348">
        <f>E$11</f>
        <v>0.12280000000000001</v>
      </c>
      <c r="I53" s="892" t="s">
        <v>166</v>
      </c>
      <c r="J53" s="348">
        <f>E$13</f>
        <v>0.1106</v>
      </c>
      <c r="K53" s="892" t="s">
        <v>101</v>
      </c>
      <c r="L53" s="27">
        <f>H53-J$53</f>
        <v>1.2200000000000003E-2</v>
      </c>
      <c r="M53" s="892" t="s">
        <v>1554</v>
      </c>
      <c r="N53" s="112"/>
      <c r="O53" s="892" t="s">
        <v>1091</v>
      </c>
      <c r="P53"/>
      <c r="Q53"/>
    </row>
    <row r="54" spans="1:17" x14ac:dyDescent="0.35">
      <c r="B54" s="3"/>
      <c r="C54" s="3"/>
      <c r="D54" s="3"/>
      <c r="E54" s="3"/>
      <c r="F54" s="3"/>
      <c r="G54" s="36"/>
      <c r="P54"/>
      <c r="Q54"/>
    </row>
    <row r="55" spans="1:17" x14ac:dyDescent="0.35">
      <c r="B55" s="3"/>
      <c r="E55" s="123"/>
      <c r="F55" s="123"/>
      <c r="G55" s="36"/>
      <c r="I55" s="120"/>
      <c r="J55" s="120"/>
      <c r="K55" s="3"/>
      <c r="L55" s="27"/>
      <c r="M55" s="61"/>
      <c r="N55" s="61"/>
      <c r="P55"/>
      <c r="Q55"/>
    </row>
    <row r="56" spans="1:17" ht="15" thickBot="1" x14ac:dyDescent="0.4">
      <c r="K56" s="100" t="s">
        <v>431</v>
      </c>
      <c r="L56" s="906">
        <f>$L$14</f>
        <v>4.245401E-2</v>
      </c>
      <c r="M56" s="892" t="s">
        <v>1556</v>
      </c>
      <c r="P56"/>
      <c r="Q56"/>
    </row>
    <row r="57" spans="1:17" ht="15.5" thickTop="1" thickBot="1" x14ac:dyDescent="0.4">
      <c r="D57" s="1"/>
      <c r="E57" s="1"/>
      <c r="F57" s="1"/>
      <c r="L57" s="1307" t="s">
        <v>76</v>
      </c>
      <c r="M57" s="1308"/>
      <c r="N57" s="1309"/>
      <c r="P57"/>
      <c r="Q57"/>
    </row>
    <row r="58" spans="1:17" ht="15.5" thickTop="1" thickBot="1" x14ac:dyDescent="0.4">
      <c r="C58" s="70" t="s">
        <v>77</v>
      </c>
      <c r="D58" s="1"/>
      <c r="E58" s="1"/>
      <c r="F58" s="1"/>
      <c r="G58" s="118" t="s">
        <v>42</v>
      </c>
      <c r="H58" s="118" t="s">
        <v>40</v>
      </c>
      <c r="L58" s="30" t="s">
        <v>42</v>
      </c>
      <c r="M58" s="86"/>
      <c r="N58" s="30" t="s">
        <v>40</v>
      </c>
      <c r="P58"/>
      <c r="Q58"/>
    </row>
    <row r="59" spans="1:17" x14ac:dyDescent="0.35">
      <c r="C59" t="s">
        <v>377</v>
      </c>
      <c r="D59" s="121">
        <f>$D$52</f>
        <v>0</v>
      </c>
      <c r="E59" s="122" t="str">
        <f>$E$52</f>
        <v>-</v>
      </c>
      <c r="F59" s="121">
        <f>$F$52</f>
        <v>10</v>
      </c>
      <c r="G59" s="117" t="str">
        <f>CONCATENATE("X + ",L59)</f>
        <v>X + 1.219</v>
      </c>
      <c r="H59" s="116" t="str">
        <f>CONCATENATE("X + ",N59)</f>
        <v>X + 1.2034</v>
      </c>
      <c r="L59" s="907">
        <f>ROUND(L52*(1+$L$56),4)</f>
        <v>1.2190000000000001</v>
      </c>
      <c r="M59" s="892" t="s">
        <v>1720</v>
      </c>
      <c r="N59" s="223">
        <f>ROUND(N52*(1+$L$56),4)</f>
        <v>1.2034</v>
      </c>
      <c r="O59" s="892" t="s">
        <v>1722</v>
      </c>
      <c r="P59"/>
      <c r="Q59"/>
    </row>
    <row r="60" spans="1:17" x14ac:dyDescent="0.35">
      <c r="D60" s="1"/>
      <c r="E60" s="1"/>
      <c r="F60" s="1"/>
      <c r="G60" s="114"/>
      <c r="H60" s="113"/>
      <c r="L60" s="2"/>
      <c r="M60" s="919"/>
      <c r="N60" s="2"/>
      <c r="P60"/>
      <c r="Q60"/>
    </row>
    <row r="61" spans="1:17" ht="15" thickBot="1" x14ac:dyDescent="0.4">
      <c r="C61" s="3" t="s">
        <v>376</v>
      </c>
      <c r="D61" s="2"/>
      <c r="E61" s="122" t="str">
        <f>$E$53</f>
        <v>&gt;</v>
      </c>
      <c r="F61" s="121">
        <f>$F$53</f>
        <v>10</v>
      </c>
      <c r="G61" s="111" t="str">
        <f>CONCATENATE("X + ",L61)</f>
        <v>X + 0.0127</v>
      </c>
      <c r="H61" s="350" t="s">
        <v>32</v>
      </c>
      <c r="L61" s="223">
        <f>ROUND(L53*(1+$L$56),4)</f>
        <v>1.2699999999999999E-2</v>
      </c>
      <c r="M61" s="892" t="s">
        <v>1721</v>
      </c>
      <c r="N61" s="223">
        <f>ROUND(N53*(1+$L$56),4)</f>
        <v>0</v>
      </c>
      <c r="O61" s="892" t="s">
        <v>1723</v>
      </c>
      <c r="P61"/>
      <c r="Q61"/>
    </row>
    <row r="62" spans="1:17" x14ac:dyDescent="0.35">
      <c r="D62" s="1"/>
      <c r="E62" s="1"/>
      <c r="F62" s="1"/>
      <c r="P62"/>
      <c r="Q62"/>
    </row>
    <row r="63" spans="1:17" x14ac:dyDescent="0.35">
      <c r="A63" s="1"/>
      <c r="P63"/>
      <c r="Q63"/>
    </row>
    <row r="64" spans="1:17" x14ac:dyDescent="0.35">
      <c r="A64" s="1"/>
      <c r="B64" s="334" t="s">
        <v>46</v>
      </c>
      <c r="P64"/>
      <c r="Q64"/>
    </row>
    <row r="65" spans="1:17" x14ac:dyDescent="0.35">
      <c r="A65" s="1"/>
      <c r="B65" s="407" t="str">
        <f>CONCATENATE($A$4," Energy Only - Block 2 Calculation")</f>
        <v>SC12 Rate I Energy Only - Block 2 Calculation</v>
      </c>
      <c r="I65" s="296" t="str">
        <f>B33</f>
        <v>Energy Only</v>
      </c>
      <c r="P65"/>
      <c r="Q65"/>
    </row>
    <row r="66" spans="1:17" ht="15" thickBot="1" x14ac:dyDescent="0.4">
      <c r="A66" s="1"/>
      <c r="B66" s="70" t="s">
        <v>414</v>
      </c>
      <c r="C66" s="70"/>
      <c r="D66" s="70"/>
      <c r="E66" s="3"/>
      <c r="F66" s="3"/>
      <c r="I66" s="30" t="str">
        <f>B32</f>
        <v>SC12 Rate I</v>
      </c>
      <c r="J66" s="3"/>
      <c r="K66" s="3"/>
      <c r="P66"/>
      <c r="Q66"/>
    </row>
    <row r="67" spans="1:17" x14ac:dyDescent="0.35">
      <c r="A67" s="1"/>
      <c r="B67" s="3"/>
      <c r="C67" s="3" t="s">
        <v>42</v>
      </c>
      <c r="D67" s="108"/>
      <c r="E67" s="122" t="str">
        <f>E$53</f>
        <v>&gt;</v>
      </c>
      <c r="F67" s="121">
        <f>F$53</f>
        <v>10</v>
      </c>
      <c r="I67" s="72">
        <f>V7</f>
        <v>268358</v>
      </c>
      <c r="J67" s="36" t="s">
        <v>39</v>
      </c>
      <c r="K67" s="74" t="str">
        <f>CONCATENATE("[",G61,"]")</f>
        <v>[X + 0.0127]</v>
      </c>
      <c r="P67"/>
      <c r="Q67"/>
    </row>
    <row r="68" spans="1:17" ht="15" thickBot="1" x14ac:dyDescent="0.4">
      <c r="A68" s="1"/>
      <c r="B68" s="3"/>
      <c r="C68" s="3" t="s">
        <v>40</v>
      </c>
      <c r="D68" s="3"/>
      <c r="E68" s="122" t="str">
        <f>E$53</f>
        <v>&gt;</v>
      </c>
      <c r="F68" s="121">
        <f>F$53</f>
        <v>10</v>
      </c>
      <c r="I68" s="351">
        <f>V12</f>
        <v>846731</v>
      </c>
      <c r="J68" s="36" t="s">
        <v>39</v>
      </c>
      <c r="K68" s="71" t="str">
        <f>CONCATENATE("[",H61,"]")</f>
        <v>[X]</v>
      </c>
      <c r="P68"/>
      <c r="Q68"/>
    </row>
    <row r="69" spans="1:17" x14ac:dyDescent="0.35">
      <c r="A69" s="1"/>
      <c r="B69" s="3"/>
      <c r="C69" s="3"/>
      <c r="D69" s="3"/>
      <c r="I69" s="28">
        <f>SUM(I67:I68)</f>
        <v>1115089</v>
      </c>
      <c r="J69" s="892" t="s">
        <v>1095</v>
      </c>
      <c r="P69"/>
      <c r="Q69"/>
    </row>
    <row r="70" spans="1:17" x14ac:dyDescent="0.35">
      <c r="A70" s="1"/>
      <c r="B70" s="70" t="s">
        <v>518</v>
      </c>
      <c r="P70"/>
      <c r="Q70"/>
    </row>
    <row r="71" spans="1:17" x14ac:dyDescent="0.35">
      <c r="A71" s="1"/>
      <c r="B71" s="41" t="str">
        <f>$A$4</f>
        <v>SC12 Rate I</v>
      </c>
      <c r="F71" s="3"/>
      <c r="G71" s="3"/>
      <c r="H71" s="3"/>
      <c r="I71" s="69" t="s">
        <v>44</v>
      </c>
      <c r="J71" s="3"/>
      <c r="K71" s="106"/>
      <c r="L71" s="3"/>
      <c r="M71" s="3"/>
      <c r="N71" s="17"/>
      <c r="P71"/>
      <c r="Q71"/>
    </row>
    <row r="72" spans="1:17" ht="15.75" customHeight="1" x14ac:dyDescent="0.35">
      <c r="A72" s="1"/>
      <c r="C72" s="3" t="s">
        <v>42</v>
      </c>
      <c r="D72" s="392"/>
      <c r="E72" s="122" t="str">
        <f>E$53</f>
        <v>&gt;</v>
      </c>
      <c r="F72" s="121">
        <f>F$53</f>
        <v>10</v>
      </c>
      <c r="H72" s="3"/>
      <c r="I72" s="105">
        <f>I67</f>
        <v>268358</v>
      </c>
      <c r="J72" s="65" t="s">
        <v>63</v>
      </c>
      <c r="K72" s="26">
        <f>ROUND(I72*L61,0)</f>
        <v>3408</v>
      </c>
      <c r="L72" s="3" t="s">
        <v>62</v>
      </c>
      <c r="M72" s="61" t="s">
        <v>1566</v>
      </c>
      <c r="N72" s="17"/>
      <c r="P72"/>
      <c r="Q72"/>
    </row>
    <row r="73" spans="1:17" x14ac:dyDescent="0.35">
      <c r="A73" s="1"/>
      <c r="C73" s="3" t="s">
        <v>40</v>
      </c>
      <c r="D73" s="392"/>
      <c r="E73" s="122" t="str">
        <f>E$53</f>
        <v>&gt;</v>
      </c>
      <c r="F73" s="121">
        <f>F$53</f>
        <v>10</v>
      </c>
      <c r="H73" s="3"/>
      <c r="I73" s="351">
        <f>I68</f>
        <v>846731</v>
      </c>
      <c r="J73" s="65" t="s">
        <v>63</v>
      </c>
      <c r="K73" s="37">
        <f>ROUND(I73*N61,0)</f>
        <v>0</v>
      </c>
      <c r="L73" s="3" t="s">
        <v>62</v>
      </c>
      <c r="M73" s="61" t="s">
        <v>1562</v>
      </c>
      <c r="N73" s="17"/>
      <c r="P73"/>
      <c r="Q73"/>
    </row>
    <row r="74" spans="1:17" x14ac:dyDescent="0.35">
      <c r="A74" s="1"/>
      <c r="C74" s="3"/>
      <c r="F74" s="66"/>
      <c r="G74" s="908">
        <f>J45</f>
        <v>131991</v>
      </c>
      <c r="H74" s="63" t="s">
        <v>31</v>
      </c>
      <c r="I74" s="28">
        <f>SUM(I72:I73)</f>
        <v>1115089</v>
      </c>
      <c r="J74" s="65" t="s">
        <v>63</v>
      </c>
      <c r="K74" s="103">
        <f>SUM(K72:K73)</f>
        <v>3408</v>
      </c>
      <c r="L74" s="3" t="s">
        <v>1637</v>
      </c>
      <c r="M74" s="61" t="s">
        <v>1724</v>
      </c>
      <c r="N74" s="17"/>
      <c r="P74"/>
      <c r="Q74"/>
    </row>
    <row r="75" spans="1:17" x14ac:dyDescent="0.35">
      <c r="A75" s="1"/>
      <c r="F75" s="3"/>
      <c r="G75" s="3"/>
      <c r="H75" s="3"/>
      <c r="I75" s="3"/>
      <c r="J75" s="3"/>
      <c r="K75" s="3"/>
      <c r="L75" s="3"/>
      <c r="M75" s="61" t="s">
        <v>1725</v>
      </c>
      <c r="N75" s="17"/>
      <c r="P75"/>
      <c r="Q75"/>
    </row>
    <row r="76" spans="1:17" x14ac:dyDescent="0.35">
      <c r="A76" s="1"/>
      <c r="F76" s="34"/>
      <c r="G76" s="34">
        <f>G74-K74</f>
        <v>128583</v>
      </c>
      <c r="H76" s="63" t="s">
        <v>31</v>
      </c>
      <c r="I76" s="28">
        <f>I74</f>
        <v>1115089</v>
      </c>
      <c r="J76" s="65" t="s">
        <v>32</v>
      </c>
      <c r="K76" s="3"/>
      <c r="L76" s="3"/>
      <c r="M76" s="61" t="s">
        <v>1726</v>
      </c>
      <c r="N76" s="17"/>
      <c r="P76"/>
      <c r="Q76"/>
    </row>
    <row r="77" spans="1:17" ht="15" thickBot="1" x14ac:dyDescent="0.4">
      <c r="A77" s="1"/>
      <c r="F77" s="3"/>
      <c r="G77" s="3"/>
      <c r="H77" s="3"/>
      <c r="I77" s="3"/>
      <c r="J77" s="3"/>
      <c r="K77" s="34"/>
      <c r="L77" s="34"/>
      <c r="M77" s="34"/>
      <c r="N77" s="17"/>
      <c r="P77"/>
      <c r="Q77"/>
    </row>
    <row r="78" spans="1:17" ht="15.5" thickTop="1" thickBot="1" x14ac:dyDescent="0.4">
      <c r="A78" s="1"/>
      <c r="F78" s="64"/>
      <c r="G78" s="101" t="s">
        <v>32</v>
      </c>
      <c r="H78" s="63" t="s">
        <v>31</v>
      </c>
      <c r="I78" s="352">
        <f>ROUND(G76/I76,4)</f>
        <v>0.1153</v>
      </c>
      <c r="J78" s="892" t="s">
        <v>1568</v>
      </c>
      <c r="K78" s="143"/>
      <c r="L78" s="17"/>
      <c r="M78" s="61" t="s">
        <v>1727</v>
      </c>
      <c r="N78" s="17"/>
      <c r="P78"/>
      <c r="Q78"/>
    </row>
    <row r="79" spans="1:17" ht="15" thickTop="1" x14ac:dyDescent="0.35">
      <c r="A79" s="1"/>
      <c r="P79"/>
      <c r="Q79"/>
    </row>
    <row r="80" spans="1:17" ht="15" thickBot="1" x14ac:dyDescent="0.4">
      <c r="B80" s="334" t="str">
        <f>CONCATENATE($A$4," at Proposed T&amp;D Rates")</f>
        <v>SC12 Rate I at Proposed T&amp;D Rates</v>
      </c>
      <c r="P80"/>
      <c r="Q80"/>
    </row>
    <row r="81" spans="1:17" ht="15" thickBot="1" x14ac:dyDescent="0.4">
      <c r="C81" s="60" t="s">
        <v>5</v>
      </c>
      <c r="D81" s="353">
        <f>$L$4</f>
        <v>2020</v>
      </c>
      <c r="E81" s="58"/>
      <c r="F81" s="58"/>
      <c r="G81" s="59"/>
      <c r="H81" s="59"/>
      <c r="I81" s="59"/>
      <c r="J81" s="59"/>
      <c r="K81" s="98"/>
      <c r="L81" s="3"/>
      <c r="M81" s="3"/>
      <c r="N81" s="17"/>
      <c r="O81" s="3"/>
      <c r="P81"/>
      <c r="Q81"/>
    </row>
    <row r="82" spans="1:17" ht="15.5" thickTop="1" thickBot="1" x14ac:dyDescent="0.4">
      <c r="C82" s="96"/>
      <c r="D82" s="44"/>
      <c r="E82" s="44"/>
      <c r="F82" s="44"/>
      <c r="G82" s="44"/>
      <c r="H82" s="1307" t="s">
        <v>415</v>
      </c>
      <c r="I82" s="1308"/>
      <c r="J82" s="1309"/>
      <c r="K82" s="94"/>
      <c r="L82" s="3"/>
      <c r="M82" s="3"/>
      <c r="N82" s="3"/>
      <c r="P82"/>
      <c r="Q82"/>
    </row>
    <row r="83" spans="1:17" ht="15" thickTop="1" x14ac:dyDescent="0.35">
      <c r="C83" s="96"/>
      <c r="D83" s="44"/>
      <c r="E83" s="44"/>
      <c r="F83" s="44"/>
      <c r="G83" s="44"/>
      <c r="H83" s="56" t="s">
        <v>10</v>
      </c>
      <c r="I83" s="44"/>
      <c r="J83" s="56" t="s">
        <v>7</v>
      </c>
      <c r="K83" s="94"/>
      <c r="L83" s="3"/>
      <c r="M83" s="3"/>
      <c r="N83" s="3"/>
      <c r="P83"/>
      <c r="Q83"/>
    </row>
    <row r="84" spans="1:17" x14ac:dyDescent="0.35">
      <c r="C84" s="96" t="s">
        <v>377</v>
      </c>
      <c r="D84" s="355">
        <f>$D$52</f>
        <v>0</v>
      </c>
      <c r="E84" s="356" t="str">
        <f>$E$52</f>
        <v>-</v>
      </c>
      <c r="F84" s="355">
        <f>$F$52</f>
        <v>10</v>
      </c>
      <c r="G84" s="44"/>
      <c r="H84" s="357">
        <f>ROUND(($I$78+L59)*F84,2)</f>
        <v>13.34</v>
      </c>
      <c r="I84" s="358" t="s">
        <v>109</v>
      </c>
      <c r="J84" s="357">
        <f>ROUND(($I$78+N59)*F84,2)</f>
        <v>13.19</v>
      </c>
      <c r="K84" s="359" t="s">
        <v>1574</v>
      </c>
      <c r="L84" s="3"/>
      <c r="M84" s="3"/>
      <c r="N84" s="3"/>
      <c r="P84"/>
      <c r="Q84"/>
    </row>
    <row r="85" spans="1:17" x14ac:dyDescent="0.35">
      <c r="C85" s="96" t="s">
        <v>376</v>
      </c>
      <c r="D85" s="360"/>
      <c r="E85" s="356" t="str">
        <f>$E$53</f>
        <v>&gt;</v>
      </c>
      <c r="F85" s="355">
        <f>$F$53</f>
        <v>10</v>
      </c>
      <c r="G85" s="44"/>
      <c r="H85" s="357">
        <f>$I$78+L61</f>
        <v>0.128</v>
      </c>
      <c r="I85" s="358" t="s">
        <v>108</v>
      </c>
      <c r="J85" s="357">
        <f>I78</f>
        <v>0.1153</v>
      </c>
      <c r="K85" s="359" t="s">
        <v>1638</v>
      </c>
      <c r="L85" s="3"/>
      <c r="M85" s="3"/>
      <c r="N85" s="3"/>
      <c r="P85"/>
      <c r="Q85"/>
    </row>
    <row r="86" spans="1:17" ht="15" thickBot="1" x14ac:dyDescent="0.4">
      <c r="C86" s="93"/>
      <c r="D86" s="46"/>
      <c r="E86" s="46"/>
      <c r="F86" s="46"/>
      <c r="G86" s="46"/>
      <c r="H86" s="46"/>
      <c r="I86" s="46"/>
      <c r="J86" s="46"/>
      <c r="K86" s="91"/>
      <c r="L86" s="3"/>
      <c r="M86" s="3"/>
      <c r="N86" s="3"/>
      <c r="P86"/>
      <c r="Q86"/>
    </row>
    <row r="87" spans="1:17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/>
      <c r="Q87"/>
    </row>
    <row r="88" spans="1:17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/>
      <c r="Q88"/>
    </row>
    <row r="89" spans="1:17" x14ac:dyDescent="0.35">
      <c r="A89" s="334" t="s">
        <v>1579</v>
      </c>
      <c r="B89" s="410"/>
      <c r="C89" s="3"/>
      <c r="D89" s="3"/>
      <c r="E89" s="3"/>
      <c r="F89" s="3"/>
      <c r="G89" s="3"/>
      <c r="H89" s="3"/>
      <c r="I89" s="3"/>
      <c r="P89"/>
      <c r="Q89"/>
    </row>
    <row r="90" spans="1:17" x14ac:dyDescent="0.35">
      <c r="A90" s="334"/>
      <c r="B90" s="410"/>
      <c r="C90" s="3"/>
      <c r="D90" s="3"/>
      <c r="E90" s="3"/>
      <c r="F90" s="3"/>
      <c r="G90" s="3"/>
      <c r="H90" s="3"/>
      <c r="I90" s="3"/>
      <c r="P90"/>
      <c r="Q90"/>
    </row>
    <row r="91" spans="1:17" ht="15" thickBot="1" x14ac:dyDescent="0.4">
      <c r="A91" s="334"/>
      <c r="B91" s="334" t="str">
        <f>CONCATENATE($A$4," at Proposed T&amp;D Rates")</f>
        <v>SC12 Rate I at Proposed T&amp;D Rates</v>
      </c>
      <c r="C91" s="3"/>
      <c r="D91" s="3"/>
      <c r="E91" s="3"/>
      <c r="F91" s="3"/>
      <c r="G91" s="3"/>
      <c r="H91" s="3"/>
      <c r="I91" s="3"/>
      <c r="N91" s="367" t="s">
        <v>426</v>
      </c>
      <c r="O91" s="368">
        <f>$L$10</f>
        <v>1.0119199999999999</v>
      </c>
      <c r="P91"/>
      <c r="Q91" s="344" t="str">
        <f>$A$4</f>
        <v>SC12 Rate I</v>
      </c>
    </row>
    <row r="92" spans="1:17" ht="15.5" thickTop="1" thickBot="1" x14ac:dyDescent="0.4">
      <c r="A92" s="406"/>
      <c r="B92" s="407"/>
      <c r="H92" s="1307" t="s">
        <v>417</v>
      </c>
      <c r="I92" s="1308"/>
      <c r="J92" s="1309"/>
      <c r="K92" s="3"/>
      <c r="L92" s="1307" t="s">
        <v>422</v>
      </c>
      <c r="M92" s="1308"/>
      <c r="N92" s="1308"/>
      <c r="O92" s="1309"/>
      <c r="P92"/>
      <c r="Q92" s="935" t="s">
        <v>42</v>
      </c>
    </row>
    <row r="93" spans="1:17" ht="15" thickTop="1" x14ac:dyDescent="0.35">
      <c r="A93" s="406"/>
      <c r="B93" s="410"/>
      <c r="H93" s="30" t="s">
        <v>416</v>
      </c>
      <c r="I93" s="30" t="s">
        <v>418</v>
      </c>
      <c r="J93" s="36" t="s">
        <v>419</v>
      </c>
      <c r="K93" s="3"/>
      <c r="L93" s="30" t="s">
        <v>416</v>
      </c>
      <c r="M93" s="30" t="s">
        <v>423</v>
      </c>
      <c r="N93" s="30" t="s">
        <v>424</v>
      </c>
      <c r="O93" s="30" t="s">
        <v>425</v>
      </c>
      <c r="P93"/>
      <c r="Q93" s="36" t="s">
        <v>429</v>
      </c>
    </row>
    <row r="94" spans="1:17" x14ac:dyDescent="0.35">
      <c r="A94" s="406"/>
      <c r="B94" s="407" t="s">
        <v>42</v>
      </c>
      <c r="C94" s="3" t="s">
        <v>163</v>
      </c>
      <c r="H94" s="729"/>
      <c r="I94" s="104">
        <f>T9</f>
        <v>852</v>
      </c>
      <c r="J94" s="421"/>
      <c r="K94" s="61"/>
      <c r="L94" s="365"/>
      <c r="M94" s="365"/>
      <c r="O94" s="134"/>
      <c r="P94"/>
      <c r="Q94" s="26"/>
    </row>
    <row r="95" spans="1:17" x14ac:dyDescent="0.35">
      <c r="A95" s="406"/>
      <c r="B95" s="406"/>
      <c r="C95" t="s">
        <v>377</v>
      </c>
      <c r="D95" s="121">
        <f>$D$52</f>
        <v>0</v>
      </c>
      <c r="E95" s="122" t="str">
        <f>$E$52</f>
        <v>-</v>
      </c>
      <c r="F95" s="121">
        <f>$F$52</f>
        <v>10</v>
      </c>
      <c r="H95" s="223">
        <f>H84</f>
        <v>13.34</v>
      </c>
      <c r="I95" s="104">
        <f>V6</f>
        <v>8366</v>
      </c>
      <c r="J95" s="825">
        <f>ROUND(H95*I94,0)</f>
        <v>11366</v>
      </c>
      <c r="K95" s="223"/>
      <c r="L95" s="365">
        <f>H95</f>
        <v>13.34</v>
      </c>
      <c r="M95" s="365">
        <f>L95</f>
        <v>13.34</v>
      </c>
      <c r="N95" s="366">
        <f>T6</f>
        <v>25</v>
      </c>
      <c r="O95" s="134">
        <f>ROUND(M95*N95*(O$91-1),0)</f>
        <v>4</v>
      </c>
      <c r="P95"/>
      <c r="Q95" s="26">
        <f>J95+O95</f>
        <v>11370</v>
      </c>
    </row>
    <row r="96" spans="1:17" x14ac:dyDescent="0.35">
      <c r="A96" s="406"/>
      <c r="B96" s="406"/>
      <c r="C96" s="3" t="s">
        <v>376</v>
      </c>
      <c r="D96" s="36"/>
      <c r="E96" s="122" t="str">
        <f>$E$53</f>
        <v>&gt;</v>
      </c>
      <c r="F96" s="121">
        <f>$F$53</f>
        <v>10</v>
      </c>
      <c r="H96" s="223">
        <f>H85</f>
        <v>0.128</v>
      </c>
      <c r="I96" s="104">
        <f>V7</f>
        <v>268358</v>
      </c>
      <c r="J96" s="26">
        <f>ROUND(H96*I96,0)</f>
        <v>34350</v>
      </c>
      <c r="K96" s="223"/>
      <c r="L96" s="365">
        <f>H96</f>
        <v>0.128</v>
      </c>
      <c r="M96" s="752">
        <f>ROUND(M95-L96*F96,3)</f>
        <v>12.06</v>
      </c>
      <c r="N96" s="366">
        <f>T7</f>
        <v>827</v>
      </c>
      <c r="O96" s="134">
        <f>ROUND(M96*N96*(O$91-1),0)</f>
        <v>119</v>
      </c>
      <c r="P96"/>
      <c r="Q96" s="26">
        <f>J96+O96</f>
        <v>34469</v>
      </c>
    </row>
    <row r="97" spans="1:18" x14ac:dyDescent="0.35">
      <c r="A97" s="406"/>
      <c r="B97" s="406"/>
      <c r="C97" s="3" t="s">
        <v>420</v>
      </c>
      <c r="D97" s="3"/>
      <c r="E97" s="3"/>
      <c r="F97" s="3"/>
      <c r="H97" s="223"/>
      <c r="I97" s="223"/>
      <c r="J97" s="32">
        <f>SUM(J94:J96)</f>
        <v>45716</v>
      </c>
      <c r="K97" s="223"/>
      <c r="L97" s="3"/>
      <c r="M97" s="3"/>
      <c r="N97" s="3"/>
      <c r="O97" s="32">
        <f>SUM(O94:O96)</f>
        <v>123</v>
      </c>
      <c r="P97"/>
      <c r="Q97" s="32">
        <f>SUM(Q94:Q96)</f>
        <v>45839</v>
      </c>
    </row>
    <row r="98" spans="1:18" s="1" customFormat="1" x14ac:dyDescent="0.35">
      <c r="A98" s="464"/>
      <c r="B98" s="464"/>
      <c r="C98" s="2"/>
      <c r="D98" s="121"/>
      <c r="E98" s="121"/>
      <c r="F98" s="361"/>
      <c r="H98" s="223"/>
      <c r="I98" s="362"/>
      <c r="J98" s="223"/>
      <c r="K98" s="362"/>
      <c r="L98" s="363"/>
      <c r="M98" s="364"/>
      <c r="N98" s="363"/>
    </row>
    <row r="99" spans="1:18" s="1" customFormat="1" ht="15" thickBot="1" x14ac:dyDescent="0.4">
      <c r="A99" s="464"/>
      <c r="B99" s="464"/>
      <c r="C99" s="2"/>
      <c r="D99" s="121"/>
      <c r="E99" s="121"/>
      <c r="F99" s="361"/>
      <c r="H99" s="223"/>
      <c r="I99" s="362"/>
      <c r="J99" s="223"/>
      <c r="K99" s="362"/>
      <c r="L99"/>
      <c r="M99"/>
      <c r="N99" s="367" t="s">
        <v>426</v>
      </c>
      <c r="O99" s="368">
        <f>$L$11</f>
        <v>1.01067</v>
      </c>
    </row>
    <row r="100" spans="1:18" s="1" customFormat="1" ht="15.5" thickTop="1" thickBot="1" x14ac:dyDescent="0.4">
      <c r="A100" s="464"/>
      <c r="B100" s="464"/>
      <c r="C100" s="2"/>
      <c r="D100" s="121"/>
      <c r="E100" s="121"/>
      <c r="F100" s="361"/>
      <c r="H100" s="1307" t="s">
        <v>417</v>
      </c>
      <c r="I100" s="1308"/>
      <c r="J100" s="1309"/>
      <c r="K100" s="362"/>
      <c r="L100" s="1307" t="s">
        <v>422</v>
      </c>
      <c r="M100" s="1308"/>
      <c r="N100" s="1308"/>
      <c r="O100" s="1309"/>
      <c r="Q100" s="935" t="s">
        <v>40</v>
      </c>
    </row>
    <row r="101" spans="1:18" s="1" customFormat="1" ht="15" thickTop="1" x14ac:dyDescent="0.35">
      <c r="A101" s="464"/>
      <c r="B101" s="464"/>
      <c r="C101" s="2"/>
      <c r="D101" s="121"/>
      <c r="E101" s="121"/>
      <c r="F101" s="361"/>
      <c r="H101" s="30" t="s">
        <v>416</v>
      </c>
      <c r="I101" s="30" t="s">
        <v>418</v>
      </c>
      <c r="J101" s="36" t="s">
        <v>419</v>
      </c>
      <c r="K101" s="362"/>
      <c r="L101" s="30" t="s">
        <v>416</v>
      </c>
      <c r="M101" s="30" t="s">
        <v>423</v>
      </c>
      <c r="N101" s="30" t="s">
        <v>424</v>
      </c>
      <c r="O101" s="30" t="s">
        <v>425</v>
      </c>
      <c r="Q101" s="36" t="s">
        <v>429</v>
      </c>
    </row>
    <row r="102" spans="1:18" s="1" customFormat="1" x14ac:dyDescent="0.35">
      <c r="A102" s="464"/>
      <c r="B102" s="407" t="s">
        <v>40</v>
      </c>
      <c r="C102" s="3" t="s">
        <v>163</v>
      </c>
      <c r="D102"/>
      <c r="E102"/>
      <c r="F102"/>
      <c r="H102" s="729"/>
      <c r="I102" s="104">
        <f>T14</f>
        <v>1704</v>
      </c>
      <c r="J102" s="934"/>
      <c r="K102" s="362"/>
      <c r="L102" s="365"/>
      <c r="M102" s="365"/>
      <c r="N102"/>
      <c r="O102" s="134"/>
      <c r="P102"/>
      <c r="Q102" s="26"/>
    </row>
    <row r="103" spans="1:18" s="1" customFormat="1" x14ac:dyDescent="0.35">
      <c r="A103" s="464"/>
      <c r="B103" s="406"/>
      <c r="C103" t="s">
        <v>377</v>
      </c>
      <c r="D103" s="121">
        <f>$D$52</f>
        <v>0</v>
      </c>
      <c r="E103" s="122" t="str">
        <f>$E$52</f>
        <v>-</v>
      </c>
      <c r="F103" s="121">
        <f>$F$52</f>
        <v>10</v>
      </c>
      <c r="H103" s="223">
        <f>J84</f>
        <v>13.19</v>
      </c>
      <c r="I103" s="104">
        <f>V11</f>
        <v>16851</v>
      </c>
      <c r="J103" s="825">
        <f>ROUND(H103*I102,0)</f>
        <v>22476</v>
      </c>
      <c r="K103" s="362"/>
      <c r="L103" s="365">
        <f>H103</f>
        <v>13.19</v>
      </c>
      <c r="M103" s="365">
        <f>L103</f>
        <v>13.19</v>
      </c>
      <c r="N103" s="366">
        <f>T11</f>
        <v>29</v>
      </c>
      <c r="O103" s="134">
        <f>ROUND(M103*N103*(O$99-1),0)</f>
        <v>4</v>
      </c>
      <c r="Q103" s="26">
        <f>J103+O103</f>
        <v>22480</v>
      </c>
    </row>
    <row r="104" spans="1:18" s="1" customFormat="1" x14ac:dyDescent="0.35">
      <c r="A104" s="464"/>
      <c r="B104" s="406"/>
      <c r="C104" s="3" t="s">
        <v>376</v>
      </c>
      <c r="D104" s="36"/>
      <c r="E104" s="122" t="str">
        <f>$E$53</f>
        <v>&gt;</v>
      </c>
      <c r="F104" s="121">
        <f>$F$53</f>
        <v>10</v>
      </c>
      <c r="H104" s="223">
        <f>J85</f>
        <v>0.1153</v>
      </c>
      <c r="I104" s="104">
        <f>V12</f>
        <v>846731</v>
      </c>
      <c r="J104" s="825">
        <f>ROUND(H104*I104,0)</f>
        <v>97628</v>
      </c>
      <c r="K104" s="362"/>
      <c r="L104" s="365">
        <f>H104</f>
        <v>0.1153</v>
      </c>
      <c r="M104" s="752">
        <f>ROUND(M103-L104*F104,3)</f>
        <v>12.037000000000001</v>
      </c>
      <c r="N104" s="366">
        <f>T12</f>
        <v>1675</v>
      </c>
      <c r="O104" s="134">
        <f>ROUND(M104*N104*(O$99-1),0)</f>
        <v>215</v>
      </c>
      <c r="Q104" s="26">
        <f>J104+O104</f>
        <v>97843</v>
      </c>
    </row>
    <row r="105" spans="1:18" s="1" customFormat="1" x14ac:dyDescent="0.35">
      <c r="B105"/>
      <c r="C105" s="3" t="s">
        <v>421</v>
      </c>
      <c r="D105" s="3"/>
      <c r="E105" s="3"/>
      <c r="F105" s="3"/>
      <c r="H105" s="223"/>
      <c r="I105" s="223"/>
      <c r="J105" s="32">
        <f>SUM(J102:J104)</f>
        <v>120104</v>
      </c>
      <c r="K105" s="362"/>
      <c r="L105" s="3"/>
      <c r="M105" s="3"/>
      <c r="N105" s="3"/>
      <c r="O105" s="32">
        <f>SUM(O102:O104)</f>
        <v>219</v>
      </c>
      <c r="Q105" s="32">
        <f>SUM(Q102:Q104)</f>
        <v>120323</v>
      </c>
    </row>
    <row r="106" spans="1:18" s="1" customFormat="1" ht="15" thickBot="1" x14ac:dyDescent="0.4">
      <c r="C106" s="2"/>
      <c r="D106" s="121"/>
      <c r="E106" s="121"/>
      <c r="F106" s="361"/>
      <c r="H106" s="223"/>
      <c r="I106" s="362"/>
      <c r="J106" s="223"/>
      <c r="K106" s="362"/>
      <c r="L106" s="363"/>
      <c r="M106" s="364"/>
      <c r="N106" s="363"/>
      <c r="Q106" s="223"/>
    </row>
    <row r="107" spans="1:18" s="1" customFormat="1" ht="15.5" thickTop="1" thickBot="1" x14ac:dyDescent="0.4">
      <c r="C107" s="25" t="str">
        <f>CONCATENATE($A$4," Energy Only - Annual Revenue Price-Out at Proposed Rates:")</f>
        <v>SC12 Rate I Energy Only - Annual Revenue Price-Out at Proposed Rates:</v>
      </c>
      <c r="D107" s="121"/>
      <c r="E107" s="121"/>
      <c r="F107" s="361"/>
      <c r="H107" s="223"/>
      <c r="I107" s="222" t="s">
        <v>427</v>
      </c>
      <c r="J107" s="243">
        <f>J97+J105</f>
        <v>165820</v>
      </c>
      <c r="K107" s="362"/>
      <c r="L107" s="363"/>
      <c r="M107" s="364"/>
      <c r="N107" s="222" t="s">
        <v>428</v>
      </c>
      <c r="O107" s="243">
        <f>O97+O105</f>
        <v>342</v>
      </c>
      <c r="Q107" s="243">
        <f>Q97+Q105</f>
        <v>166162</v>
      </c>
      <c r="R107" s="374">
        <f>J107+O107-Q107</f>
        <v>0</v>
      </c>
    </row>
    <row r="108" spans="1:18" ht="15.5" thickTop="1" thickBot="1" x14ac:dyDescent="0.4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7"/>
      <c r="O108" s="3"/>
      <c r="P108" s="2"/>
      <c r="Q108" s="2"/>
    </row>
    <row r="109" spans="1:18" x14ac:dyDescent="0.35">
      <c r="B109" s="3"/>
      <c r="C109" s="23" t="str">
        <f>CONCATENATE($A$4," - Energy Only")</f>
        <v>SC12 Rate I - Energy Only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1" t="s">
        <v>6</v>
      </c>
      <c r="N109" s="3"/>
      <c r="O109" s="2"/>
      <c r="P109" s="2"/>
      <c r="Q109" s="2"/>
    </row>
    <row r="110" spans="1:18" x14ac:dyDescent="0.35">
      <c r="B110" s="3"/>
      <c r="C110" s="11" t="s">
        <v>5</v>
      </c>
      <c r="D110" s="1305">
        <f>L4</f>
        <v>2020</v>
      </c>
      <c r="E110" s="1305"/>
      <c r="F110" s="1305"/>
      <c r="G110" s="10"/>
      <c r="H110" s="10"/>
      <c r="I110" s="10"/>
      <c r="J110" s="10"/>
      <c r="K110" s="10"/>
      <c r="L110" s="10"/>
      <c r="M110" s="13"/>
      <c r="N110" s="3"/>
      <c r="O110" s="2"/>
      <c r="P110" s="2"/>
      <c r="Q110" s="2"/>
    </row>
    <row r="111" spans="1:18" x14ac:dyDescent="0.35">
      <c r="B111" s="3"/>
      <c r="C111" s="699" t="s">
        <v>519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2">
        <f>Q107</f>
        <v>166162</v>
      </c>
      <c r="N111" s="3"/>
      <c r="O111" s="2"/>
      <c r="P111" s="2"/>
      <c r="Q111" s="2"/>
    </row>
    <row r="112" spans="1:18" x14ac:dyDescent="0.35">
      <c r="B112" s="3"/>
      <c r="C112" s="11"/>
      <c r="D112" s="10"/>
      <c r="E112" s="10"/>
      <c r="F112" s="10"/>
      <c r="G112" s="10"/>
      <c r="H112" s="10"/>
      <c r="I112" s="10"/>
      <c r="J112" s="10"/>
      <c r="K112" s="10"/>
      <c r="L112" s="10"/>
      <c r="M112" s="13"/>
      <c r="N112" s="3"/>
      <c r="O112" s="2"/>
      <c r="P112" s="2"/>
      <c r="Q112" s="2"/>
    </row>
    <row r="113" spans="1:17" x14ac:dyDescent="0.35">
      <c r="B113" s="3"/>
      <c r="C113" s="11"/>
      <c r="D113" s="10" t="s">
        <v>2</v>
      </c>
      <c r="E113" s="10"/>
      <c r="F113" s="10"/>
      <c r="G113" s="10"/>
      <c r="H113" s="10"/>
      <c r="I113" s="10"/>
      <c r="J113" s="10"/>
      <c r="K113" s="10"/>
      <c r="L113" s="10"/>
      <c r="M113" s="828">
        <f>L26</f>
        <v>166159</v>
      </c>
      <c r="N113" s="3"/>
      <c r="O113" s="3"/>
      <c r="P113" s="2"/>
      <c r="Q113" s="2"/>
    </row>
    <row r="114" spans="1:17" x14ac:dyDescent="0.35">
      <c r="B114" s="3"/>
      <c r="C114" s="11"/>
      <c r="D114" s="10" t="s">
        <v>1</v>
      </c>
      <c r="E114" s="10"/>
      <c r="F114" s="10"/>
      <c r="G114" s="10"/>
      <c r="H114" s="10"/>
      <c r="I114" s="10"/>
      <c r="J114" s="10"/>
      <c r="K114" s="10"/>
      <c r="L114" s="10"/>
      <c r="M114" s="12">
        <f>M111-M113</f>
        <v>3</v>
      </c>
      <c r="N114" s="3"/>
      <c r="O114" s="3"/>
      <c r="P114" s="2"/>
      <c r="Q114" s="2"/>
    </row>
    <row r="115" spans="1:17" x14ac:dyDescent="0.35">
      <c r="B115" s="3"/>
      <c r="C115" s="11"/>
      <c r="D115" s="10" t="s">
        <v>0</v>
      </c>
      <c r="E115" s="10"/>
      <c r="F115" s="10"/>
      <c r="G115" s="10"/>
      <c r="H115" s="10"/>
      <c r="I115" s="10"/>
      <c r="J115" s="10"/>
      <c r="K115" s="10"/>
      <c r="L115" s="10"/>
      <c r="M115" s="9">
        <f>M111/M113-1</f>
        <v>1.8054995516436634E-5</v>
      </c>
      <c r="N115" s="3"/>
      <c r="O115" s="3"/>
      <c r="P115" s="2"/>
      <c r="Q115" s="2"/>
    </row>
    <row r="116" spans="1:17" ht="15" thickBot="1" x14ac:dyDescent="0.4">
      <c r="B116" s="3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5"/>
      <c r="N116" s="4"/>
      <c r="O116" s="3"/>
      <c r="P116" s="2"/>
      <c r="Q116" s="2"/>
    </row>
    <row r="117" spans="1:17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2"/>
    </row>
    <row r="118" spans="1:17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2"/>
    </row>
  </sheetData>
  <mergeCells count="9">
    <mergeCell ref="H100:J100"/>
    <mergeCell ref="L100:O100"/>
    <mergeCell ref="D110:F110"/>
    <mergeCell ref="H49:J49"/>
    <mergeCell ref="L49:N49"/>
    <mergeCell ref="L57:N57"/>
    <mergeCell ref="H82:J82"/>
    <mergeCell ref="H92:J92"/>
    <mergeCell ref="L92:O92"/>
  </mergeCells>
  <printOptions horizontalCentered="1"/>
  <pageMargins left="0.2" right="0.2" top="0.5" bottom="0.5" header="0.3" footer="0.3"/>
  <pageSetup scale="40" orientation="landscape" r:id="rId1"/>
  <headerFooter>
    <oddFooter>&amp;C&amp;F (Tab: &amp;A)&amp;RPage &amp;P / &amp;N</oddFooter>
  </headerFooter>
  <rowBreaks count="1" manualBreakCount="1">
    <brk id="88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5">
    <tabColor theme="5"/>
  </sheetPr>
  <dimension ref="A1"/>
  <sheetViews>
    <sheetView workbookViewId="0">
      <selection activeCell="S32" sqref="S32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4">
    <tabColor rgb="FFFFFF00"/>
  </sheetPr>
  <dimension ref="B1:I142"/>
  <sheetViews>
    <sheetView workbookViewId="0">
      <selection activeCell="M66" sqref="M66"/>
    </sheetView>
  </sheetViews>
  <sheetFormatPr defaultRowHeight="14.5" outlineLevelCol="1" x14ac:dyDescent="0.35"/>
  <cols>
    <col min="1" max="1" width="4" customWidth="1"/>
    <col min="2" max="2" width="6" customWidth="1"/>
    <col min="3" max="3" width="38.453125" customWidth="1"/>
    <col min="4" max="4" width="17.7265625" customWidth="1"/>
    <col min="5" max="5" width="15.54296875" customWidth="1"/>
    <col min="6" max="6" width="14.26953125" style="425" customWidth="1"/>
    <col min="7" max="7" width="14.26953125" customWidth="1"/>
    <col min="8" max="8" width="17.7265625" customWidth="1" outlineLevel="1"/>
    <col min="9" max="11" width="14.26953125" customWidth="1"/>
    <col min="12" max="12" width="7.7265625" customWidth="1"/>
    <col min="13" max="14" width="14.26953125" customWidth="1"/>
  </cols>
  <sheetData>
    <row r="1" spans="2:9" ht="18.5" x14ac:dyDescent="0.45">
      <c r="B1" s="447" t="s">
        <v>751</v>
      </c>
      <c r="C1" s="189" t="s">
        <v>540</v>
      </c>
    </row>
    <row r="2" spans="2:9" x14ac:dyDescent="0.35">
      <c r="C2" s="126" t="str">
        <f>CONCATENATE('11B.)Demand_RateDesign_SC5_I'!$D$3," $",'11B.)Demand_RateDesign_SC5_I'!$G$3/1000000,"M")</f>
        <v>Proposed Rate Change: $113.251M</v>
      </c>
    </row>
    <row r="3" spans="2:9" x14ac:dyDescent="0.35">
      <c r="C3" s="1072" t="s">
        <v>150</v>
      </c>
      <c r="D3" s="833">
        <f>'[1]A1.)RatesInput'!$G$4</f>
        <v>2019</v>
      </c>
    </row>
    <row r="4" spans="2:9" x14ac:dyDescent="0.35">
      <c r="C4" s="367" t="s">
        <v>5</v>
      </c>
      <c r="D4" s="833">
        <f>'[1]A1.)RatesInput'!$I$3</f>
        <v>2020</v>
      </c>
      <c r="E4" s="1" t="str">
        <f>'[1]A1.)RatesInput'!$I$2</f>
        <v>RY1</v>
      </c>
    </row>
    <row r="5" spans="2:9" ht="15" thickBot="1" x14ac:dyDescent="0.4">
      <c r="C5" s="367" t="s">
        <v>534</v>
      </c>
      <c r="D5" s="595" t="str">
        <f>CONCATENATE('8B.)ED Shift_RedesignRateSum'!$D$5*100,"% Energy Demand Revenue Shifting")</f>
        <v>5% Energy Demand Revenue Shifting</v>
      </c>
      <c r="E5" s="595"/>
    </row>
    <row r="6" spans="2:9" ht="15" thickBot="1" x14ac:dyDescent="0.4">
      <c r="B6" s="131" t="s">
        <v>533</v>
      </c>
      <c r="C6" s="435" t="s">
        <v>529</v>
      </c>
      <c r="D6" s="400" t="str">
        <f>'11B.)Demand_RateDesign_SC5_I'!$A$4</f>
        <v>SC5 Rate I</v>
      </c>
      <c r="E6" s="436"/>
    </row>
    <row r="7" spans="2:9" x14ac:dyDescent="0.35">
      <c r="C7" s="435" t="s">
        <v>528</v>
      </c>
      <c r="D7" s="372" t="s">
        <v>911</v>
      </c>
    </row>
    <row r="8" spans="2:9" x14ac:dyDescent="0.35">
      <c r="H8" s="296" t="s">
        <v>964</v>
      </c>
    </row>
    <row r="9" spans="2:9" x14ac:dyDescent="0.35">
      <c r="C9" s="435" t="s">
        <v>527</v>
      </c>
      <c r="D9" s="1235" t="s">
        <v>2149</v>
      </c>
      <c r="E9" s="428" t="s">
        <v>521</v>
      </c>
      <c r="F9" s="428" t="s">
        <v>526</v>
      </c>
      <c r="H9" s="805">
        <v>2019</v>
      </c>
    </row>
    <row r="10" spans="2:9" x14ac:dyDescent="0.35">
      <c r="D10" s="577" t="s">
        <v>539</v>
      </c>
      <c r="E10" s="296"/>
      <c r="H10" s="296" t="s">
        <v>963</v>
      </c>
    </row>
    <row r="11" spans="2:9" x14ac:dyDescent="0.35">
      <c r="C11" s="406" t="s">
        <v>318</v>
      </c>
      <c r="D11" s="572">
        <f>IF('[1]A1.)RatesInput'!$P$99="Y",IF(ISNUMBER(VLOOKUP($C11,'[1]A1.)RatesInput'!$B$102:$Q$190,HLOOKUP(D$9,'[1]A1.)RatesInput'!$O$102:$Q$104,3,0),0)),VLOOKUP($C11,'[1]A1.)RatesInput'!$B$102:$Q$190,HLOOKUP(D$9,'[1]A1.)RatesInput'!$O$102:$Q$104,3,0),0),0),IF(ISNUMBER(VLOOKUP($C11,'[1]A1.)RatesInput'!$B$102:$I$190,HLOOKUP(D$9,'[1]A1.)RatesInput'!$D$102:$I$104,3,0),0)),VLOOKUP($C11,'[1]A1.)RatesInput'!$B$102:$I$190,HLOOKUP(D$9,'[1]A1.)RatesInput'!$D$102:$I$104,3,0),0),0))</f>
        <v>3.7900000000000003E-2</v>
      </c>
      <c r="E11" s="848">
        <f>'11B.)Demand_RateDesign_SC5_I'!$H8</f>
        <v>3.7900000000000003E-2</v>
      </c>
      <c r="F11" s="952">
        <f t="shared" ref="F11:F22" si="0">IF(ISNUMBER(E11/D11-1),E11/D11-1,"")</f>
        <v>0</v>
      </c>
      <c r="G11" s="406"/>
      <c r="H11" s="572">
        <f>IF(ISNUMBER(VLOOKUP($C11,'[1]A1.)RatesInput'!$B$102:$L$190,HLOOKUP(H$9,'[1]A1.)RatesInput'!$D$102:$L$104,3,0),0)),VLOOKUP($C11,'[1]A1.)RatesInput'!$B$102:$L$190,HLOOKUP(H$9,'[1]A1.)RatesInput'!$D$102:$L$104,3,0),0),0)</f>
        <v>3.9899999999999998E-2</v>
      </c>
      <c r="I11" s="406"/>
    </row>
    <row r="12" spans="2:9" x14ac:dyDescent="0.35">
      <c r="C12" s="406" t="s">
        <v>319</v>
      </c>
      <c r="D12" s="571">
        <f>IF('[1]A1.)RatesInput'!$P$99="Y",IF(ISNUMBER(VLOOKUP($C12,'[1]A1.)RatesInput'!$B$102:$Q$190,HLOOKUP(D$9,'[1]A1.)RatesInput'!$O$102:$Q$104,3,0),0)),VLOOKUP($C12,'[1]A1.)RatesInput'!$B$102:$Q$190,HLOOKUP(D$9,'[1]A1.)RatesInput'!$O$102:$Q$104,3,0),0),0),IF(ISNUMBER(VLOOKUP($C12,'[1]A1.)RatesInput'!$B$102:$I$190,HLOOKUP(D$9,'[1]A1.)RatesInput'!$D$102:$I$104,3,0),0)),VLOOKUP($C12,'[1]A1.)RatesInput'!$B$102:$I$190,HLOOKUP(D$9,'[1]A1.)RatesInput'!$D$102:$I$104,3,0),0),0))</f>
        <v>3.7900000000000003E-2</v>
      </c>
      <c r="E12" s="846">
        <f>'11B.)Demand_RateDesign_SC5_I'!$H9</f>
        <v>3.7900000000000003E-2</v>
      </c>
      <c r="F12" s="953">
        <f t="shared" si="0"/>
        <v>0</v>
      </c>
      <c r="G12" s="406"/>
      <c r="H12" s="571">
        <f>IF(ISNUMBER(VLOOKUP($C12,'[1]A1.)RatesInput'!$B$102:$L$190,HLOOKUP(H$9,'[1]A1.)RatesInput'!$D$102:$L$104,3,0),0)),VLOOKUP($C12,'[1]A1.)RatesInput'!$B$102:$L$190,HLOOKUP(H$9,'[1]A1.)RatesInput'!$D$102:$L$104,3,0),0),0)</f>
        <v>3.9899999999999998E-2</v>
      </c>
      <c r="I12" s="406"/>
    </row>
    <row r="13" spans="2:9" x14ac:dyDescent="0.35">
      <c r="C13" s="406" t="s">
        <v>320</v>
      </c>
      <c r="D13" s="571">
        <f>IF('[1]A1.)RatesInput'!$P$99="Y",IF(ISNUMBER(VLOOKUP($C13,'[1]A1.)RatesInput'!$B$102:$Q$190,HLOOKUP(D$9,'[1]A1.)RatesInput'!$O$102:$Q$104,3,0),0)),VLOOKUP($C13,'[1]A1.)RatesInput'!$B$102:$Q$190,HLOOKUP(D$9,'[1]A1.)RatesInput'!$O$102:$Q$104,3,0),0),0),IF(ISNUMBER(VLOOKUP($C13,'[1]A1.)RatesInput'!$B$102:$I$190,HLOOKUP(D$9,'[1]A1.)RatesInput'!$D$102:$I$104,3,0),0)),VLOOKUP($C13,'[1]A1.)RatesInput'!$B$102:$I$190,HLOOKUP(D$9,'[1]A1.)RatesInput'!$D$102:$I$104,3,0),0),0))</f>
        <v>178.73</v>
      </c>
      <c r="E13" s="846">
        <f>'11B.)Demand_RateDesign_SC5_I'!$H10</f>
        <v>212.21</v>
      </c>
      <c r="F13" s="953">
        <f t="shared" si="0"/>
        <v>0.1873216583673698</v>
      </c>
      <c r="G13" s="406"/>
      <c r="H13" s="571">
        <f>IF(ISNUMBER(VLOOKUP($C13,'[1]A1.)RatesInput'!$B$102:$L$190,HLOOKUP(H$9,'[1]A1.)RatesInput'!$D$102:$L$104,3,0),0)),VLOOKUP($C13,'[1]A1.)RatesInput'!$B$102:$L$190,HLOOKUP(H$9,'[1]A1.)RatesInput'!$D$102:$L$104,3,0),0),0)</f>
        <v>173</v>
      </c>
      <c r="I13" s="406"/>
    </row>
    <row r="14" spans="2:9" x14ac:dyDescent="0.35">
      <c r="C14" s="406" t="s">
        <v>321</v>
      </c>
      <c r="D14" s="571">
        <f>IF('[1]A1.)RatesInput'!$P$99="Y",IF(ISNUMBER(VLOOKUP($C14,'[1]A1.)RatesInput'!$B$102:$Q$190,HLOOKUP(D$9,'[1]A1.)RatesInput'!$O$102:$Q$104,3,0),0)),VLOOKUP($C14,'[1]A1.)RatesInput'!$B$102:$Q$190,HLOOKUP(D$9,'[1]A1.)RatesInput'!$O$102:$Q$104,3,0),0),0),IF(ISNUMBER(VLOOKUP($C14,'[1]A1.)RatesInput'!$B$102:$I$190,HLOOKUP(D$9,'[1]A1.)RatesInput'!$D$102:$I$104,3,0),0)),VLOOKUP($C14,'[1]A1.)RatesInput'!$B$102:$I$190,HLOOKUP(D$9,'[1]A1.)RatesInput'!$D$102:$I$104,3,0),0),0))</f>
        <v>31.369999999999997</v>
      </c>
      <c r="E14" s="846">
        <f>'11B.)Demand_RateDesign_SC5_I'!$H11</f>
        <v>34.659999999999997</v>
      </c>
      <c r="F14" s="953">
        <f t="shared" si="0"/>
        <v>0.10487727127829127</v>
      </c>
      <c r="G14" s="406"/>
      <c r="H14" s="571">
        <f>IF(ISNUMBER(VLOOKUP($C14,'[1]A1.)RatesInput'!$B$102:$L$190,HLOOKUP(H$9,'[1]A1.)RatesInput'!$D$102:$L$104,3,0),0)),VLOOKUP($C14,'[1]A1.)RatesInput'!$B$102:$L$190,HLOOKUP(H$9,'[1]A1.)RatesInput'!$D$102:$L$104,3,0),0),0)</f>
        <v>30.36</v>
      </c>
      <c r="I14" s="406"/>
    </row>
    <row r="15" spans="2:9" x14ac:dyDescent="0.35">
      <c r="C15" s="406" t="s">
        <v>322</v>
      </c>
      <c r="D15" s="571">
        <f>IF('[1]A1.)RatesInput'!$P$99="Y",IF(ISNUMBER(VLOOKUP($C15,'[1]A1.)RatesInput'!$B$102:$Q$190,HLOOKUP(D$9,'[1]A1.)RatesInput'!$O$102:$Q$104,3,0),0)),VLOOKUP($C15,'[1]A1.)RatesInput'!$B$102:$Q$190,HLOOKUP(D$9,'[1]A1.)RatesInput'!$O$102:$Q$104,3,0),0),0),IF(ISNUMBER(VLOOKUP($C15,'[1]A1.)RatesInput'!$B$102:$I$190,HLOOKUP(D$9,'[1]A1.)RatesInput'!$D$102:$I$104,3,0),0)),VLOOKUP($C15,'[1]A1.)RatesInput'!$B$102:$I$190,HLOOKUP(D$9,'[1]A1.)RatesInput'!$D$102:$I$104,3,0),0),0))</f>
        <v>114.67</v>
      </c>
      <c r="E15" s="846">
        <f>'11B.)Demand_RateDesign_SC5_I'!$H12</f>
        <v>139.19999999999999</v>
      </c>
      <c r="F15" s="953">
        <f t="shared" si="0"/>
        <v>0.21391820005232387</v>
      </c>
      <c r="G15" s="406"/>
      <c r="H15" s="571">
        <f>IF(ISNUMBER(VLOOKUP($C15,'[1]A1.)RatesInput'!$B$102:$L$190,HLOOKUP(H$9,'[1]A1.)RatesInput'!$D$102:$L$104,3,0),0)),VLOOKUP($C15,'[1]A1.)RatesInput'!$B$102:$L$190,HLOOKUP(H$9,'[1]A1.)RatesInput'!$D$102:$L$104,3,0),0),0)</f>
        <v>110.99</v>
      </c>
      <c r="I15" s="406"/>
    </row>
    <row r="16" spans="2:9" x14ac:dyDescent="0.35">
      <c r="C16" s="406" t="s">
        <v>323</v>
      </c>
      <c r="D16" s="571">
        <f>IF('[1]A1.)RatesInput'!$P$99="Y",IF(ISNUMBER(VLOOKUP($C16,'[1]A1.)RatesInput'!$B$102:$Q$190,HLOOKUP(D$9,'[1]A1.)RatesInput'!$O$102:$Q$104,3,0),0)),VLOOKUP($C16,'[1]A1.)RatesInput'!$B$102:$Q$190,HLOOKUP(D$9,'[1]A1.)RatesInput'!$O$102:$Q$104,3,0),0),0),IF(ISNUMBER(VLOOKUP($C16,'[1]A1.)RatesInput'!$B$102:$I$190,HLOOKUP(D$9,'[1]A1.)RatesInput'!$D$102:$I$104,3,0),0)),VLOOKUP($C16,'[1]A1.)RatesInput'!$B$102:$I$190,HLOOKUP(D$9,'[1]A1.)RatesInput'!$D$102:$I$104,3,0),0),0))</f>
        <v>19.97</v>
      </c>
      <c r="E16" s="846">
        <f>'11B.)Demand_RateDesign_SC5_I'!$H13</f>
        <v>22.06</v>
      </c>
      <c r="F16" s="953">
        <f t="shared" si="0"/>
        <v>0.10465698547821733</v>
      </c>
      <c r="G16" s="406"/>
      <c r="H16" s="571">
        <f>IF(ISNUMBER(VLOOKUP($C16,'[1]A1.)RatesInput'!$B$102:$L$190,HLOOKUP(H$9,'[1]A1.)RatesInput'!$D$102:$L$104,3,0),0)),VLOOKUP($C16,'[1]A1.)RatesInput'!$B$102:$L$190,HLOOKUP(H$9,'[1]A1.)RatesInput'!$D$102:$L$104,3,0),0),0)</f>
        <v>19.329999999999998</v>
      </c>
      <c r="I16" s="406"/>
    </row>
    <row r="17" spans="2:9" x14ac:dyDescent="0.35">
      <c r="C17" s="406" t="s">
        <v>324</v>
      </c>
      <c r="D17" s="571">
        <f>IF('[1]A1.)RatesInput'!$P$99="Y",IF(ISNUMBER(VLOOKUP($C17,'[1]A1.)RatesInput'!$B$102:$Q$190,HLOOKUP(D$9,'[1]A1.)RatesInput'!$O$102:$Q$104,3,0),0)),VLOOKUP($C17,'[1]A1.)RatesInput'!$B$102:$Q$190,HLOOKUP(D$9,'[1]A1.)RatesInput'!$O$102:$Q$104,3,0),0),0),IF(ISNUMBER(VLOOKUP($C17,'[1]A1.)RatesInput'!$B$102:$I$190,HLOOKUP(D$9,'[1]A1.)RatesInput'!$D$102:$I$104,3,0),0)),VLOOKUP($C17,'[1]A1.)RatesInput'!$B$102:$I$190,HLOOKUP(D$9,'[1]A1.)RatesInput'!$D$102:$I$104,3,0),0),0))</f>
        <v>3.7900000000000003E-2</v>
      </c>
      <c r="E17" s="846">
        <f>'11B.)Demand_RateDesign_SC5_I'!$H14</f>
        <v>3.7900000000000003E-2</v>
      </c>
      <c r="F17" s="953">
        <f t="shared" si="0"/>
        <v>0</v>
      </c>
      <c r="G17" s="406"/>
      <c r="H17" s="571">
        <f>IF(ISNUMBER(VLOOKUP($C17,'[1]A1.)RatesInput'!$B$102:$L$190,HLOOKUP(H$9,'[1]A1.)RatesInput'!$D$102:$L$104,3,0),0)),VLOOKUP($C17,'[1]A1.)RatesInput'!$B$102:$L$190,HLOOKUP(H$9,'[1]A1.)RatesInput'!$D$102:$L$104,3,0),0),0)</f>
        <v>3.9899999999999998E-2</v>
      </c>
      <c r="I17" s="406"/>
    </row>
    <row r="18" spans="2:9" x14ac:dyDescent="0.35">
      <c r="C18" s="406" t="s">
        <v>325</v>
      </c>
      <c r="D18" s="571">
        <f>IF('[1]A1.)RatesInput'!$P$99="Y",IF(ISNUMBER(VLOOKUP($C18,'[1]A1.)RatesInput'!$B$102:$Q$190,HLOOKUP(D$9,'[1]A1.)RatesInput'!$O$102:$Q$104,3,0),0)),VLOOKUP($C18,'[1]A1.)RatesInput'!$B$102:$Q$190,HLOOKUP(D$9,'[1]A1.)RatesInput'!$O$102:$Q$104,3,0),0),0),IF(ISNUMBER(VLOOKUP($C18,'[1]A1.)RatesInput'!$B$102:$I$190,HLOOKUP(D$9,'[1]A1.)RatesInput'!$D$102:$I$104,3,0),0)),VLOOKUP($C18,'[1]A1.)RatesInput'!$B$102:$I$190,HLOOKUP(D$9,'[1]A1.)RatesInput'!$D$102:$I$104,3,0),0),0))</f>
        <v>3.7900000000000003E-2</v>
      </c>
      <c r="E18" s="846">
        <f>'11B.)Demand_RateDesign_SC5_I'!$H15</f>
        <v>3.7900000000000003E-2</v>
      </c>
      <c r="F18" s="953">
        <f t="shared" si="0"/>
        <v>0</v>
      </c>
      <c r="G18" s="406"/>
      <c r="H18" s="571">
        <f>IF(ISNUMBER(VLOOKUP($C18,'[1]A1.)RatesInput'!$B$102:$L$190,HLOOKUP(H$9,'[1]A1.)RatesInput'!$D$102:$L$104,3,0),0)),VLOOKUP($C18,'[1]A1.)RatesInput'!$B$102:$L$190,HLOOKUP(H$9,'[1]A1.)RatesInput'!$D$102:$L$104,3,0),0),0)</f>
        <v>3.9899999999999998E-2</v>
      </c>
      <c r="I18" s="406"/>
    </row>
    <row r="19" spans="2:9" x14ac:dyDescent="0.35">
      <c r="C19" s="406" t="s">
        <v>326</v>
      </c>
      <c r="D19" s="571">
        <f>IF('[1]A1.)RatesInput'!$P$99="Y",IF(ISNUMBER(VLOOKUP($C19,'[1]A1.)RatesInput'!$B$102:$Q$190,HLOOKUP(D$9,'[1]A1.)RatesInput'!$O$102:$Q$104,3,0),0)),VLOOKUP($C19,'[1]A1.)RatesInput'!$B$102:$Q$190,HLOOKUP(D$9,'[1]A1.)RatesInput'!$O$102:$Q$104,3,0),0),0),IF(ISNUMBER(VLOOKUP($C19,'[1]A1.)RatesInput'!$B$102:$I$190,HLOOKUP(D$9,'[1]A1.)RatesInput'!$D$102:$I$104,3,0),0)),VLOOKUP($C19,'[1]A1.)RatesInput'!$B$102:$I$190,HLOOKUP(D$9,'[1]A1.)RatesInput'!$D$102:$I$104,3,0),0),0))</f>
        <v>136.30000000000001</v>
      </c>
      <c r="E19" s="846">
        <f>'11B.)Demand_RateDesign_SC5_I'!$H16</f>
        <v>163.85</v>
      </c>
      <c r="F19" s="953">
        <f t="shared" si="0"/>
        <v>0.20212765957446788</v>
      </c>
      <c r="G19" s="406"/>
      <c r="H19" s="571">
        <f>IF(ISNUMBER(VLOOKUP($C19,'[1]A1.)RatesInput'!$B$102:$L$190,HLOOKUP(H$9,'[1]A1.)RatesInput'!$D$102:$L$104,3,0),0)),VLOOKUP($C19,'[1]A1.)RatesInput'!$B$102:$L$190,HLOOKUP(H$9,'[1]A1.)RatesInput'!$D$102:$L$104,3,0),0),0)</f>
        <v>131.93</v>
      </c>
      <c r="I19" s="406"/>
    </row>
    <row r="20" spans="2:9" x14ac:dyDescent="0.35">
      <c r="C20" s="406" t="s">
        <v>327</v>
      </c>
      <c r="D20" s="571">
        <f>IF('[1]A1.)RatesInput'!$P$99="Y",IF(ISNUMBER(VLOOKUP($C20,'[1]A1.)RatesInput'!$B$102:$Q$190,HLOOKUP(D$9,'[1]A1.)RatesInput'!$O$102:$Q$104,3,0),0)),VLOOKUP($C20,'[1]A1.)RatesInput'!$B$102:$Q$190,HLOOKUP(D$9,'[1]A1.)RatesInput'!$O$102:$Q$104,3,0),0),0),IF(ISNUMBER(VLOOKUP($C20,'[1]A1.)RatesInput'!$B$102:$I$190,HLOOKUP(D$9,'[1]A1.)RatesInput'!$D$102:$I$104,3,0),0)),VLOOKUP($C20,'[1]A1.)RatesInput'!$B$102:$I$190,HLOOKUP(D$9,'[1]A1.)RatesInput'!$D$102:$I$104,3,0),0),0))</f>
        <v>23.81</v>
      </c>
      <c r="E20" s="846">
        <f>'11B.)Demand_RateDesign_SC5_I'!$H17</f>
        <v>26.299999999999997</v>
      </c>
      <c r="F20" s="953">
        <f t="shared" si="0"/>
        <v>0.10457790844183101</v>
      </c>
      <c r="G20" s="406"/>
      <c r="H20" s="571">
        <f>IF(ISNUMBER(VLOOKUP($C20,'[1]A1.)RatesInput'!$B$102:$L$190,HLOOKUP(H$9,'[1]A1.)RatesInput'!$D$102:$L$104,3,0),0)),VLOOKUP($C20,'[1]A1.)RatesInput'!$B$102:$L$190,HLOOKUP(H$9,'[1]A1.)RatesInput'!$D$102:$L$104,3,0),0),0)</f>
        <v>23.049999999999997</v>
      </c>
      <c r="I20" s="406"/>
    </row>
    <row r="21" spans="2:9" x14ac:dyDescent="0.35">
      <c r="C21" s="406" t="s">
        <v>328</v>
      </c>
      <c r="D21" s="571">
        <f>IF('[1]A1.)RatesInput'!$P$99="Y",IF(ISNUMBER(VLOOKUP($C21,'[1]A1.)RatesInput'!$B$102:$Q$190,HLOOKUP(D$9,'[1]A1.)RatesInput'!$O$102:$Q$104,3,0),0)),VLOOKUP($C21,'[1]A1.)RatesInput'!$B$102:$Q$190,HLOOKUP(D$9,'[1]A1.)RatesInput'!$O$102:$Q$104,3,0),0),0),IF(ISNUMBER(VLOOKUP($C21,'[1]A1.)RatesInput'!$B$102:$I$190,HLOOKUP(D$9,'[1]A1.)RatesInput'!$D$102:$I$104,3,0),0)),VLOOKUP($C21,'[1]A1.)RatesInput'!$B$102:$I$190,HLOOKUP(D$9,'[1]A1.)RatesInput'!$D$102:$I$104,3,0),0),0))</f>
        <v>72.23</v>
      </c>
      <c r="E21" s="846">
        <f>'11B.)Demand_RateDesign_SC5_I'!$H18</f>
        <v>90.84</v>
      </c>
      <c r="F21" s="953">
        <f t="shared" si="0"/>
        <v>0.25764917624255856</v>
      </c>
      <c r="G21" s="406"/>
      <c r="H21" s="571">
        <f>IF(ISNUMBER(VLOOKUP($C21,'[1]A1.)RatesInput'!$B$102:$L$190,HLOOKUP(H$9,'[1]A1.)RatesInput'!$D$102:$L$104,3,0),0)),VLOOKUP($C21,'[1]A1.)RatesInput'!$B$102:$L$190,HLOOKUP(H$9,'[1]A1.)RatesInput'!$D$102:$L$104,3,0),0),0)</f>
        <v>69.91</v>
      </c>
      <c r="I21" s="406"/>
    </row>
    <row r="22" spans="2:9" x14ac:dyDescent="0.35">
      <c r="C22" s="406" t="s">
        <v>329</v>
      </c>
      <c r="D22" s="573">
        <f>IF('[1]A1.)RatesInput'!$P$99="Y",IF(ISNUMBER(VLOOKUP($C22,'[1]A1.)RatesInput'!$B$102:$Q$190,HLOOKUP(D$9,'[1]A1.)RatesInput'!$O$102:$Q$104,3,0),0)),VLOOKUP($C22,'[1]A1.)RatesInput'!$B$102:$Q$190,HLOOKUP(D$9,'[1]A1.)RatesInput'!$O$102:$Q$104,3,0),0),0),IF(ISNUMBER(VLOOKUP($C22,'[1]A1.)RatesInput'!$B$102:$I$190,HLOOKUP(D$9,'[1]A1.)RatesInput'!$D$102:$I$104,3,0),0)),VLOOKUP($C22,'[1]A1.)RatesInput'!$B$102:$I$190,HLOOKUP(D$9,'[1]A1.)RatesInput'!$D$102:$I$104,3,0),0),0))</f>
        <v>12.41</v>
      </c>
      <c r="E22" s="847">
        <f>'11B.)Demand_RateDesign_SC5_I'!$H19</f>
        <v>13.709999999999999</v>
      </c>
      <c r="F22" s="954">
        <f t="shared" si="0"/>
        <v>0.10475423045930699</v>
      </c>
      <c r="G22" s="406"/>
      <c r="H22" s="573">
        <f>IF(ISNUMBER(VLOOKUP($C22,'[1]A1.)RatesInput'!$B$102:$L$190,HLOOKUP(H$9,'[1]A1.)RatesInput'!$D$102:$L$104,3,0),0)),VLOOKUP($C22,'[1]A1.)RatesInput'!$B$102:$L$190,HLOOKUP(H$9,'[1]A1.)RatesInput'!$D$102:$L$104,3,0),0),0)</f>
        <v>12.009999999999998</v>
      </c>
      <c r="I22" s="406"/>
    </row>
    <row r="23" spans="2:9" x14ac:dyDescent="0.35">
      <c r="C23" s="406"/>
      <c r="D23" s="406"/>
      <c r="E23" s="406"/>
      <c r="F23" s="955"/>
      <c r="G23" s="406"/>
      <c r="H23" s="406"/>
      <c r="I23" s="406"/>
    </row>
    <row r="26" spans="2:9" x14ac:dyDescent="0.35">
      <c r="C26" s="133" t="s">
        <v>1147</v>
      </c>
      <c r="D26" s="135" t="s">
        <v>1148</v>
      </c>
      <c r="E26" s="135" t="s">
        <v>521</v>
      </c>
    </row>
    <row r="27" spans="2:9" x14ac:dyDescent="0.35">
      <c r="C27" t="s">
        <v>1152</v>
      </c>
      <c r="E27" s="956">
        <f>'11B.)Demand_RateDesign_SC5_I'!M257</f>
        <v>48349</v>
      </c>
    </row>
    <row r="28" spans="2:9" ht="15" thickBot="1" x14ac:dyDescent="0.4">
      <c r="C28" t="s">
        <v>45</v>
      </c>
      <c r="E28" s="956">
        <f>'11B.)Demand_RateDesign_SC5_I'!M269</f>
        <v>25848</v>
      </c>
    </row>
    <row r="29" spans="2:9" ht="15.5" thickTop="1" thickBot="1" x14ac:dyDescent="0.4">
      <c r="C29" t="s">
        <v>752</v>
      </c>
      <c r="D29" s="440">
        <f>'11B.)Demand_RateDesign_SC5_I'!$M$280</f>
        <v>74208</v>
      </c>
      <c r="E29" s="440">
        <f>E27+E28</f>
        <v>74197</v>
      </c>
      <c r="F29" s="439">
        <f>IF(ISNUMBER(E29/D29-1),E29/D29-1,"")</f>
        <v>-1.4823199655022989E-4</v>
      </c>
    </row>
    <row r="30" spans="2:9" ht="15" thickTop="1" x14ac:dyDescent="0.35"/>
    <row r="31" spans="2:9" ht="15" thickBot="1" x14ac:dyDescent="0.4"/>
    <row r="32" spans="2:9" ht="15" thickBot="1" x14ac:dyDescent="0.4">
      <c r="B32" s="131" t="s">
        <v>532</v>
      </c>
      <c r="C32" s="435" t="s">
        <v>529</v>
      </c>
      <c r="D32" s="400" t="str">
        <f>'11C.)Demand_RateDesign_SC8_I'!$A$4</f>
        <v>SC8 Rate I</v>
      </c>
      <c r="E32" s="436"/>
    </row>
    <row r="33" spans="3:8" x14ac:dyDescent="0.35">
      <c r="C33" s="435" t="s">
        <v>528</v>
      </c>
      <c r="D33" s="372" t="s">
        <v>863</v>
      </c>
    </row>
    <row r="35" spans="3:8" x14ac:dyDescent="0.35">
      <c r="C35" s="435" t="s">
        <v>527</v>
      </c>
      <c r="D35" s="428" t="str">
        <f>D$9</f>
        <v>Current(RY1)</v>
      </c>
      <c r="E35" s="428" t="str">
        <f>E$9</f>
        <v>Proposed</v>
      </c>
      <c r="F35" s="428" t="s">
        <v>526</v>
      </c>
      <c r="H35" s="428">
        <f>H$9</f>
        <v>2019</v>
      </c>
    </row>
    <row r="36" spans="3:8" x14ac:dyDescent="0.35">
      <c r="D36" s="296" t="str">
        <f>D$10</f>
        <v>(Redesigned)</v>
      </c>
      <c r="E36" s="296"/>
      <c r="H36" s="296" t="str">
        <f>H$10</f>
        <v>(Currnet - Original)</v>
      </c>
    </row>
    <row r="37" spans="3:8" x14ac:dyDescent="0.35">
      <c r="C37" s="406" t="s">
        <v>331</v>
      </c>
      <c r="D37" s="572">
        <f>IF('[1]A1.)RatesInput'!$P$99="Y",IF(ISNUMBER(VLOOKUP($C37,'[1]A1.)RatesInput'!$B$102:$Q$190,HLOOKUP(D$35,'[1]A1.)RatesInput'!$O$102:$Q$104,3,0),0)),VLOOKUP($C37,'[1]A1.)RatesInput'!$B$102:$Q$190,HLOOKUP(D$35,'[1]A1.)RatesInput'!$O$102:$Q$104,3,0),0),0),IF(ISNUMBER(VLOOKUP($C37,'[1]A1.)RatesInput'!$B$102:$I$190,HLOOKUP(D$35,'[1]A1.)RatesInput'!$D$102:$I$104,3,0),0)),VLOOKUP($C37,'[1]A1.)RatesInput'!$B$102:$I$190,HLOOKUP(D$35,'[1]A1.)RatesInput'!$D$102:$I$104,3,0),0),0))</f>
        <v>1.67E-2</v>
      </c>
      <c r="E37" s="848">
        <f>'11C.)Demand_RateDesign_SC8_I'!$H8</f>
        <v>1.67E-2</v>
      </c>
      <c r="F37" s="952">
        <f t="shared" ref="F37:F48" si="1">IF(ISNUMBER(E37/D37-1),E37/D37-1,"")</f>
        <v>0</v>
      </c>
      <c r="G37" s="406"/>
      <c r="H37" s="572">
        <f>IF(ISNUMBER(VLOOKUP($C37,'[1]A1.)RatesInput'!$B$102:$L$190,HLOOKUP(H$35,'[1]A1.)RatesInput'!$D$102:$L$104,3,0),0)),VLOOKUP($C37,'[1]A1.)RatesInput'!$B$102:$L$190,HLOOKUP(H$35,'[1]A1.)RatesInput'!$D$102:$L$104,3,0),0),0)</f>
        <v>1.7600000000000001E-2</v>
      </c>
    </row>
    <row r="38" spans="3:8" x14ac:dyDescent="0.35">
      <c r="C38" s="406" t="s">
        <v>332</v>
      </c>
      <c r="D38" s="571">
        <f>IF('[1]A1.)RatesInput'!$P$99="Y",IF(ISNUMBER(VLOOKUP($C38,'[1]A1.)RatesInput'!$B$102:$Q$190,HLOOKUP(D$35,'[1]A1.)RatesInput'!$O$102:$Q$104,3,0),0)),VLOOKUP($C38,'[1]A1.)RatesInput'!$B$102:$Q$190,HLOOKUP(D$35,'[1]A1.)RatesInput'!$O$102:$Q$104,3,0),0),0),IF(ISNUMBER(VLOOKUP($C38,'[1]A1.)RatesInput'!$B$102:$I$190,HLOOKUP(D$35,'[1]A1.)RatesInput'!$D$102:$I$104,3,0),0)),VLOOKUP($C38,'[1]A1.)RatesInput'!$B$102:$I$190,HLOOKUP(D$35,'[1]A1.)RatesInput'!$D$102:$I$104,3,0),0),0))</f>
        <v>1.67E-2</v>
      </c>
      <c r="E38" s="846">
        <f>'11C.)Demand_RateDesign_SC8_I'!$H9</f>
        <v>1.67E-2</v>
      </c>
      <c r="F38" s="953">
        <f t="shared" si="1"/>
        <v>0</v>
      </c>
      <c r="G38" s="406"/>
      <c r="H38" s="571">
        <f>IF(ISNUMBER(VLOOKUP($C38,'[1]A1.)RatesInput'!$B$102:$L$190,HLOOKUP(H$35,'[1]A1.)RatesInput'!$D$102:$L$104,3,0),0)),VLOOKUP($C38,'[1]A1.)RatesInput'!$B$102:$L$190,HLOOKUP(H$35,'[1]A1.)RatesInput'!$D$102:$L$104,3,0),0),0)</f>
        <v>1.7600000000000001E-2</v>
      </c>
    </row>
    <row r="39" spans="3:8" x14ac:dyDescent="0.35">
      <c r="C39" s="406" t="s">
        <v>333</v>
      </c>
      <c r="D39" s="571">
        <f>IF('[1]A1.)RatesInput'!$P$99="Y",IF(ISNUMBER(VLOOKUP($C39,'[1]A1.)RatesInput'!$B$102:$Q$190,HLOOKUP(D$35,'[1]A1.)RatesInput'!$O$102:$Q$104,3,0),0)),VLOOKUP($C39,'[1]A1.)RatesInput'!$B$102:$Q$190,HLOOKUP(D$35,'[1]A1.)RatesInput'!$O$102:$Q$104,3,0),0),0),IF(ISNUMBER(VLOOKUP($C39,'[1]A1.)RatesInput'!$B$102:$I$190,HLOOKUP(D$35,'[1]A1.)RatesInput'!$D$102:$I$104,3,0),0)),VLOOKUP($C39,'[1]A1.)RatesInput'!$B$102:$I$190,HLOOKUP(D$35,'[1]A1.)RatesInput'!$D$102:$I$104,3,0),0),0))</f>
        <v>380.53</v>
      </c>
      <c r="E39" s="846">
        <f>'11C.)Demand_RateDesign_SC8_I'!$H10</f>
        <v>400.92</v>
      </c>
      <c r="F39" s="953">
        <f t="shared" si="1"/>
        <v>5.3583160329014889E-2</v>
      </c>
      <c r="G39" s="406"/>
      <c r="H39" s="571">
        <f>IF(ISNUMBER(VLOOKUP($C39,'[1]A1.)RatesInput'!$B$102:$L$190,HLOOKUP(H$35,'[1]A1.)RatesInput'!$D$102:$L$104,3,0),0)),VLOOKUP($C39,'[1]A1.)RatesInput'!$B$102:$L$190,HLOOKUP(H$35,'[1]A1.)RatesInput'!$D$102:$L$104,3,0),0),0)</f>
        <v>375.88</v>
      </c>
    </row>
    <row r="40" spans="3:8" x14ac:dyDescent="0.35">
      <c r="C40" s="406" t="s">
        <v>334</v>
      </c>
      <c r="D40" s="571">
        <f>IF('[1]A1.)RatesInput'!$P$99="Y",IF(ISNUMBER(VLOOKUP($C40,'[1]A1.)RatesInput'!$B$102:$Q$190,HLOOKUP(D$35,'[1]A1.)RatesInput'!$O$102:$Q$104,3,0),0)),VLOOKUP($C40,'[1]A1.)RatesInput'!$B$102:$Q$190,HLOOKUP(D$35,'[1]A1.)RatesInput'!$O$102:$Q$104,3,0),0),0),IF(ISNUMBER(VLOOKUP($C40,'[1]A1.)RatesInput'!$B$102:$I$190,HLOOKUP(D$35,'[1]A1.)RatesInput'!$D$102:$I$104,3,0),0)),VLOOKUP($C40,'[1]A1.)RatesInput'!$B$102:$I$190,HLOOKUP(D$35,'[1]A1.)RatesInput'!$D$102:$I$104,3,0),0),0))</f>
        <v>34.32</v>
      </c>
      <c r="E40" s="846">
        <f>'11C.)Demand_RateDesign_SC8_I'!$H11</f>
        <v>35.33</v>
      </c>
      <c r="F40" s="953">
        <f t="shared" si="1"/>
        <v>2.9428904428904445E-2</v>
      </c>
      <c r="G40" s="406"/>
      <c r="H40" s="571">
        <f>IF(ISNUMBER(VLOOKUP($C40,'[1]A1.)RatesInput'!$B$102:$L$190,HLOOKUP(H$35,'[1]A1.)RatesInput'!$D$102:$L$104,3,0),0)),VLOOKUP($C40,'[1]A1.)RatesInput'!$B$102:$L$190,HLOOKUP(H$35,'[1]A1.)RatesInput'!$D$102:$L$104,3,0),0),0)</f>
        <v>33.9</v>
      </c>
    </row>
    <row r="41" spans="3:8" x14ac:dyDescent="0.35">
      <c r="C41" s="406" t="s">
        <v>335</v>
      </c>
      <c r="D41" s="571">
        <f>IF('[1]A1.)RatesInput'!$P$99="Y",IF(ISNUMBER(VLOOKUP($C41,'[1]A1.)RatesInput'!$B$102:$Q$190,HLOOKUP(D$35,'[1]A1.)RatesInput'!$O$102:$Q$104,3,0),0)),VLOOKUP($C41,'[1]A1.)RatesInput'!$B$102:$Q$190,HLOOKUP(D$35,'[1]A1.)RatesInput'!$O$102:$Q$104,3,0),0),0),IF(ISNUMBER(VLOOKUP($C41,'[1]A1.)RatesInput'!$B$102:$I$190,HLOOKUP(D$35,'[1]A1.)RatesInput'!$D$102:$I$104,3,0),0)),VLOOKUP($C41,'[1]A1.)RatesInput'!$B$102:$I$190,HLOOKUP(D$35,'[1]A1.)RatesInput'!$D$102:$I$104,3,0),0),0))</f>
        <v>294.16000000000003</v>
      </c>
      <c r="E41" s="846">
        <f>'11C.)Demand_RateDesign_SC8_I'!$H12</f>
        <v>312.42</v>
      </c>
      <c r="F41" s="953">
        <f t="shared" si="1"/>
        <v>6.2075061191188441E-2</v>
      </c>
      <c r="G41" s="406"/>
      <c r="H41" s="571">
        <f>IF(ISNUMBER(VLOOKUP($C41,'[1]A1.)RatesInput'!$B$102:$L$190,HLOOKUP(H$35,'[1]A1.)RatesInput'!$D$102:$L$104,3,0),0)),VLOOKUP($C41,'[1]A1.)RatesInput'!$B$102:$L$190,HLOOKUP(H$35,'[1]A1.)RatesInput'!$D$102:$L$104,3,0),0),0)</f>
        <v>290.57</v>
      </c>
    </row>
    <row r="42" spans="3:8" x14ac:dyDescent="0.35">
      <c r="C42" s="406" t="s">
        <v>336</v>
      </c>
      <c r="D42" s="571">
        <f>IF('[1]A1.)RatesInput'!$P$99="Y",IF(ISNUMBER(VLOOKUP($C42,'[1]A1.)RatesInput'!$B$102:$Q$190,HLOOKUP(D$35,'[1]A1.)RatesInput'!$O$102:$Q$104,3,0),0)),VLOOKUP($C42,'[1]A1.)RatesInput'!$B$102:$Q$190,HLOOKUP(D$35,'[1]A1.)RatesInput'!$O$102:$Q$104,3,0),0),0),IF(ISNUMBER(VLOOKUP($C42,'[1]A1.)RatesInput'!$B$102:$I$190,HLOOKUP(D$35,'[1]A1.)RatesInput'!$D$102:$I$104,3,0),0)),VLOOKUP($C42,'[1]A1.)RatesInput'!$B$102:$I$190,HLOOKUP(D$35,'[1]A1.)RatesInput'!$D$102:$I$104,3,0),0),0))</f>
        <v>26.51</v>
      </c>
      <c r="E42" s="846">
        <f>'11C.)Demand_RateDesign_SC8_I'!$H13</f>
        <v>27.29</v>
      </c>
      <c r="F42" s="953">
        <f t="shared" si="1"/>
        <v>2.9422859298377846E-2</v>
      </c>
      <c r="G42" s="406"/>
      <c r="H42" s="571">
        <f>IF(ISNUMBER(VLOOKUP($C42,'[1]A1.)RatesInput'!$B$102:$L$190,HLOOKUP(H$35,'[1]A1.)RatesInput'!$D$102:$L$104,3,0),0)),VLOOKUP($C42,'[1]A1.)RatesInput'!$B$102:$L$190,HLOOKUP(H$35,'[1]A1.)RatesInput'!$D$102:$L$104,3,0),0),0)</f>
        <v>26.19</v>
      </c>
    </row>
    <row r="43" spans="3:8" x14ac:dyDescent="0.35">
      <c r="C43" s="406" t="s">
        <v>337</v>
      </c>
      <c r="D43" s="571">
        <f>IF('[1]A1.)RatesInput'!$P$99="Y",IF(ISNUMBER(VLOOKUP($C43,'[1]A1.)RatesInput'!$B$102:$Q$190,HLOOKUP(D$35,'[1]A1.)RatesInput'!$O$102:$Q$104,3,0),0)),VLOOKUP($C43,'[1]A1.)RatesInput'!$B$102:$Q$190,HLOOKUP(D$35,'[1]A1.)RatesInput'!$O$102:$Q$104,3,0),0),0),IF(ISNUMBER(VLOOKUP($C43,'[1]A1.)RatesInput'!$B$102:$I$190,HLOOKUP(D$35,'[1]A1.)RatesInput'!$D$102:$I$104,3,0),0)),VLOOKUP($C43,'[1]A1.)RatesInput'!$B$102:$I$190,HLOOKUP(D$35,'[1]A1.)RatesInput'!$D$102:$I$104,3,0),0),0))</f>
        <v>1.67E-2</v>
      </c>
      <c r="E43" s="846">
        <f>'11C.)Demand_RateDesign_SC8_I'!$H14</f>
        <v>1.67E-2</v>
      </c>
      <c r="F43" s="953">
        <f t="shared" si="1"/>
        <v>0</v>
      </c>
      <c r="G43" s="406"/>
      <c r="H43" s="571">
        <f>IF(ISNUMBER(VLOOKUP($C43,'[1]A1.)RatesInput'!$B$102:$L$190,HLOOKUP(H$35,'[1]A1.)RatesInput'!$D$102:$L$104,3,0),0)),VLOOKUP($C43,'[1]A1.)RatesInput'!$B$102:$L$190,HLOOKUP(H$35,'[1]A1.)RatesInput'!$D$102:$L$104,3,0),0),0)</f>
        <v>1.7600000000000001E-2</v>
      </c>
    </row>
    <row r="44" spans="3:8" x14ac:dyDescent="0.35">
      <c r="C44" s="406" t="s">
        <v>338</v>
      </c>
      <c r="D44" s="571">
        <f>IF('[1]A1.)RatesInput'!$P$99="Y",IF(ISNUMBER(VLOOKUP($C44,'[1]A1.)RatesInput'!$B$102:$Q$190,HLOOKUP(D$35,'[1]A1.)RatesInput'!$O$102:$Q$104,3,0),0)),VLOOKUP($C44,'[1]A1.)RatesInput'!$B$102:$Q$190,HLOOKUP(D$35,'[1]A1.)RatesInput'!$O$102:$Q$104,3,0),0),0),IF(ISNUMBER(VLOOKUP($C44,'[1]A1.)RatesInput'!$B$102:$I$190,HLOOKUP(D$35,'[1]A1.)RatesInput'!$D$102:$I$104,3,0),0)),VLOOKUP($C44,'[1]A1.)RatesInput'!$B$102:$I$190,HLOOKUP(D$35,'[1]A1.)RatesInput'!$D$102:$I$104,3,0),0),0))</f>
        <v>1.67E-2</v>
      </c>
      <c r="E44" s="846">
        <f>'11C.)Demand_RateDesign_SC8_I'!$H15</f>
        <v>1.67E-2</v>
      </c>
      <c r="F44" s="953">
        <f t="shared" si="1"/>
        <v>0</v>
      </c>
      <c r="G44" s="406"/>
      <c r="H44" s="571">
        <f>IF(ISNUMBER(VLOOKUP($C44,'[1]A1.)RatesInput'!$B$102:$L$190,HLOOKUP(H$35,'[1]A1.)RatesInput'!$D$102:$L$104,3,0),0)),VLOOKUP($C44,'[1]A1.)RatesInput'!$B$102:$L$190,HLOOKUP(H$35,'[1]A1.)RatesInput'!$D$102:$L$104,3,0),0),0)</f>
        <v>1.7600000000000001E-2</v>
      </c>
    </row>
    <row r="45" spans="3:8" x14ac:dyDescent="0.35">
      <c r="C45" s="406" t="s">
        <v>339</v>
      </c>
      <c r="D45" s="571">
        <f>IF('[1]A1.)RatesInput'!$P$99="Y",IF(ISNUMBER(VLOOKUP($C45,'[1]A1.)RatesInput'!$B$102:$Q$190,HLOOKUP(D$35,'[1]A1.)RatesInput'!$O$102:$Q$104,3,0),0)),VLOOKUP($C45,'[1]A1.)RatesInput'!$B$102:$Q$190,HLOOKUP(D$35,'[1]A1.)RatesInput'!$O$102:$Q$104,3,0),0),0),IF(ISNUMBER(VLOOKUP($C45,'[1]A1.)RatesInput'!$B$102:$I$190,HLOOKUP(D$35,'[1]A1.)RatesInput'!$D$102:$I$104,3,0),0)),VLOOKUP($C45,'[1]A1.)RatesInput'!$B$102:$I$190,HLOOKUP(D$35,'[1]A1.)RatesInput'!$D$102:$I$104,3,0),0),0))</f>
        <v>273.87</v>
      </c>
      <c r="E45" s="846">
        <f>'11C.)Demand_RateDesign_SC8_I'!$H16</f>
        <v>291.63</v>
      </c>
      <c r="F45" s="953">
        <f t="shared" si="1"/>
        <v>6.4848285682988172E-2</v>
      </c>
      <c r="G45" s="406"/>
      <c r="H45" s="571">
        <f>IF(ISNUMBER(VLOOKUP($C45,'[1]A1.)RatesInput'!$B$102:$L$190,HLOOKUP(H$35,'[1]A1.)RatesInput'!$D$102:$L$104,3,0),0)),VLOOKUP($C45,'[1]A1.)RatesInput'!$B$102:$L$190,HLOOKUP(H$35,'[1]A1.)RatesInput'!$D$102:$L$104,3,0),0),0)</f>
        <v>296.11</v>
      </c>
    </row>
    <row r="46" spans="3:8" x14ac:dyDescent="0.35">
      <c r="C46" s="406" t="s">
        <v>340</v>
      </c>
      <c r="D46" s="571">
        <f>IF('[1]A1.)RatesInput'!$P$99="Y",IF(ISNUMBER(VLOOKUP($C46,'[1]A1.)RatesInput'!$B$102:$Q$190,HLOOKUP(D$35,'[1]A1.)RatesInput'!$O$102:$Q$104,3,0),0)),VLOOKUP($C46,'[1]A1.)RatesInput'!$B$102:$Q$190,HLOOKUP(D$35,'[1]A1.)RatesInput'!$O$102:$Q$104,3,0),0),0),IF(ISNUMBER(VLOOKUP($C46,'[1]A1.)RatesInput'!$B$102:$I$190,HLOOKUP(D$35,'[1]A1.)RatesInput'!$D$102:$I$104,3,0),0)),VLOOKUP($C46,'[1]A1.)RatesInput'!$B$102:$I$190,HLOOKUP(D$35,'[1]A1.)RatesInput'!$D$102:$I$104,3,0),0),0))</f>
        <v>24.69</v>
      </c>
      <c r="E46" s="846">
        <f>'11C.)Demand_RateDesign_SC8_I'!$H17</f>
        <v>25.419999999999998</v>
      </c>
      <c r="F46" s="953">
        <f t="shared" si="1"/>
        <v>2.9566626164438947E-2</v>
      </c>
      <c r="G46" s="406"/>
      <c r="H46" s="571">
        <f>IF(ISNUMBER(VLOOKUP($C46,'[1]A1.)RatesInput'!$B$102:$L$190,HLOOKUP(H$35,'[1]A1.)RatesInput'!$D$102:$L$104,3,0),0)),VLOOKUP($C46,'[1]A1.)RatesInput'!$B$102:$L$190,HLOOKUP(H$35,'[1]A1.)RatesInput'!$D$102:$L$104,3,0),0),0)</f>
        <v>26.700000000000003</v>
      </c>
    </row>
    <row r="47" spans="3:8" x14ac:dyDescent="0.35">
      <c r="C47" s="406" t="s">
        <v>341</v>
      </c>
      <c r="D47" s="571">
        <f>IF('[1]A1.)RatesInput'!$P$99="Y",IF(ISNUMBER(VLOOKUP($C47,'[1]A1.)RatesInput'!$B$102:$Q$190,HLOOKUP(D$35,'[1]A1.)RatesInput'!$O$102:$Q$104,3,0),0)),VLOOKUP($C47,'[1]A1.)RatesInput'!$B$102:$Q$190,HLOOKUP(D$35,'[1]A1.)RatesInput'!$O$102:$Q$104,3,0),0),0),IF(ISNUMBER(VLOOKUP($C47,'[1]A1.)RatesInput'!$B$102:$I$190,HLOOKUP(D$35,'[1]A1.)RatesInput'!$D$102:$I$104,3,0),0)),VLOOKUP($C47,'[1]A1.)RatesInput'!$B$102:$I$190,HLOOKUP(D$35,'[1]A1.)RatesInput'!$D$102:$I$104,3,0),0),0))</f>
        <v>187.5</v>
      </c>
      <c r="E47" s="846">
        <f>'11C.)Demand_RateDesign_SC8_I'!$H18</f>
        <v>203.13</v>
      </c>
      <c r="F47" s="953">
        <f t="shared" si="1"/>
        <v>8.3359999999999879E-2</v>
      </c>
      <c r="G47" s="406"/>
      <c r="H47" s="571">
        <f>IF(ISNUMBER(VLOOKUP($C47,'[1]A1.)RatesInput'!$B$102:$L$190,HLOOKUP(H$35,'[1]A1.)RatesInput'!$D$102:$L$104,3,0),0)),VLOOKUP($C47,'[1]A1.)RatesInput'!$B$102:$L$190,HLOOKUP(H$35,'[1]A1.)RatesInput'!$D$102:$L$104,3,0),0),0)</f>
        <v>210.79</v>
      </c>
    </row>
    <row r="48" spans="3:8" x14ac:dyDescent="0.35">
      <c r="C48" s="406" t="s">
        <v>342</v>
      </c>
      <c r="D48" s="573">
        <f>IF('[1]A1.)RatesInput'!$P$99="Y",IF(ISNUMBER(VLOOKUP($C48,'[1]A1.)RatesInput'!$B$102:$Q$190,HLOOKUP(D$35,'[1]A1.)RatesInput'!$O$102:$Q$104,3,0),0)),VLOOKUP($C48,'[1]A1.)RatesInput'!$B$102:$Q$190,HLOOKUP(D$35,'[1]A1.)RatesInput'!$O$102:$Q$104,3,0),0),0),IF(ISNUMBER(VLOOKUP($C48,'[1]A1.)RatesInput'!$B$102:$I$190,HLOOKUP(D$35,'[1]A1.)RatesInput'!$D$102:$I$104,3,0),0)),VLOOKUP($C48,'[1]A1.)RatesInput'!$B$102:$I$190,HLOOKUP(D$35,'[1]A1.)RatesInput'!$D$102:$I$104,3,0),0),0))</f>
        <v>16.860000000000003</v>
      </c>
      <c r="E48" s="847">
        <f>'11C.)Demand_RateDesign_SC8_I'!$H19</f>
        <v>17.36</v>
      </c>
      <c r="F48" s="954">
        <f t="shared" si="1"/>
        <v>2.965599051008283E-2</v>
      </c>
      <c r="G48" s="406"/>
      <c r="H48" s="573">
        <f>IF(ISNUMBER(VLOOKUP($C48,'[1]A1.)RatesInput'!$B$102:$L$190,HLOOKUP(H$35,'[1]A1.)RatesInput'!$D$102:$L$104,3,0),0)),VLOOKUP($C48,'[1]A1.)RatesInput'!$B$102:$L$190,HLOOKUP(H$35,'[1]A1.)RatesInput'!$D$102:$L$104,3,0),0),0)</f>
        <v>18.970000000000002</v>
      </c>
    </row>
    <row r="51" spans="2:8" x14ac:dyDescent="0.35">
      <c r="C51" s="406"/>
      <c r="D51" s="406"/>
      <c r="E51" s="406"/>
      <c r="F51" s="955"/>
      <c r="G51" s="406"/>
    </row>
    <row r="52" spans="2:8" x14ac:dyDescent="0.35">
      <c r="C52" s="772" t="s">
        <v>1147</v>
      </c>
      <c r="D52" s="408" t="s">
        <v>1148</v>
      </c>
      <c r="E52" s="408" t="s">
        <v>521</v>
      </c>
      <c r="F52" s="955"/>
      <c r="G52" s="406"/>
    </row>
    <row r="53" spans="2:8" x14ac:dyDescent="0.35">
      <c r="C53" s="406" t="s">
        <v>1152</v>
      </c>
      <c r="D53" s="406"/>
      <c r="E53" s="956">
        <f>'11C.)Demand_RateDesign_SC8_I'!M257</f>
        <v>112567699.30661654</v>
      </c>
      <c r="F53" s="955"/>
      <c r="G53" s="406"/>
    </row>
    <row r="54" spans="2:8" x14ac:dyDescent="0.35">
      <c r="C54" s="406" t="s">
        <v>45</v>
      </c>
      <c r="D54" s="406"/>
      <c r="E54" s="956">
        <f>'11C.)Demand_RateDesign_SC8_I'!M269</f>
        <v>25285400</v>
      </c>
      <c r="F54" s="955"/>
      <c r="G54" s="406"/>
    </row>
    <row r="55" spans="2:8" x14ac:dyDescent="0.35">
      <c r="C55" s="406" t="s">
        <v>536</v>
      </c>
      <c r="D55" s="406"/>
      <c r="E55" s="957">
        <f>E53+E54</f>
        <v>137853099.30661654</v>
      </c>
      <c r="F55" s="955"/>
      <c r="G55" s="406"/>
    </row>
    <row r="56" spans="2:8" ht="15" thickBot="1" x14ac:dyDescent="0.4">
      <c r="C56" s="406" t="s">
        <v>537</v>
      </c>
      <c r="D56" s="406"/>
      <c r="E56" s="958">
        <f>'11C.)Demand_RateDesign_SC8_I'!$M$277</f>
        <v>14521037</v>
      </c>
      <c r="F56" s="955"/>
      <c r="G56" s="406"/>
    </row>
    <row r="57" spans="2:8" ht="15.5" thickTop="1" thickBot="1" x14ac:dyDescent="0.4">
      <c r="C57" s="406" t="s">
        <v>752</v>
      </c>
      <c r="D57" s="440">
        <f>'11C.)Demand_RateDesign_SC8_I'!$M$280</f>
        <v>152299351.30661654</v>
      </c>
      <c r="E57" s="440">
        <f>E55+E56</f>
        <v>152374136.30661654</v>
      </c>
      <c r="F57" s="959">
        <f>IF(ISNUMBER(E57/D57-1),E57/D57-1,"")</f>
        <v>4.9103951762363707E-4</v>
      </c>
      <c r="G57" s="406"/>
    </row>
    <row r="58" spans="2:8" ht="15" thickTop="1" x14ac:dyDescent="0.35">
      <c r="C58" s="406"/>
      <c r="D58" s="406"/>
      <c r="E58" s="406"/>
      <c r="F58" s="955"/>
      <c r="G58" s="406"/>
    </row>
    <row r="59" spans="2:8" ht="15" thickBot="1" x14ac:dyDescent="0.4"/>
    <row r="60" spans="2:8" ht="15" thickBot="1" x14ac:dyDescent="0.4">
      <c r="B60" s="131" t="s">
        <v>531</v>
      </c>
      <c r="C60" s="435" t="s">
        <v>529</v>
      </c>
      <c r="D60" s="400" t="str">
        <f>'11D.)Demand_RateDesign_SC9_I'!$A$4</f>
        <v>SC9 Rate I</v>
      </c>
      <c r="E60" s="436"/>
    </row>
    <row r="61" spans="2:8" x14ac:dyDescent="0.35">
      <c r="C61" s="435" t="s">
        <v>528</v>
      </c>
      <c r="D61" s="372" t="s">
        <v>866</v>
      </c>
    </row>
    <row r="63" spans="2:8" x14ac:dyDescent="0.35">
      <c r="C63" s="857" t="s">
        <v>527</v>
      </c>
      <c r="D63" s="960" t="str">
        <f>D$9</f>
        <v>Current(RY1)</v>
      </c>
      <c r="E63" s="960" t="str">
        <f>E$9</f>
        <v>Proposed</v>
      </c>
      <c r="F63" s="960" t="s">
        <v>526</v>
      </c>
      <c r="G63" s="406"/>
      <c r="H63" s="960">
        <f>H$9</f>
        <v>2019</v>
      </c>
    </row>
    <row r="64" spans="2:8" x14ac:dyDescent="0.35">
      <c r="C64" s="406"/>
      <c r="D64" s="577" t="str">
        <f>D$10</f>
        <v>(Redesigned)</v>
      </c>
      <c r="E64" s="577"/>
      <c r="F64" s="955"/>
      <c r="G64" s="406"/>
      <c r="H64" s="577" t="str">
        <f>H$10</f>
        <v>(Currnet - Original)</v>
      </c>
    </row>
    <row r="65" spans="3:8" x14ac:dyDescent="0.35">
      <c r="C65" s="406" t="s">
        <v>343</v>
      </c>
      <c r="D65" s="572">
        <f>IF('[1]A1.)RatesInput'!$P$99="Y",IF(ISNUMBER(VLOOKUP($C65,'[1]A1.)RatesInput'!$B$102:$Q$190,HLOOKUP(D$63,'[1]A1.)RatesInput'!$O$102:$Q$104,3,0),0)),VLOOKUP($C65,'[1]A1.)RatesInput'!$B$102:$Q$190,HLOOKUP(D$63,'[1]A1.)RatesInput'!$O$102:$Q$104,3,0),0),0),IF(ISNUMBER(VLOOKUP($C65,'[1]A1.)RatesInput'!$B$102:$I$190,HLOOKUP(D$63,'[1]A1.)RatesInput'!$D$102:$I$104,3,0),0)),VLOOKUP($C65,'[1]A1.)RatesInput'!$B$102:$I$190,HLOOKUP(D$63,'[1]A1.)RatesInput'!$D$102:$I$104,3,0),0),0))</f>
        <v>2.1000000000000001E-2</v>
      </c>
      <c r="E65" s="848">
        <f>'11D.)Demand_RateDesign_SC9_I'!$H8</f>
        <v>2.1000000000000001E-2</v>
      </c>
      <c r="F65" s="952">
        <f t="shared" ref="F65:F76" si="2">IF(ISNUMBER(E65/D65-1),E65/D65-1,"")</f>
        <v>0</v>
      </c>
      <c r="G65" s="406"/>
      <c r="H65" s="572">
        <f>IF(ISNUMBER(VLOOKUP($C65,'[1]A1.)RatesInput'!$B$102:$L$190,HLOOKUP(H$63,'[1]A1.)RatesInput'!$D$102:$L$104,3,0),0)),VLOOKUP($C65,'[1]A1.)RatesInput'!$B$102:$L$190,HLOOKUP(H$63,'[1]A1.)RatesInput'!$D$102:$L$104,3,0),0),0)</f>
        <v>2.2100000000000002E-2</v>
      </c>
    </row>
    <row r="66" spans="3:8" x14ac:dyDescent="0.35">
      <c r="C66" s="406" t="s">
        <v>344</v>
      </c>
      <c r="D66" s="571">
        <f>IF('[1]A1.)RatesInput'!$P$99="Y",IF(ISNUMBER(VLOOKUP($C66,'[1]A1.)RatesInput'!$B$102:$Q$190,HLOOKUP(D$63,'[1]A1.)RatesInput'!$O$102:$Q$104,3,0),0)),VLOOKUP($C66,'[1]A1.)RatesInput'!$B$102:$Q$190,HLOOKUP(D$63,'[1]A1.)RatesInput'!$O$102:$Q$104,3,0),0),0),IF(ISNUMBER(VLOOKUP($C66,'[1]A1.)RatesInput'!$B$102:$I$190,HLOOKUP(D$63,'[1]A1.)RatesInput'!$D$102:$I$104,3,0),0)),VLOOKUP($C66,'[1]A1.)RatesInput'!$B$102:$I$190,HLOOKUP(D$63,'[1]A1.)RatesInput'!$D$102:$I$104,3,0),0),0))</f>
        <v>2.1000000000000001E-2</v>
      </c>
      <c r="E66" s="846">
        <f>'11D.)Demand_RateDesign_SC9_I'!$H9</f>
        <v>2.1000000000000001E-2</v>
      </c>
      <c r="F66" s="953">
        <f t="shared" si="2"/>
        <v>0</v>
      </c>
      <c r="G66" s="406"/>
      <c r="H66" s="571">
        <f>IF(ISNUMBER(VLOOKUP($C66,'[1]A1.)RatesInput'!$B$102:$L$190,HLOOKUP(H$63,'[1]A1.)RatesInput'!$D$102:$L$104,3,0),0)),VLOOKUP($C66,'[1]A1.)RatesInput'!$B$102:$L$190,HLOOKUP(H$63,'[1]A1.)RatesInput'!$D$102:$L$104,3,0),0),0)</f>
        <v>2.2100000000000002E-2</v>
      </c>
    </row>
    <row r="67" spans="3:8" x14ac:dyDescent="0.35">
      <c r="C67" s="406" t="s">
        <v>345</v>
      </c>
      <c r="D67" s="571">
        <f>IF('[1]A1.)RatesInput'!$P$99="Y",IF(ISNUMBER(VLOOKUP($C67,'[1]A1.)RatesInput'!$B$102:$Q$190,HLOOKUP(D$63,'[1]A1.)RatesInput'!$O$102:$Q$104,3,0),0)),VLOOKUP($C67,'[1]A1.)RatesInput'!$B$102:$Q$190,HLOOKUP(D$63,'[1]A1.)RatesInput'!$O$102:$Q$104,3,0),0),0),IF(ISNUMBER(VLOOKUP($C67,'[1]A1.)RatesInput'!$B$102:$I$190,HLOOKUP(D$63,'[1]A1.)RatesInput'!$D$102:$I$104,3,0),0)),VLOOKUP($C67,'[1]A1.)RatesInput'!$B$102:$I$190,HLOOKUP(D$63,'[1]A1.)RatesInput'!$D$102:$I$104,3,0),0),0))</f>
        <v>176.77</v>
      </c>
      <c r="E67" s="846">
        <f>'11D.)Demand_RateDesign_SC9_I'!$H10</f>
        <v>189.57</v>
      </c>
      <c r="F67" s="953">
        <f t="shared" si="2"/>
        <v>7.2410476890875097E-2</v>
      </c>
      <c r="G67" s="406"/>
      <c r="H67" s="571">
        <f>IF(ISNUMBER(VLOOKUP($C67,'[1]A1.)RatesInput'!$B$102:$L$190,HLOOKUP(H$63,'[1]A1.)RatesInput'!$D$102:$L$104,3,0),0)),VLOOKUP($C67,'[1]A1.)RatesInput'!$B$102:$L$190,HLOOKUP(H$63,'[1]A1.)RatesInput'!$D$102:$L$104,3,0),0),0)</f>
        <v>173.95</v>
      </c>
    </row>
    <row r="68" spans="3:8" x14ac:dyDescent="0.35">
      <c r="C68" s="406" t="s">
        <v>346</v>
      </c>
      <c r="D68" s="571">
        <f>IF('[1]A1.)RatesInput'!$P$99="Y",IF(ISNUMBER(VLOOKUP($C68,'[1]A1.)RatesInput'!$B$102:$Q$190,HLOOKUP(D$63,'[1]A1.)RatesInput'!$O$102:$Q$104,3,0),0)),VLOOKUP($C68,'[1]A1.)RatesInput'!$B$102:$Q$190,HLOOKUP(D$63,'[1]A1.)RatesInput'!$O$102:$Q$104,3,0),0),0),IF(ISNUMBER(VLOOKUP($C68,'[1]A1.)RatesInput'!$B$102:$I$190,HLOOKUP(D$63,'[1]A1.)RatesInput'!$D$102:$I$104,3,0),0)),VLOOKUP($C68,'[1]A1.)RatesInput'!$B$102:$I$190,HLOOKUP(D$63,'[1]A1.)RatesInput'!$D$102:$I$104,3,0),0),0))</f>
        <v>25.83</v>
      </c>
      <c r="E68" s="846">
        <f>'11D.)Demand_RateDesign_SC9_I'!$H11</f>
        <v>26.769999999999996</v>
      </c>
      <c r="F68" s="953">
        <f t="shared" si="2"/>
        <v>3.6391792489353314E-2</v>
      </c>
      <c r="G68" s="406"/>
      <c r="H68" s="571">
        <f>IF(ISNUMBER(VLOOKUP($C68,'[1]A1.)RatesInput'!$B$102:$L$190,HLOOKUP(H$63,'[1]A1.)RatesInput'!$D$102:$L$104,3,0),0)),VLOOKUP($C68,'[1]A1.)RatesInput'!$B$102:$L$190,HLOOKUP(H$63,'[1]A1.)RatesInput'!$D$102:$L$104,3,0),0),0)</f>
        <v>25.410000000000004</v>
      </c>
    </row>
    <row r="69" spans="3:8" x14ac:dyDescent="0.35">
      <c r="C69" s="406" t="s">
        <v>347</v>
      </c>
      <c r="D69" s="571">
        <f>IF('[1]A1.)RatesInput'!$P$99="Y",IF(ISNUMBER(VLOOKUP($C69,'[1]A1.)RatesInput'!$B$102:$Q$190,HLOOKUP(D$63,'[1]A1.)RatesInput'!$O$102:$Q$104,3,0),0)),VLOOKUP($C69,'[1]A1.)RatesInput'!$B$102:$Q$190,HLOOKUP(D$63,'[1]A1.)RatesInput'!$O$102:$Q$104,3,0),0),0),IF(ISNUMBER(VLOOKUP($C69,'[1]A1.)RatesInput'!$B$102:$I$190,HLOOKUP(D$63,'[1]A1.)RatesInput'!$D$102:$I$104,3,0),0)),VLOOKUP($C69,'[1]A1.)RatesInput'!$B$102:$I$190,HLOOKUP(D$63,'[1]A1.)RatesInput'!$D$102:$I$104,3,0),0),0))</f>
        <v>141.21</v>
      </c>
      <c r="E69" s="846">
        <f>'11D.)Demand_RateDesign_SC9_I'!$H12</f>
        <v>152.77000000000001</v>
      </c>
      <c r="F69" s="953">
        <f t="shared" si="2"/>
        <v>8.1863890659301664E-2</v>
      </c>
      <c r="G69" s="406"/>
      <c r="H69" s="571">
        <f>IF(ISNUMBER(VLOOKUP($C69,'[1]A1.)RatesInput'!$B$102:$L$190,HLOOKUP(H$63,'[1]A1.)RatesInput'!$D$102:$L$104,3,0),0)),VLOOKUP($C69,'[1]A1.)RatesInput'!$B$102:$L$190,HLOOKUP(H$63,'[1]A1.)RatesInput'!$D$102:$L$104,3,0),0),0)</f>
        <v>138.94999999999999</v>
      </c>
    </row>
    <row r="70" spans="3:8" x14ac:dyDescent="0.35">
      <c r="C70" s="406" t="s">
        <v>348</v>
      </c>
      <c r="D70" s="571">
        <f>IF('[1]A1.)RatesInput'!$P$99="Y",IF(ISNUMBER(VLOOKUP($C70,'[1]A1.)RatesInput'!$B$102:$Q$190,HLOOKUP(D$63,'[1]A1.)RatesInput'!$O$102:$Q$104,3,0),0)),VLOOKUP($C70,'[1]A1.)RatesInput'!$B$102:$Q$190,HLOOKUP(D$63,'[1]A1.)RatesInput'!$O$102:$Q$104,3,0),0),0),IF(ISNUMBER(VLOOKUP($C70,'[1]A1.)RatesInput'!$B$102:$I$190,HLOOKUP(D$63,'[1]A1.)RatesInput'!$D$102:$I$104,3,0),0)),VLOOKUP($C70,'[1]A1.)RatesInput'!$B$102:$I$190,HLOOKUP(D$63,'[1]A1.)RatesInput'!$D$102:$I$104,3,0),0),0))</f>
        <v>20.399999999999999</v>
      </c>
      <c r="E70" s="846">
        <f>'11D.)Demand_RateDesign_SC9_I'!$H13</f>
        <v>21.139999999999997</v>
      </c>
      <c r="F70" s="953">
        <f t="shared" si="2"/>
        <v>3.627450980392144E-2</v>
      </c>
      <c r="G70" s="406"/>
      <c r="H70" s="571">
        <f>IF(ISNUMBER(VLOOKUP($C70,'[1]A1.)RatesInput'!$B$102:$L$190,HLOOKUP(H$63,'[1]A1.)RatesInput'!$D$102:$L$104,3,0),0)),VLOOKUP($C70,'[1]A1.)RatesInput'!$B$102:$L$190,HLOOKUP(H$63,'[1]A1.)RatesInput'!$D$102:$L$104,3,0),0),0)</f>
        <v>20.070000000000004</v>
      </c>
    </row>
    <row r="71" spans="3:8" x14ac:dyDescent="0.35">
      <c r="C71" s="406" t="s">
        <v>349</v>
      </c>
      <c r="D71" s="571">
        <f>IF('[1]A1.)RatesInput'!$P$99="Y",IF(ISNUMBER(VLOOKUP($C71,'[1]A1.)RatesInput'!$B$102:$Q$190,HLOOKUP(D$63,'[1]A1.)RatesInput'!$O$102:$Q$104,3,0),0)),VLOOKUP($C71,'[1]A1.)RatesInput'!$B$102:$Q$190,HLOOKUP(D$63,'[1]A1.)RatesInput'!$O$102:$Q$104,3,0),0),0),IF(ISNUMBER(VLOOKUP($C71,'[1]A1.)RatesInput'!$B$102:$I$190,HLOOKUP(D$63,'[1]A1.)RatesInput'!$D$102:$I$104,3,0),0)),VLOOKUP($C71,'[1]A1.)RatesInput'!$B$102:$I$190,HLOOKUP(D$63,'[1]A1.)RatesInput'!$D$102:$I$104,3,0),0),0))</f>
        <v>1.95E-2</v>
      </c>
      <c r="E71" s="846">
        <f>'11D.)Demand_RateDesign_SC9_I'!$H14</f>
        <v>1.95E-2</v>
      </c>
      <c r="F71" s="953">
        <f t="shared" si="2"/>
        <v>0</v>
      </c>
      <c r="G71" s="406"/>
      <c r="H71" s="571">
        <f>IF(ISNUMBER(VLOOKUP($C71,'[1]A1.)RatesInput'!$B$102:$L$190,HLOOKUP(H$63,'[1]A1.)RatesInput'!$D$102:$L$104,3,0),0)),VLOOKUP($C71,'[1]A1.)RatesInput'!$B$102:$L$190,HLOOKUP(H$63,'[1]A1.)RatesInput'!$D$102:$L$104,3,0),0),0)</f>
        <v>2.06E-2</v>
      </c>
    </row>
    <row r="72" spans="3:8" x14ac:dyDescent="0.35">
      <c r="C72" s="406" t="s">
        <v>350</v>
      </c>
      <c r="D72" s="571">
        <f>IF('[1]A1.)RatesInput'!$P$99="Y",IF(ISNUMBER(VLOOKUP($C72,'[1]A1.)RatesInput'!$B$102:$Q$190,HLOOKUP(D$63,'[1]A1.)RatesInput'!$O$102:$Q$104,3,0),0)),VLOOKUP($C72,'[1]A1.)RatesInput'!$B$102:$Q$190,HLOOKUP(D$63,'[1]A1.)RatesInput'!$O$102:$Q$104,3,0),0),0),IF(ISNUMBER(VLOOKUP($C72,'[1]A1.)RatesInput'!$B$102:$I$190,HLOOKUP(D$63,'[1]A1.)RatesInput'!$D$102:$I$104,3,0),0)),VLOOKUP($C72,'[1]A1.)RatesInput'!$B$102:$I$190,HLOOKUP(D$63,'[1]A1.)RatesInput'!$D$102:$I$104,3,0),0),0))</f>
        <v>1.95E-2</v>
      </c>
      <c r="E72" s="846">
        <f>'11D.)Demand_RateDesign_SC9_I'!$H15</f>
        <v>1.95E-2</v>
      </c>
      <c r="F72" s="953">
        <f t="shared" si="2"/>
        <v>0</v>
      </c>
      <c r="G72" s="406"/>
      <c r="H72" s="571">
        <f>IF(ISNUMBER(VLOOKUP($C72,'[1]A1.)RatesInput'!$B$102:$L$190,HLOOKUP(H$63,'[1]A1.)RatesInput'!$D$102:$L$104,3,0),0)),VLOOKUP($C72,'[1]A1.)RatesInput'!$B$102:$L$190,HLOOKUP(H$63,'[1]A1.)RatesInput'!$D$102:$L$104,3,0),0),0)</f>
        <v>2.06E-2</v>
      </c>
    </row>
    <row r="73" spans="3:8" x14ac:dyDescent="0.35">
      <c r="C73" s="406" t="s">
        <v>351</v>
      </c>
      <c r="D73" s="571">
        <f>IF('[1]A1.)RatesInput'!$P$99="Y",IF(ISNUMBER(VLOOKUP($C73,'[1]A1.)RatesInput'!$B$102:$Q$190,HLOOKUP(D$63,'[1]A1.)RatesInput'!$O$102:$Q$104,3,0),0)),VLOOKUP($C73,'[1]A1.)RatesInput'!$B$102:$Q$190,HLOOKUP(D$63,'[1]A1.)RatesInput'!$O$102:$Q$104,3,0),0),0),IF(ISNUMBER(VLOOKUP($C73,'[1]A1.)RatesInput'!$B$102:$I$190,HLOOKUP(D$63,'[1]A1.)RatesInput'!$D$102:$I$104,3,0),0)),VLOOKUP($C73,'[1]A1.)RatesInput'!$B$102:$I$190,HLOOKUP(D$63,'[1]A1.)RatesInput'!$D$102:$I$104,3,0),0),0))</f>
        <v>122.81</v>
      </c>
      <c r="E73" s="846">
        <f>'11D.)Demand_RateDesign_SC9_I'!$H16</f>
        <v>133.72999999999999</v>
      </c>
      <c r="F73" s="953">
        <f t="shared" si="2"/>
        <v>8.8917840566729023E-2</v>
      </c>
      <c r="G73" s="406"/>
      <c r="H73" s="571">
        <f>IF(ISNUMBER(VLOOKUP($C73,'[1]A1.)RatesInput'!$B$102:$L$190,HLOOKUP(H$63,'[1]A1.)RatesInput'!$D$102:$L$104,3,0),0)),VLOOKUP($C73,'[1]A1.)RatesInput'!$B$102:$L$190,HLOOKUP(H$63,'[1]A1.)RatesInput'!$D$102:$L$104,3,0),0),0)</f>
        <v>134.47999999999999</v>
      </c>
    </row>
    <row r="74" spans="3:8" x14ac:dyDescent="0.35">
      <c r="C74" s="406" t="s">
        <v>352</v>
      </c>
      <c r="D74" s="571">
        <f>IF('[1]A1.)RatesInput'!$P$99="Y",IF(ISNUMBER(VLOOKUP($C74,'[1]A1.)RatesInput'!$B$102:$Q$190,HLOOKUP(D$63,'[1]A1.)RatesInput'!$O$102:$Q$104,3,0),0)),VLOOKUP($C74,'[1]A1.)RatesInput'!$B$102:$Q$190,HLOOKUP(D$63,'[1]A1.)RatesInput'!$O$102:$Q$104,3,0),0),0),IF(ISNUMBER(VLOOKUP($C74,'[1]A1.)RatesInput'!$B$102:$I$190,HLOOKUP(D$63,'[1]A1.)RatesInput'!$D$102:$I$104,3,0),0)),VLOOKUP($C74,'[1]A1.)RatesInput'!$B$102:$I$190,HLOOKUP(D$63,'[1]A1.)RatesInput'!$D$102:$I$104,3,0),0),0))</f>
        <v>18.03</v>
      </c>
      <c r="E74" s="846">
        <f>'11D.)Demand_RateDesign_SC9_I'!$H17</f>
        <v>18.679999999999996</v>
      </c>
      <c r="F74" s="953">
        <f t="shared" si="2"/>
        <v>3.6051026067664749E-2</v>
      </c>
      <c r="G74" s="406"/>
      <c r="H74" s="571">
        <f>IF(ISNUMBER(VLOOKUP($C74,'[1]A1.)RatesInput'!$B$102:$L$190,HLOOKUP(H$63,'[1]A1.)RatesInput'!$D$102:$L$104,3,0),0)),VLOOKUP($C74,'[1]A1.)RatesInput'!$B$102:$L$190,HLOOKUP(H$63,'[1]A1.)RatesInput'!$D$102:$L$104,3,0),0),0)</f>
        <v>19.270000000000003</v>
      </c>
    </row>
    <row r="75" spans="3:8" x14ac:dyDescent="0.35">
      <c r="C75" s="406" t="s">
        <v>353</v>
      </c>
      <c r="D75" s="571">
        <f>IF('[1]A1.)RatesInput'!$P$99="Y",IF(ISNUMBER(VLOOKUP($C75,'[1]A1.)RatesInput'!$B$102:$Q$190,HLOOKUP(D$63,'[1]A1.)RatesInput'!$O$102:$Q$104,3,0),0)),VLOOKUP($C75,'[1]A1.)RatesInput'!$B$102:$Q$190,HLOOKUP(D$63,'[1]A1.)RatesInput'!$O$102:$Q$104,3,0),0),0),IF(ISNUMBER(VLOOKUP($C75,'[1]A1.)RatesInput'!$B$102:$I$190,HLOOKUP(D$63,'[1]A1.)RatesInput'!$D$102:$I$104,3,0),0)),VLOOKUP($C75,'[1]A1.)RatesInput'!$B$102:$I$190,HLOOKUP(D$63,'[1]A1.)RatesInput'!$D$102:$I$104,3,0),0),0))</f>
        <v>87.300000000000011</v>
      </c>
      <c r="E75" s="846">
        <f>'11D.)Demand_RateDesign_SC9_I'!$H18</f>
        <v>96.98</v>
      </c>
      <c r="F75" s="953">
        <f t="shared" si="2"/>
        <v>0.11088201603665504</v>
      </c>
      <c r="G75" s="406"/>
      <c r="H75" s="571">
        <f>IF(ISNUMBER(VLOOKUP($C75,'[1]A1.)RatesInput'!$B$102:$L$190,HLOOKUP(H$63,'[1]A1.)RatesInput'!$D$102:$L$104,3,0),0)),VLOOKUP($C75,'[1]A1.)RatesInput'!$B$102:$L$190,HLOOKUP(H$63,'[1]A1.)RatesInput'!$D$102:$L$104,3,0),0),0)</f>
        <v>99.53</v>
      </c>
    </row>
    <row r="76" spans="3:8" x14ac:dyDescent="0.35">
      <c r="C76" s="406" t="s">
        <v>354</v>
      </c>
      <c r="D76" s="573">
        <f>IF('[1]A1.)RatesInput'!$P$99="Y",IF(ISNUMBER(VLOOKUP($C76,'[1]A1.)RatesInput'!$B$102:$Q$190,HLOOKUP(D$63,'[1]A1.)RatesInput'!$O$102:$Q$104,3,0),0)),VLOOKUP($C76,'[1]A1.)RatesInput'!$B$102:$Q$190,HLOOKUP(D$63,'[1]A1.)RatesInput'!$O$102:$Q$104,3,0),0),0),IF(ISNUMBER(VLOOKUP($C76,'[1]A1.)RatesInput'!$B$102:$I$190,HLOOKUP(D$63,'[1]A1.)RatesInput'!$D$102:$I$104,3,0),0)),VLOOKUP($C76,'[1]A1.)RatesInput'!$B$102:$I$190,HLOOKUP(D$63,'[1]A1.)RatesInput'!$D$102:$I$104,3,0),0),0))</f>
        <v>12.579999999999998</v>
      </c>
      <c r="E76" s="847">
        <f>'11D.)Demand_RateDesign_SC9_I'!$H19</f>
        <v>13.029999999999998</v>
      </c>
      <c r="F76" s="954">
        <f t="shared" si="2"/>
        <v>3.5771065182829798E-2</v>
      </c>
      <c r="G76" s="406"/>
      <c r="H76" s="573">
        <f>IF(ISNUMBER(VLOOKUP($C76,'[1]A1.)RatesInput'!$B$102:$L$190,HLOOKUP(H$63,'[1]A1.)RatesInput'!$D$102:$L$104,3,0),0)),VLOOKUP($C76,'[1]A1.)RatesInput'!$B$102:$L$190,HLOOKUP(H$63,'[1]A1.)RatesInput'!$D$102:$L$104,3,0),0),0)</f>
        <v>13.910000000000004</v>
      </c>
    </row>
    <row r="77" spans="3:8" x14ac:dyDescent="0.35">
      <c r="C77" s="406"/>
      <c r="D77" s="406"/>
      <c r="E77" s="406"/>
      <c r="F77" s="955"/>
      <c r="G77" s="406"/>
      <c r="H77" s="406"/>
    </row>
    <row r="80" spans="3:8" x14ac:dyDescent="0.35">
      <c r="C80" s="772" t="s">
        <v>1147</v>
      </c>
      <c r="D80" s="408" t="s">
        <v>1148</v>
      </c>
      <c r="E80" s="408" t="s">
        <v>521</v>
      </c>
      <c r="F80" s="955"/>
    </row>
    <row r="81" spans="2:8" x14ac:dyDescent="0.35">
      <c r="C81" s="406" t="s">
        <v>1152</v>
      </c>
      <c r="D81" s="406"/>
      <c r="E81" s="956">
        <f>'11D.)Demand_RateDesign_SC9_I'!M257</f>
        <v>1186713328.2468894</v>
      </c>
      <c r="F81" s="955"/>
    </row>
    <row r="82" spans="2:8" x14ac:dyDescent="0.35">
      <c r="C82" s="406" t="s">
        <v>45</v>
      </c>
      <c r="D82" s="406"/>
      <c r="E82" s="956">
        <f>'11D.)Demand_RateDesign_SC9_I'!M269</f>
        <v>343040263</v>
      </c>
      <c r="F82" s="955"/>
    </row>
    <row r="83" spans="2:8" x14ac:dyDescent="0.35">
      <c r="C83" s="406" t="s">
        <v>536</v>
      </c>
      <c r="D83" s="406"/>
      <c r="E83" s="957">
        <f>E81+E82</f>
        <v>1529753591.2468894</v>
      </c>
      <c r="F83" s="955"/>
    </row>
    <row r="84" spans="2:8" ht="15" thickBot="1" x14ac:dyDescent="0.4">
      <c r="C84" s="406" t="s">
        <v>535</v>
      </c>
      <c r="D84" s="406"/>
      <c r="E84" s="958">
        <f>'11D.)Demand_RateDesign_SC9_I'!$M$277</f>
        <v>130210366</v>
      </c>
      <c r="F84" s="955"/>
    </row>
    <row r="85" spans="2:8" ht="15.5" thickTop="1" thickBot="1" x14ac:dyDescent="0.4">
      <c r="C85" s="406" t="s">
        <v>752</v>
      </c>
      <c r="D85" s="440">
        <f>'11D.)Demand_RateDesign_SC9_I'!$M$280</f>
        <v>1660027094.2468896</v>
      </c>
      <c r="E85" s="440">
        <f>E83+E84</f>
        <v>1659963957.2468894</v>
      </c>
      <c r="F85" s="959">
        <f>IF(ISNUMBER(E85/D85-1),E85/D85-1,"")</f>
        <v>-3.8033716569518816E-5</v>
      </c>
    </row>
    <row r="86" spans="2:8" ht="15" thickTop="1" x14ac:dyDescent="0.35"/>
    <row r="87" spans="2:8" ht="15" thickBot="1" x14ac:dyDescent="0.4"/>
    <row r="88" spans="2:8" ht="15" thickBot="1" x14ac:dyDescent="0.4">
      <c r="B88" s="131" t="s">
        <v>530</v>
      </c>
      <c r="C88" s="435" t="s">
        <v>529</v>
      </c>
      <c r="D88" s="400" t="str">
        <f>'11E.)Demand_RateDesign_SC12_I'!$A$4</f>
        <v>SC12 Rate I</v>
      </c>
      <c r="E88" s="436"/>
    </row>
    <row r="89" spans="2:8" x14ac:dyDescent="0.35">
      <c r="C89" s="435" t="s">
        <v>528</v>
      </c>
      <c r="D89" s="372" t="s">
        <v>864</v>
      </c>
    </row>
    <row r="91" spans="2:8" x14ac:dyDescent="0.35">
      <c r="C91" s="857" t="s">
        <v>527</v>
      </c>
      <c r="D91" s="960" t="str">
        <f>D$9</f>
        <v>Current(RY1)</v>
      </c>
      <c r="E91" s="960" t="str">
        <f>E$9</f>
        <v>Proposed</v>
      </c>
      <c r="F91" s="960" t="s">
        <v>526</v>
      </c>
      <c r="G91" s="406"/>
      <c r="H91" s="960">
        <f>H$9</f>
        <v>2019</v>
      </c>
    </row>
    <row r="92" spans="2:8" x14ac:dyDescent="0.35">
      <c r="C92" s="406"/>
      <c r="D92" s="577" t="str">
        <f>D$10</f>
        <v>(Redesigned)</v>
      </c>
      <c r="E92" s="577"/>
      <c r="F92" s="955"/>
      <c r="G92" s="406"/>
      <c r="H92" s="577" t="str">
        <f>H$10</f>
        <v>(Currnet - Original)</v>
      </c>
    </row>
    <row r="93" spans="2:8" x14ac:dyDescent="0.35">
      <c r="C93" s="406" t="s">
        <v>355</v>
      </c>
      <c r="D93" s="572">
        <f>IF('[1]A1.)RatesInput'!$P$99="Y",IF(ISNUMBER(VLOOKUP($C93,'[1]A1.)RatesInput'!$B$102:$Q$190,HLOOKUP(D$91,'[1]A1.)RatesInput'!$O$102:$Q$104,3,0),0)),VLOOKUP($C93,'[1]A1.)RatesInput'!$B$102:$Q$190,HLOOKUP(D$91,'[1]A1.)RatesInput'!$O$102:$Q$104,3,0),0),0),IF(ISNUMBER(VLOOKUP($C93,'[1]A1.)RatesInput'!$B$102:$I$190,HLOOKUP(D$91,'[1]A1.)RatesInput'!$D$102:$I$104,3,0),0)),VLOOKUP($C93,'[1]A1.)RatesInput'!$B$102:$I$190,HLOOKUP(D$91,'[1]A1.)RatesInput'!$D$102:$I$104,3,0),0),0))</f>
        <v>1.72E-2</v>
      </c>
      <c r="E93" s="848">
        <f>'11E.)Demand_RateDesign_SC12_I'!$H8</f>
        <v>1.72E-2</v>
      </c>
      <c r="F93" s="952">
        <f t="shared" ref="F93:F104" si="3">IF(ISNUMBER(E93/D93-1),E93/D93-1,"")</f>
        <v>0</v>
      </c>
      <c r="G93" s="406"/>
      <c r="H93" s="572">
        <f>IF(ISNUMBER(VLOOKUP($C93,'[1]A1.)RatesInput'!$B$102:$L$190,HLOOKUP(H$91,'[1]A1.)RatesInput'!$D$102:$L$104,3,0),0)),VLOOKUP($C93,'[1]A1.)RatesInput'!$B$102:$L$190,HLOOKUP(H$91,'[1]A1.)RatesInput'!$D$102:$L$104,3,0),0),0)</f>
        <v>1.8100000000000002E-2</v>
      </c>
    </row>
    <row r="94" spans="2:8" x14ac:dyDescent="0.35">
      <c r="C94" s="406" t="s">
        <v>356</v>
      </c>
      <c r="D94" s="571">
        <f>IF('[1]A1.)RatesInput'!$P$99="Y",IF(ISNUMBER(VLOOKUP($C94,'[1]A1.)RatesInput'!$B$102:$Q$190,HLOOKUP(D$91,'[1]A1.)RatesInput'!$O$102:$Q$104,3,0),0)),VLOOKUP($C94,'[1]A1.)RatesInput'!$B$102:$Q$190,HLOOKUP(D$91,'[1]A1.)RatesInput'!$O$102:$Q$104,3,0),0),0),IF(ISNUMBER(VLOOKUP($C94,'[1]A1.)RatesInput'!$B$102:$I$190,HLOOKUP(D$91,'[1]A1.)RatesInput'!$D$102:$I$104,3,0),0)),VLOOKUP($C94,'[1]A1.)RatesInput'!$B$102:$I$190,HLOOKUP(D$91,'[1]A1.)RatesInput'!$D$102:$I$104,3,0),0),0))</f>
        <v>1.72E-2</v>
      </c>
      <c r="E94" s="846">
        <f>'11E.)Demand_RateDesign_SC12_I'!$H9</f>
        <v>1.72E-2</v>
      </c>
      <c r="F94" s="953">
        <f t="shared" si="3"/>
        <v>0</v>
      </c>
      <c r="G94" s="406"/>
      <c r="H94" s="571">
        <f>IF(ISNUMBER(VLOOKUP($C94,'[1]A1.)RatesInput'!$B$102:$L$190,HLOOKUP(H$91,'[1]A1.)RatesInput'!$D$102:$L$104,3,0),0)),VLOOKUP($C94,'[1]A1.)RatesInput'!$B$102:$L$190,HLOOKUP(H$91,'[1]A1.)RatesInput'!$D$102:$L$104,3,0),0),0)</f>
        <v>1.8100000000000002E-2</v>
      </c>
    </row>
    <row r="95" spans="2:8" x14ac:dyDescent="0.35">
      <c r="C95" s="406" t="s">
        <v>357</v>
      </c>
      <c r="D95" s="571">
        <f>IF('[1]A1.)RatesInput'!$P$99="Y",IF(ISNUMBER(VLOOKUP($C95,'[1]A1.)RatesInput'!$B$102:$Q$190,HLOOKUP(D$91,'[1]A1.)RatesInput'!$O$102:$Q$104,3,0),0)),VLOOKUP($C95,'[1]A1.)RatesInput'!$B$102:$Q$190,HLOOKUP(D$91,'[1]A1.)RatesInput'!$O$102:$Q$104,3,0),0),0),IF(ISNUMBER(VLOOKUP($C95,'[1]A1.)RatesInput'!$B$102:$I$190,HLOOKUP(D$91,'[1]A1.)RatesInput'!$D$102:$I$104,3,0),0)),VLOOKUP($C95,'[1]A1.)RatesInput'!$B$102:$I$190,HLOOKUP(D$91,'[1]A1.)RatesInput'!$D$102:$I$104,3,0),0),0))</f>
        <v>187.11</v>
      </c>
      <c r="E95" s="846">
        <f>'11E.)Demand_RateDesign_SC12_I'!$H10</f>
        <v>208.8</v>
      </c>
      <c r="F95" s="953">
        <f t="shared" si="3"/>
        <v>0.11592111592111598</v>
      </c>
      <c r="G95" s="406"/>
      <c r="H95" s="571">
        <f>IF(ISNUMBER(VLOOKUP($C95,'[1]A1.)RatesInput'!$B$102:$L$190,HLOOKUP(H$91,'[1]A1.)RatesInput'!$D$102:$L$104,3,0),0)),VLOOKUP($C95,'[1]A1.)RatesInput'!$B$102:$L$190,HLOOKUP(H$91,'[1]A1.)RatesInput'!$D$102:$L$104,3,0),0),0)</f>
        <v>183.98</v>
      </c>
    </row>
    <row r="96" spans="2:8" x14ac:dyDescent="0.35">
      <c r="C96" s="406" t="s">
        <v>358</v>
      </c>
      <c r="D96" s="571">
        <f>IF('[1]A1.)RatesInput'!$P$99="Y",IF(ISNUMBER(VLOOKUP($C96,'[1]A1.)RatesInput'!$B$102:$Q$190,HLOOKUP(D$91,'[1]A1.)RatesInput'!$O$102:$Q$104,3,0),0)),VLOOKUP($C96,'[1]A1.)RatesInput'!$B$102:$Q$190,HLOOKUP(D$91,'[1]A1.)RatesInput'!$O$102:$Q$104,3,0),0),0),IF(ISNUMBER(VLOOKUP($C96,'[1]A1.)RatesInput'!$B$102:$I$190,HLOOKUP(D$91,'[1]A1.)RatesInput'!$D$102:$I$104,3,0),0)),VLOOKUP($C96,'[1]A1.)RatesInput'!$B$102:$I$190,HLOOKUP(D$91,'[1]A1.)RatesInput'!$D$102:$I$104,3,0),0),0))</f>
        <v>33.840000000000003</v>
      </c>
      <c r="E96" s="846">
        <f>'11E.)Demand_RateDesign_SC12_I'!$H11</f>
        <v>35.590000000000003</v>
      </c>
      <c r="F96" s="953">
        <f t="shared" si="3"/>
        <v>5.171394799054374E-2</v>
      </c>
      <c r="G96" s="406"/>
      <c r="H96" s="571">
        <f>IF(ISNUMBER(VLOOKUP($C96,'[1]A1.)RatesInput'!$B$102:$L$190,HLOOKUP(H$91,'[1]A1.)RatesInput'!$D$102:$L$104,3,0),0)),VLOOKUP($C96,'[1]A1.)RatesInput'!$B$102:$L$190,HLOOKUP(H$91,'[1]A1.)RatesInput'!$D$102:$L$104,3,0),0),0)</f>
        <v>33.269999999999996</v>
      </c>
    </row>
    <row r="97" spans="3:8" x14ac:dyDescent="0.35">
      <c r="C97" s="406" t="s">
        <v>359</v>
      </c>
      <c r="D97" s="571">
        <f>IF('[1]A1.)RatesInput'!$P$99="Y",IF(ISNUMBER(VLOOKUP($C97,'[1]A1.)RatesInput'!$B$102:$Q$190,HLOOKUP(D$91,'[1]A1.)RatesInput'!$O$102:$Q$104,3,0),0)),VLOOKUP($C97,'[1]A1.)RatesInput'!$B$102:$Q$190,HLOOKUP(D$91,'[1]A1.)RatesInput'!$O$102:$Q$104,3,0),0),0),IF(ISNUMBER(VLOOKUP($C97,'[1]A1.)RatesInput'!$B$102:$I$190,HLOOKUP(D$91,'[1]A1.)RatesInput'!$D$102:$I$104,3,0),0)),VLOOKUP($C97,'[1]A1.)RatesInput'!$B$102:$I$190,HLOOKUP(D$91,'[1]A1.)RatesInput'!$D$102:$I$104,3,0),0),0))</f>
        <v>105.06</v>
      </c>
      <c r="E97" s="846">
        <f>'11E.)Demand_RateDesign_SC12_I'!$H12</f>
        <v>123.61</v>
      </c>
      <c r="F97" s="953">
        <f t="shared" si="3"/>
        <v>0.17656577193984391</v>
      </c>
      <c r="G97" s="406"/>
      <c r="H97" s="571">
        <f>IF(ISNUMBER(VLOOKUP($C97,'[1]A1.)RatesInput'!$B$102:$L$190,HLOOKUP(H$91,'[1]A1.)RatesInput'!$D$102:$L$104,3,0),0)),VLOOKUP($C97,'[1]A1.)RatesInput'!$B$102:$L$190,HLOOKUP(H$91,'[1]A1.)RatesInput'!$D$102:$L$104,3,0),0),0)</f>
        <v>103.3</v>
      </c>
    </row>
    <row r="98" spans="3:8" x14ac:dyDescent="0.35">
      <c r="C98" s="406" t="s">
        <v>360</v>
      </c>
      <c r="D98" s="571">
        <f>IF('[1]A1.)RatesInput'!$P$99="Y",IF(ISNUMBER(VLOOKUP($C98,'[1]A1.)RatesInput'!$B$102:$Q$190,HLOOKUP(D$91,'[1]A1.)RatesInput'!$O$102:$Q$104,3,0),0)),VLOOKUP($C98,'[1]A1.)RatesInput'!$B$102:$Q$190,HLOOKUP(D$91,'[1]A1.)RatesInput'!$O$102:$Q$104,3,0),0),0),IF(ISNUMBER(VLOOKUP($C98,'[1]A1.)RatesInput'!$B$102:$I$190,HLOOKUP(D$91,'[1]A1.)RatesInput'!$D$102:$I$104,3,0),0)),VLOOKUP($C98,'[1]A1.)RatesInput'!$B$102:$I$190,HLOOKUP(D$91,'[1]A1.)RatesInput'!$D$102:$I$104,3,0),0),0))</f>
        <v>18.98</v>
      </c>
      <c r="E98" s="846">
        <f>'11E.)Demand_RateDesign_SC12_I'!$H13</f>
        <v>19.96</v>
      </c>
      <c r="F98" s="953">
        <f t="shared" si="3"/>
        <v>5.163329820864071E-2</v>
      </c>
      <c r="G98" s="406"/>
      <c r="H98" s="571">
        <f>IF(ISNUMBER(VLOOKUP($C98,'[1]A1.)RatesInput'!$B$102:$L$190,HLOOKUP(H$91,'[1]A1.)RatesInput'!$D$102:$L$104,3,0),0)),VLOOKUP($C98,'[1]A1.)RatesInput'!$B$102:$L$190,HLOOKUP(H$91,'[1]A1.)RatesInput'!$D$102:$L$104,3,0),0),0)</f>
        <v>18.66</v>
      </c>
    </row>
    <row r="99" spans="3:8" x14ac:dyDescent="0.35">
      <c r="C99" s="406" t="s">
        <v>361</v>
      </c>
      <c r="D99" s="571">
        <f>IF('[1]A1.)RatesInput'!$P$99="Y",IF(ISNUMBER(VLOOKUP($C99,'[1]A1.)RatesInput'!$B$102:$Q$190,HLOOKUP(D$91,'[1]A1.)RatesInput'!$O$102:$Q$104,3,0),0)),VLOOKUP($C99,'[1]A1.)RatesInput'!$B$102:$Q$190,HLOOKUP(D$91,'[1]A1.)RatesInput'!$O$102:$Q$104,3,0),0),0),IF(ISNUMBER(VLOOKUP($C99,'[1]A1.)RatesInput'!$B$102:$I$190,HLOOKUP(D$91,'[1]A1.)RatesInput'!$D$102:$I$104,3,0),0)),VLOOKUP($C99,'[1]A1.)RatesInput'!$B$102:$I$190,HLOOKUP(D$91,'[1]A1.)RatesInput'!$D$102:$I$104,3,0),0),0))</f>
        <v>1.72E-2</v>
      </c>
      <c r="E99" s="846">
        <f>'11E.)Demand_RateDesign_SC12_I'!$H14</f>
        <v>1.72E-2</v>
      </c>
      <c r="F99" s="953">
        <f t="shared" si="3"/>
        <v>0</v>
      </c>
      <c r="G99" s="406"/>
      <c r="H99" s="571">
        <f>IF(ISNUMBER(VLOOKUP($C99,'[1]A1.)RatesInput'!$B$102:$L$190,HLOOKUP(H$91,'[1]A1.)RatesInput'!$D$102:$L$104,3,0),0)),VLOOKUP($C99,'[1]A1.)RatesInput'!$B$102:$L$190,HLOOKUP(H$91,'[1]A1.)RatesInput'!$D$102:$L$104,3,0),0),0)</f>
        <v>1.8100000000000002E-2</v>
      </c>
    </row>
    <row r="100" spans="3:8" x14ac:dyDescent="0.35">
      <c r="C100" s="406" t="s">
        <v>362</v>
      </c>
      <c r="D100" s="571">
        <f>IF('[1]A1.)RatesInput'!$P$99="Y",IF(ISNUMBER(VLOOKUP($C100,'[1]A1.)RatesInput'!$B$102:$Q$190,HLOOKUP(D$91,'[1]A1.)RatesInput'!$O$102:$Q$104,3,0),0)),VLOOKUP($C100,'[1]A1.)RatesInput'!$B$102:$Q$190,HLOOKUP(D$91,'[1]A1.)RatesInput'!$O$102:$Q$104,3,0),0),0),IF(ISNUMBER(VLOOKUP($C100,'[1]A1.)RatesInput'!$B$102:$I$190,HLOOKUP(D$91,'[1]A1.)RatesInput'!$D$102:$I$104,3,0),0)),VLOOKUP($C100,'[1]A1.)RatesInput'!$B$102:$I$190,HLOOKUP(D$91,'[1]A1.)RatesInput'!$D$102:$I$104,3,0),0),0))</f>
        <v>1.72E-2</v>
      </c>
      <c r="E100" s="846">
        <f>'11E.)Demand_RateDesign_SC12_I'!$H15</f>
        <v>1.72E-2</v>
      </c>
      <c r="F100" s="953">
        <f t="shared" si="3"/>
        <v>0</v>
      </c>
      <c r="G100" s="406"/>
      <c r="H100" s="571">
        <f>IF(ISNUMBER(VLOOKUP($C100,'[1]A1.)RatesInput'!$B$102:$L$190,HLOOKUP(H$91,'[1]A1.)RatesInput'!$D$102:$L$104,3,0),0)),VLOOKUP($C100,'[1]A1.)RatesInput'!$B$102:$L$190,HLOOKUP(H$91,'[1]A1.)RatesInput'!$D$102:$L$104,3,0),0),0)</f>
        <v>1.8100000000000002E-2</v>
      </c>
    </row>
    <row r="101" spans="3:8" x14ac:dyDescent="0.35">
      <c r="C101" s="406" t="s">
        <v>363</v>
      </c>
      <c r="D101" s="571">
        <f>IF('[1]A1.)RatesInput'!$P$99="Y",IF(ISNUMBER(VLOOKUP($C101,'[1]A1.)RatesInput'!$B$102:$Q$190,HLOOKUP(D$91,'[1]A1.)RatesInput'!$O$102:$Q$104,3,0),0)),VLOOKUP($C101,'[1]A1.)RatesInput'!$B$102:$Q$190,HLOOKUP(D$91,'[1]A1.)RatesInput'!$O$102:$Q$104,3,0),0),0),IF(ISNUMBER(VLOOKUP($C101,'[1]A1.)RatesInput'!$B$102:$I$190,HLOOKUP(D$91,'[1]A1.)RatesInput'!$D$102:$I$104,3,0),0)),VLOOKUP($C101,'[1]A1.)RatesInput'!$B$102:$I$190,HLOOKUP(D$91,'[1]A1.)RatesInput'!$D$102:$I$104,3,0),0),0))</f>
        <v>139.91</v>
      </c>
      <c r="E101" s="846">
        <f>'11E.)Demand_RateDesign_SC12_I'!$H16</f>
        <v>159.79</v>
      </c>
      <c r="F101" s="953">
        <f t="shared" si="3"/>
        <v>0.14209134443570859</v>
      </c>
      <c r="G101" s="406"/>
      <c r="H101" s="571">
        <f>IF(ISNUMBER(VLOOKUP($C101,'[1]A1.)RatesInput'!$B$102:$L$190,HLOOKUP(H$91,'[1]A1.)RatesInput'!$D$102:$L$104,3,0),0)),VLOOKUP($C101,'[1]A1.)RatesInput'!$B$102:$L$190,HLOOKUP(H$91,'[1]A1.)RatesInput'!$D$102:$L$104,3,0),0),0)</f>
        <v>137.57</v>
      </c>
    </row>
    <row r="102" spans="3:8" x14ac:dyDescent="0.35">
      <c r="C102" s="406" t="s">
        <v>364</v>
      </c>
      <c r="D102" s="571">
        <f>IF('[1]A1.)RatesInput'!$P$99="Y",IF(ISNUMBER(VLOOKUP($C102,'[1]A1.)RatesInput'!$B$102:$Q$190,HLOOKUP(D$91,'[1]A1.)RatesInput'!$O$102:$Q$104,3,0),0)),VLOOKUP($C102,'[1]A1.)RatesInput'!$B$102:$Q$190,HLOOKUP(D$91,'[1]A1.)RatesInput'!$O$102:$Q$104,3,0),0),0),IF(ISNUMBER(VLOOKUP($C102,'[1]A1.)RatesInput'!$B$102:$I$190,HLOOKUP(D$91,'[1]A1.)RatesInput'!$D$102:$I$104,3,0),0)),VLOOKUP($C102,'[1]A1.)RatesInput'!$B$102:$I$190,HLOOKUP(D$91,'[1]A1.)RatesInput'!$D$102:$I$104,3,0),0),0))</f>
        <v>25.29</v>
      </c>
      <c r="E102" s="846">
        <f>'11E.)Demand_RateDesign_SC12_I'!$H17</f>
        <v>26.6</v>
      </c>
      <c r="F102" s="953">
        <f t="shared" si="3"/>
        <v>5.1799130090945056E-2</v>
      </c>
      <c r="G102" s="406"/>
      <c r="H102" s="571">
        <f>IF(ISNUMBER(VLOOKUP($C102,'[1]A1.)RatesInput'!$B$102:$L$190,HLOOKUP(H$91,'[1]A1.)RatesInput'!$D$102:$L$104,3,0),0)),VLOOKUP($C102,'[1]A1.)RatesInput'!$B$102:$L$190,HLOOKUP(H$91,'[1]A1.)RatesInput'!$D$102:$L$104,3,0),0),0)</f>
        <v>24.86</v>
      </c>
    </row>
    <row r="103" spans="3:8" x14ac:dyDescent="0.35">
      <c r="C103" s="406" t="s">
        <v>365</v>
      </c>
      <c r="D103" s="571">
        <f>IF('[1]A1.)RatesInput'!$P$99="Y",IF(ISNUMBER(VLOOKUP($C103,'[1]A1.)RatesInput'!$B$102:$Q$190,HLOOKUP(D$91,'[1]A1.)RatesInput'!$O$102:$Q$104,3,0),0)),VLOOKUP($C103,'[1]A1.)RatesInput'!$B$102:$Q$190,HLOOKUP(D$91,'[1]A1.)RatesInput'!$O$102:$Q$104,3,0),0),0),IF(ISNUMBER(VLOOKUP($C103,'[1]A1.)RatesInput'!$B$102:$I$190,HLOOKUP(D$91,'[1]A1.)RatesInput'!$D$102:$I$104,3,0),0)),VLOOKUP($C103,'[1]A1.)RatesInput'!$B$102:$I$190,HLOOKUP(D$91,'[1]A1.)RatesInput'!$D$102:$I$104,3,0),0),0))</f>
        <v>58.02</v>
      </c>
      <c r="E103" s="846">
        <f>'11E.)Demand_RateDesign_SC12_I'!$H18</f>
        <v>74.760000000000005</v>
      </c>
      <c r="F103" s="953">
        <f t="shared" si="3"/>
        <v>0.28852119958634947</v>
      </c>
      <c r="G103" s="406"/>
      <c r="H103" s="571">
        <f>IF(ISNUMBER(VLOOKUP($C103,'[1]A1.)RatesInput'!$B$102:$L$190,HLOOKUP(H$91,'[1]A1.)RatesInput'!$D$102:$L$104,3,0),0)),VLOOKUP($C103,'[1]A1.)RatesInput'!$B$102:$L$190,HLOOKUP(H$91,'[1]A1.)RatesInput'!$D$102:$L$104,3,0),0),0)</f>
        <v>57.05</v>
      </c>
    </row>
    <row r="104" spans="3:8" x14ac:dyDescent="0.35">
      <c r="C104" s="406" t="s">
        <v>366</v>
      </c>
      <c r="D104" s="573">
        <f>IF('[1]A1.)RatesInput'!$P$99="Y",IF(ISNUMBER(VLOOKUP($C104,'[1]A1.)RatesInput'!$B$102:$Q$190,HLOOKUP(D$91,'[1]A1.)RatesInput'!$O$102:$Q$104,3,0),0)),VLOOKUP($C104,'[1]A1.)RatesInput'!$B$102:$Q$190,HLOOKUP(D$91,'[1]A1.)RatesInput'!$O$102:$Q$104,3,0),0),0),IF(ISNUMBER(VLOOKUP($C104,'[1]A1.)RatesInput'!$B$102:$I$190,HLOOKUP(D$91,'[1]A1.)RatesInput'!$D$102:$I$104,3,0),0)),VLOOKUP($C104,'[1]A1.)RatesInput'!$B$102:$I$190,HLOOKUP(D$91,'[1]A1.)RatesInput'!$D$102:$I$104,3,0),0),0))</f>
        <v>10.450000000000001</v>
      </c>
      <c r="E104" s="847">
        <f>'11E.)Demand_RateDesign_SC12_I'!$H19</f>
        <v>10.99</v>
      </c>
      <c r="F104" s="954">
        <f t="shared" si="3"/>
        <v>5.1674641148325318E-2</v>
      </c>
      <c r="G104" s="406"/>
      <c r="H104" s="573">
        <f>IF(ISNUMBER(VLOOKUP($C104,'[1]A1.)RatesInput'!$B$102:$L$190,HLOOKUP(H$91,'[1]A1.)RatesInput'!$D$102:$L$104,3,0),0)),VLOOKUP($C104,'[1]A1.)RatesInput'!$B$102:$L$190,HLOOKUP(H$91,'[1]A1.)RatesInput'!$D$102:$L$104,3,0),0),0)</f>
        <v>10.27</v>
      </c>
    </row>
    <row r="108" spans="3:8" x14ac:dyDescent="0.35">
      <c r="C108" s="772" t="s">
        <v>1147</v>
      </c>
      <c r="D108" s="408" t="s">
        <v>1148</v>
      </c>
      <c r="E108" s="408" t="s">
        <v>521</v>
      </c>
    </row>
    <row r="109" spans="3:8" x14ac:dyDescent="0.35">
      <c r="C109" s="406" t="s">
        <v>1152</v>
      </c>
      <c r="D109" s="406"/>
      <c r="E109" s="956">
        <f>'11E.)Demand_RateDesign_SC12_I'!M257</f>
        <v>8823579</v>
      </c>
    </row>
    <row r="110" spans="3:8" x14ac:dyDescent="0.35">
      <c r="C110" s="406" t="s">
        <v>45</v>
      </c>
      <c r="D110" s="406"/>
      <c r="E110" s="956">
        <f>'11E.)Demand_RateDesign_SC12_I'!M269</f>
        <v>2659349</v>
      </c>
    </row>
    <row r="111" spans="3:8" x14ac:dyDescent="0.35">
      <c r="C111" s="406" t="s">
        <v>536</v>
      </c>
      <c r="D111" s="406"/>
      <c r="E111" s="957">
        <f>E109+E110</f>
        <v>11482928</v>
      </c>
    </row>
    <row r="112" spans="3:8" ht="15" thickBot="1" x14ac:dyDescent="0.4">
      <c r="C112" s="406" t="s">
        <v>535</v>
      </c>
      <c r="D112" s="406"/>
      <c r="E112" s="958">
        <f>'11E.)Demand_RateDesign_SC12_I'!$M$276</f>
        <v>166162</v>
      </c>
    </row>
    <row r="113" spans="2:8" ht="15.5" thickTop="1" thickBot="1" x14ac:dyDescent="0.4">
      <c r="C113" s="406" t="s">
        <v>752</v>
      </c>
      <c r="D113" s="440">
        <f>'11E.)Demand_RateDesign_SC12_I'!$M$280</f>
        <v>11745150</v>
      </c>
      <c r="E113" s="440">
        <f>E111+E112</f>
        <v>11649090</v>
      </c>
      <c r="F113" s="439">
        <f>IF(ISNUMBER(E113/D113-1),E113/D113-1,"")</f>
        <v>-8.1786950358232469E-3</v>
      </c>
    </row>
    <row r="114" spans="2:8" ht="15" thickTop="1" x14ac:dyDescent="0.35">
      <c r="C114" s="406"/>
      <c r="D114" s="406"/>
      <c r="E114" s="406"/>
    </row>
    <row r="115" spans="2:8" ht="15" thickBot="1" x14ac:dyDescent="0.4"/>
    <row r="116" spans="2:8" ht="15" thickBot="1" x14ac:dyDescent="0.4">
      <c r="B116" s="131" t="s">
        <v>549</v>
      </c>
      <c r="C116" s="435" t="s">
        <v>529</v>
      </c>
      <c r="D116" s="400" t="s">
        <v>780</v>
      </c>
      <c r="E116" s="436"/>
    </row>
    <row r="117" spans="2:8" x14ac:dyDescent="0.35">
      <c r="C117" s="435" t="s">
        <v>528</v>
      </c>
      <c r="D117" s="372" t="s">
        <v>865</v>
      </c>
    </row>
    <row r="119" spans="2:8" x14ac:dyDescent="0.35">
      <c r="C119" s="435" t="s">
        <v>527</v>
      </c>
      <c r="D119" s="428" t="str">
        <f>D$9</f>
        <v>Current(RY1)</v>
      </c>
      <c r="E119" s="428" t="str">
        <f>E$9</f>
        <v>Proposed</v>
      </c>
      <c r="F119" s="428" t="s">
        <v>526</v>
      </c>
      <c r="H119" s="428">
        <f>H$9</f>
        <v>2019</v>
      </c>
    </row>
    <row r="120" spans="2:8" x14ac:dyDescent="0.35">
      <c r="C120" s="406"/>
      <c r="D120" s="577" t="str">
        <f>D$10</f>
        <v>(Redesigned)</v>
      </c>
      <c r="E120" s="577"/>
      <c r="F120" s="955"/>
      <c r="G120" s="406"/>
      <c r="H120" s="577" t="str">
        <f>H$10</f>
        <v>(Currnet - Original)</v>
      </c>
    </row>
    <row r="121" spans="2:8" x14ac:dyDescent="0.35">
      <c r="C121" s="406" t="s">
        <v>912</v>
      </c>
      <c r="D121" s="572">
        <f>IF('[1]A1.)RatesInput'!$P$99="Y",IF(ISNUMBER(VLOOKUP($C121,'[1]A1.)RatesInput'!$B$102:$Q$190,HLOOKUP(D$119,'[1]A1.)RatesInput'!$O$102:$Q$104,3,0),0)),VLOOKUP($C121,'[1]A1.)RatesInput'!$B$102:$Q$190,HLOOKUP(D$119,'[1]A1.)RatesInput'!$O$102:$Q$104,3,0),0),0),IF(ISNUMBER(VLOOKUP($C121,'[1]A1.)RatesInput'!$B$102:$I$190,HLOOKUP(D$119,'[1]A1.)RatesInput'!$D$102:$I$104,3,0),0)),VLOOKUP($C121,'[1]A1.)RatesInput'!$B$102:$I$190,HLOOKUP(D$119,'[1]A1.)RatesInput'!$D$102:$I$104,3,0),0),0))</f>
        <v>0.20440000000000003</v>
      </c>
      <c r="E121" s="848">
        <f>'11F.)Demand_RateDesign_NYPA_I'!H8</f>
        <v>0.2094</v>
      </c>
      <c r="F121" s="952">
        <f t="shared" ref="F121:F129" si="4">IF(ISNUMBER(E121/D121-1),E121/D121-1,"")</f>
        <v>2.4461839530332652E-2</v>
      </c>
      <c r="G121" s="406"/>
      <c r="H121" s="572">
        <f>IF(ISNUMBER(VLOOKUP($C121,'[1]A1.)RatesInput'!$B$102:$L$190,HLOOKUP(H$119,'[1]A1.)RatesInput'!$D$102:$L$104,3,0),0)),VLOOKUP($C121,'[1]A1.)RatesInput'!$B$102:$L$190,HLOOKUP(H$119,'[1]A1.)RatesInput'!$D$102:$L$104,3,0),0),0)</f>
        <v>0.20440000000000003</v>
      </c>
    </row>
    <row r="122" spans="2:8" x14ac:dyDescent="0.35">
      <c r="C122" s="406" t="s">
        <v>913</v>
      </c>
      <c r="D122" s="571">
        <f>IF('[1]A1.)RatesInput'!$P$99="Y",IF(ISNUMBER(VLOOKUP($C122,'[1]A1.)RatesInput'!$B$102:$Q$190,HLOOKUP(D$119,'[1]A1.)RatesInput'!$O$102:$Q$104,3,0),0)),VLOOKUP($C122,'[1]A1.)RatesInput'!$B$102:$Q$190,HLOOKUP(D$119,'[1]A1.)RatesInput'!$O$102:$Q$104,3,0),0),0),IF(ISNUMBER(VLOOKUP($C122,'[1]A1.)RatesInput'!$B$102:$I$190,HLOOKUP(D$119,'[1]A1.)RatesInput'!$D$102:$I$104,3,0),0)),VLOOKUP($C122,'[1]A1.)RatesInput'!$B$102:$I$190,HLOOKUP(D$119,'[1]A1.)RatesInput'!$D$102:$I$104,3,0),0),0))</f>
        <v>0.20440000000000003</v>
      </c>
      <c r="E122" s="846">
        <f>'11F.)Demand_RateDesign_NYPA_I'!H9</f>
        <v>0.2094</v>
      </c>
      <c r="F122" s="953">
        <f t="shared" si="4"/>
        <v>2.4461839530332652E-2</v>
      </c>
      <c r="G122" s="406"/>
      <c r="H122" s="571">
        <f>IF(ISNUMBER(VLOOKUP($C122,'[1]A1.)RatesInput'!$B$102:$L$190,HLOOKUP(H$119,'[1]A1.)RatesInput'!$D$102:$L$104,3,0),0)),VLOOKUP($C122,'[1]A1.)RatesInput'!$B$102:$L$190,HLOOKUP(H$119,'[1]A1.)RatesInput'!$D$102:$L$104,3,0),0),0)</f>
        <v>0.20440000000000003</v>
      </c>
    </row>
    <row r="123" spans="2:8" x14ac:dyDescent="0.35">
      <c r="C123" s="406" t="s">
        <v>914</v>
      </c>
      <c r="D123" s="571">
        <f>IF('[1]A1.)RatesInput'!$P$99="Y",IF(ISNUMBER(VLOOKUP($C123,'[1]A1.)RatesInput'!$B$102:$Q$190,HLOOKUP(D$119,'[1]A1.)RatesInput'!$O$102:$Q$104,3,0),0)),VLOOKUP($C123,'[1]A1.)RatesInput'!$B$102:$Q$190,HLOOKUP(D$119,'[1]A1.)RatesInput'!$O$102:$Q$104,3,0),0),0),IF(ISNUMBER(VLOOKUP($C123,'[1]A1.)RatesInput'!$B$102:$I$190,HLOOKUP(D$119,'[1]A1.)RatesInput'!$D$102:$I$104,3,0),0)),VLOOKUP($C123,'[1]A1.)RatesInput'!$B$102:$I$190,HLOOKUP(D$119,'[1]A1.)RatesInput'!$D$102:$I$104,3,0),0),0))</f>
        <v>27.55</v>
      </c>
      <c r="E123" s="846">
        <f>'11F.)Demand_RateDesign_NYPA_I'!H11</f>
        <v>28.23</v>
      </c>
      <c r="F123" s="953">
        <f t="shared" si="4"/>
        <v>2.4682395644283206E-2</v>
      </c>
      <c r="G123" s="406"/>
      <c r="H123" s="571">
        <f>IF(ISNUMBER(VLOOKUP($C123,'[1]A1.)RatesInput'!$B$102:$L$190,HLOOKUP(H$119,'[1]A1.)RatesInput'!$D$102:$L$104,3,0),0)),VLOOKUP($C123,'[1]A1.)RatesInput'!$B$102:$L$190,HLOOKUP(H$119,'[1]A1.)RatesInput'!$D$102:$L$104,3,0),0),0)</f>
        <v>27.55</v>
      </c>
    </row>
    <row r="124" spans="2:8" x14ac:dyDescent="0.35">
      <c r="C124" s="406" t="s">
        <v>915</v>
      </c>
      <c r="D124" s="571">
        <f>IF('[1]A1.)RatesInput'!$P$99="Y",IF(ISNUMBER(VLOOKUP($C124,'[1]A1.)RatesInput'!$B$102:$Q$190,HLOOKUP(D$119,'[1]A1.)RatesInput'!$O$102:$Q$104,3,0),0)),VLOOKUP($C124,'[1]A1.)RatesInput'!$B$102:$Q$190,HLOOKUP(D$119,'[1]A1.)RatesInput'!$O$102:$Q$104,3,0),0),0),IF(ISNUMBER(VLOOKUP($C124,'[1]A1.)RatesInput'!$B$102:$I$190,HLOOKUP(D$119,'[1]A1.)RatesInput'!$D$102:$I$104,3,0),0)),VLOOKUP($C124,'[1]A1.)RatesInput'!$B$102:$I$190,HLOOKUP(D$119,'[1]A1.)RatesInput'!$D$102:$I$104,3,0),0),0))</f>
        <v>27.55</v>
      </c>
      <c r="E124" s="846">
        <f>'11F.)Demand_RateDesign_NYPA_I'!H13</f>
        <v>28.23</v>
      </c>
      <c r="F124" s="953">
        <f t="shared" si="4"/>
        <v>2.4682395644283206E-2</v>
      </c>
      <c r="G124" s="406"/>
      <c r="H124" s="571">
        <f>IF(ISNUMBER(VLOOKUP($C124,'[1]A1.)RatesInput'!$B$102:$L$190,HLOOKUP(H$119,'[1]A1.)RatesInput'!$D$102:$L$104,3,0),0)),VLOOKUP($C124,'[1]A1.)RatesInput'!$B$102:$L$190,HLOOKUP(H$119,'[1]A1.)RatesInput'!$D$102:$L$104,3,0),0),0)</f>
        <v>27.55</v>
      </c>
    </row>
    <row r="125" spans="2:8" x14ac:dyDescent="0.35">
      <c r="C125" s="406" t="s">
        <v>916</v>
      </c>
      <c r="D125" s="571">
        <f>IF('[1]A1.)RatesInput'!$P$99="Y",IF(ISNUMBER(VLOOKUP($C125,'[1]A1.)RatesInput'!$B$102:$Q$190,HLOOKUP(D$119,'[1]A1.)RatesInput'!$O$102:$Q$104,3,0),0)),VLOOKUP($C125,'[1]A1.)RatesInput'!$B$102:$Q$190,HLOOKUP(D$119,'[1]A1.)RatesInput'!$O$102:$Q$104,3,0),0),0),IF(ISNUMBER(VLOOKUP($C125,'[1]A1.)RatesInput'!$B$102:$I$190,HLOOKUP(D$119,'[1]A1.)RatesInput'!$D$102:$I$104,3,0),0)),VLOOKUP($C125,'[1]A1.)RatesInput'!$B$102:$I$190,HLOOKUP(D$119,'[1]A1.)RatesInput'!$D$102:$I$104,3,0),0),0))</f>
        <v>0.20440000000000003</v>
      </c>
      <c r="E125" s="846">
        <f>'11F.)Demand_RateDesign_NYPA_I'!H14</f>
        <v>0.2094</v>
      </c>
      <c r="F125" s="953">
        <f t="shared" si="4"/>
        <v>2.4461839530332652E-2</v>
      </c>
      <c r="G125" s="406"/>
      <c r="H125" s="571">
        <f>IF(ISNUMBER(VLOOKUP($C125,'[1]A1.)RatesInput'!$B$102:$L$190,HLOOKUP(H$119,'[1]A1.)RatesInput'!$D$102:$L$104,3,0),0)),VLOOKUP($C125,'[1]A1.)RatesInput'!$B$102:$L$190,HLOOKUP(H$119,'[1]A1.)RatesInput'!$D$102:$L$104,3,0),0),0)</f>
        <v>0.20440000000000003</v>
      </c>
    </row>
    <row r="126" spans="2:8" x14ac:dyDescent="0.35">
      <c r="C126" s="406" t="s">
        <v>917</v>
      </c>
      <c r="D126" s="571">
        <f>IF('[1]A1.)RatesInput'!$P$99="Y",IF(ISNUMBER(VLOOKUP($C126,'[1]A1.)RatesInput'!$B$102:$Q$190,HLOOKUP(D$119,'[1]A1.)RatesInput'!$O$102:$Q$104,3,0),0)),VLOOKUP($C126,'[1]A1.)RatesInput'!$B$102:$Q$190,HLOOKUP(D$119,'[1]A1.)RatesInput'!$O$102:$Q$104,3,0),0),0),IF(ISNUMBER(VLOOKUP($C126,'[1]A1.)RatesInput'!$B$102:$I$190,HLOOKUP(D$119,'[1]A1.)RatesInput'!$D$102:$I$104,3,0),0)),VLOOKUP($C126,'[1]A1.)RatesInput'!$B$102:$I$190,HLOOKUP(D$119,'[1]A1.)RatesInput'!$D$102:$I$104,3,0),0),0))</f>
        <v>0.20440000000000003</v>
      </c>
      <c r="E126" s="846">
        <f>'11F.)Demand_RateDesign_NYPA_I'!H15</f>
        <v>0.2094</v>
      </c>
      <c r="F126" s="953">
        <f t="shared" si="4"/>
        <v>2.4461839530332652E-2</v>
      </c>
      <c r="G126" s="406"/>
      <c r="H126" s="571">
        <f>IF(ISNUMBER(VLOOKUP($C126,'[1]A1.)RatesInput'!$B$102:$L$190,HLOOKUP(H$119,'[1]A1.)RatesInput'!$D$102:$L$104,3,0),0)),VLOOKUP($C126,'[1]A1.)RatesInput'!$B$102:$L$190,HLOOKUP(H$119,'[1]A1.)RatesInput'!$D$102:$L$104,3,0),0),0)</f>
        <v>0.20440000000000003</v>
      </c>
    </row>
    <row r="127" spans="2:8" x14ac:dyDescent="0.35">
      <c r="C127" s="406" t="s">
        <v>918</v>
      </c>
      <c r="D127" s="571">
        <f>IF('[1]A1.)RatesInput'!$P$99="Y",IF(ISNUMBER(VLOOKUP($C127,'[1]A1.)RatesInput'!$B$102:$Q$190,HLOOKUP(D$119,'[1]A1.)RatesInput'!$O$102:$Q$104,3,0),0)),VLOOKUP($C127,'[1]A1.)RatesInput'!$B$102:$Q$190,HLOOKUP(D$119,'[1]A1.)RatesInput'!$O$102:$Q$104,3,0),0),0),IF(ISNUMBER(VLOOKUP($C127,'[1]A1.)RatesInput'!$B$102:$I$190,HLOOKUP(D$119,'[1]A1.)RatesInput'!$D$102:$I$104,3,0),0)),VLOOKUP($C127,'[1]A1.)RatesInput'!$B$102:$I$190,HLOOKUP(D$119,'[1]A1.)RatesInput'!$D$102:$I$104,3,0),0),0))</f>
        <v>19.14</v>
      </c>
      <c r="E127" s="846">
        <f>'11F.)Demand_RateDesign_NYPA_I'!H17</f>
        <v>19.61</v>
      </c>
      <c r="F127" s="953">
        <f t="shared" si="4"/>
        <v>2.4555903866248618E-2</v>
      </c>
      <c r="G127" s="406"/>
      <c r="H127" s="571">
        <f>IF(ISNUMBER(VLOOKUP($C127,'[1]A1.)RatesInput'!$B$102:$L$190,HLOOKUP(H$119,'[1]A1.)RatesInput'!$D$102:$L$104,3,0),0)),VLOOKUP($C127,'[1]A1.)RatesInput'!$B$102:$L$190,HLOOKUP(H$119,'[1]A1.)RatesInput'!$D$102:$L$104,3,0),0),0)</f>
        <v>19.14</v>
      </c>
    </row>
    <row r="128" spans="2:8" x14ac:dyDescent="0.35">
      <c r="C128" s="406" t="s">
        <v>919</v>
      </c>
      <c r="D128" s="571">
        <f>IF('[1]A1.)RatesInput'!$P$99="Y",IF(ISNUMBER(VLOOKUP($C128,'[1]A1.)RatesInput'!$B$102:$Q$190,HLOOKUP(D$119,'[1]A1.)RatesInput'!$O$102:$Q$104,3,0),0)),VLOOKUP($C128,'[1]A1.)RatesInput'!$B$102:$Q$190,HLOOKUP(D$119,'[1]A1.)RatesInput'!$O$102:$Q$104,3,0),0),0),IF(ISNUMBER(VLOOKUP($C128,'[1]A1.)RatesInput'!$B$102:$I$190,HLOOKUP(D$119,'[1]A1.)RatesInput'!$D$102:$I$104,3,0),0)),VLOOKUP($C128,'[1]A1.)RatesInput'!$B$102:$I$190,HLOOKUP(D$119,'[1]A1.)RatesInput'!$D$102:$I$104,3,0),0),0))</f>
        <v>19.14</v>
      </c>
      <c r="E128" s="846">
        <f>'11F.)Demand_RateDesign_NYPA_I'!H19</f>
        <v>19.61</v>
      </c>
      <c r="F128" s="953">
        <f t="shared" si="4"/>
        <v>2.4555903866248618E-2</v>
      </c>
      <c r="G128" s="406"/>
      <c r="H128" s="571">
        <f>IF(ISNUMBER(VLOOKUP($C128,'[1]A1.)RatesInput'!$B$102:$L$190,HLOOKUP(H$119,'[1]A1.)RatesInput'!$D$102:$L$104,3,0),0)),VLOOKUP($C128,'[1]A1.)RatesInput'!$B$102:$L$190,HLOOKUP(H$119,'[1]A1.)RatesInput'!$D$102:$L$104,3,0),0),0)</f>
        <v>19.14</v>
      </c>
    </row>
    <row r="129" spans="3:8" x14ac:dyDescent="0.35">
      <c r="C129" s="406" t="s">
        <v>769</v>
      </c>
      <c r="D129" s="573">
        <f>IF('[1]A1.)RatesInput'!$P$99="Y",IF(ISNUMBER(VLOOKUP($C129,'[1]A1.)RatesInput'!$B$102:$Q$190,HLOOKUP(D$119,'[1]A1.)RatesInput'!$O$102:$Q$104,3,0),0)),VLOOKUP($C129,'[1]A1.)RatesInput'!$B$102:$Q$190,HLOOKUP(D$119,'[1]A1.)RatesInput'!$O$102:$Q$104,3,0),0),0),IF(ISNUMBER(VLOOKUP($C129,'[1]A1.)RatesInput'!$B$102:$I$190,HLOOKUP(D$119,'[1]A1.)RatesInput'!$D$102:$I$104,3,0),0)),VLOOKUP($C129,'[1]A1.)RatesInput'!$B$102:$I$190,HLOOKUP(D$119,'[1]A1.)RatesInput'!$D$102:$I$104,3,0),0),0))</f>
        <v>11.45</v>
      </c>
      <c r="E129" s="847">
        <f>'11F.)Demand_RateDesign_NYPA_I'!H20</f>
        <v>11.73</v>
      </c>
      <c r="F129" s="954">
        <f t="shared" si="4"/>
        <v>2.4454148471615866E-2</v>
      </c>
      <c r="G129" s="406"/>
      <c r="H129" s="573">
        <f>IF(ISNUMBER(VLOOKUP($C129,'[1]A1.)RatesInput'!$B$102:$L$190,HLOOKUP(H$119,'[1]A1.)RatesInput'!$D$102:$L$104,3,0),0)),VLOOKUP($C129,'[1]A1.)RatesInput'!$B$102:$L$190,HLOOKUP(H$119,'[1]A1.)RatesInput'!$D$102:$L$104,3,0),0),0)</f>
        <v>11.45</v>
      </c>
    </row>
    <row r="132" spans="3:8" x14ac:dyDescent="0.35">
      <c r="C132" s="772" t="s">
        <v>1147</v>
      </c>
      <c r="D132" s="408" t="s">
        <v>1148</v>
      </c>
      <c r="E132" s="408" t="s">
        <v>521</v>
      </c>
      <c r="F132" s="955"/>
    </row>
    <row r="133" spans="3:8" x14ac:dyDescent="0.35">
      <c r="C133" s="406" t="s">
        <v>1152</v>
      </c>
      <c r="D133" s="406"/>
      <c r="E133" s="956">
        <f>'11F.)Demand_RateDesign_NYPA_I'!M257</f>
        <v>399195827</v>
      </c>
      <c r="F133" s="955"/>
    </row>
    <row r="134" spans="3:8" x14ac:dyDescent="0.35">
      <c r="C134" s="406" t="s">
        <v>45</v>
      </c>
      <c r="D134" s="406"/>
      <c r="E134" s="956">
        <f>'11F.)Demand_RateDesign_NYPA_I'!M269</f>
        <v>12473517</v>
      </c>
      <c r="F134" s="955"/>
    </row>
    <row r="135" spans="3:8" x14ac:dyDescent="0.35">
      <c r="C135" s="406" t="s">
        <v>768</v>
      </c>
      <c r="D135" s="406"/>
      <c r="E135" s="956">
        <f>'11F.)Demand_RateDesign_NYPA_I'!K277</f>
        <v>30320971</v>
      </c>
      <c r="F135" s="955"/>
    </row>
    <row r="136" spans="3:8" x14ac:dyDescent="0.35">
      <c r="C136" s="406" t="s">
        <v>536</v>
      </c>
      <c r="D136" s="406"/>
      <c r="E136" s="957">
        <f>E133+E134+E135</f>
        <v>441990315</v>
      </c>
      <c r="F136" s="955"/>
    </row>
    <row r="137" spans="3:8" ht="15" thickBot="1" x14ac:dyDescent="0.4">
      <c r="C137" s="406"/>
      <c r="D137" s="406"/>
      <c r="E137" s="958"/>
      <c r="F137" s="955"/>
    </row>
    <row r="138" spans="3:8" ht="15.5" thickTop="1" thickBot="1" x14ac:dyDescent="0.4">
      <c r="C138" s="406" t="s">
        <v>752</v>
      </c>
      <c r="D138" s="440">
        <f>'11F.)Demand_RateDesign_NYPA_I'!M286</f>
        <v>441901876.66933841</v>
      </c>
      <c r="E138" s="440">
        <f>E136+E137</f>
        <v>441990315</v>
      </c>
      <c r="F138" s="959">
        <f>IF(ISNUMBER(E138/D138-1),E138/D138-1,"")</f>
        <v>2.0013114976591417E-4</v>
      </c>
    </row>
    <row r="139" spans="3:8" ht="15" thickTop="1" x14ac:dyDescent="0.35">
      <c r="C139" s="406"/>
      <c r="D139" s="406"/>
      <c r="E139" s="406"/>
      <c r="F139" s="955"/>
    </row>
    <row r="141" spans="3:8" x14ac:dyDescent="0.35">
      <c r="D141" s="428" t="s">
        <v>170</v>
      </c>
      <c r="E141" s="428" t="str">
        <f>E$9</f>
        <v>Proposed</v>
      </c>
    </row>
    <row r="142" spans="3:8" x14ac:dyDescent="0.35">
      <c r="C142" t="s">
        <v>965</v>
      </c>
      <c r="D142" s="530">
        <f>'[1]F1.)kVar(RY1)'!$H$53</f>
        <v>1.97</v>
      </c>
      <c r="E142" s="530">
        <f>'[1]F1.)kVar(RY1)'!$K$53</f>
        <v>2.14</v>
      </c>
      <c r="F142" s="531">
        <f t="shared" ref="F142" si="5">IF(ISNUMBER(E142/D142-1),E142/D142-1,"")</f>
        <v>8.629441624365497E-2</v>
      </c>
    </row>
  </sheetData>
  <printOptions horizontalCentered="1"/>
  <pageMargins left="0.2" right="0.2" top="0.5" bottom="0.5" header="0.3" footer="0.3"/>
  <pageSetup scale="60" orientation="landscape" r:id="rId1"/>
  <headerFooter>
    <oddFooter>&amp;C&amp;F (Tab: &amp;A)&amp;RPage &amp;P / &amp;N</oddFooter>
  </headerFooter>
  <rowBreaks count="2" manualBreakCount="2">
    <brk id="58" max="6" man="1"/>
    <brk id="11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7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5"/>
  <dimension ref="A1:V288"/>
  <sheetViews>
    <sheetView topLeftCell="G1" workbookViewId="0">
      <selection activeCell="G1"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20.7265625" customWidth="1"/>
    <col min="10" max="10" width="15.7265625" customWidth="1"/>
    <col min="11" max="11" width="13.17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5" style="1" customWidth="1"/>
    <col min="17" max="17" width="7.81640625" style="1" customWidth="1"/>
    <col min="18" max="19" width="7.81640625" customWidth="1"/>
    <col min="20" max="22" width="12.26953125" customWidth="1"/>
    <col min="25" max="26" width="11.7265625" customWidth="1"/>
    <col min="27" max="27" width="16.81640625" customWidth="1"/>
  </cols>
  <sheetData>
    <row r="1" spans="1:22" ht="18.5" x14ac:dyDescent="0.45">
      <c r="A1" s="447" t="s">
        <v>638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2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SC5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148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>
        <f>'8A.)HY_ED RevShifting'!G6</f>
        <v>0.05</v>
      </c>
      <c r="B5" s="75" t="s">
        <v>146</v>
      </c>
      <c r="C5" s="3"/>
      <c r="D5" s="3"/>
      <c r="E5" s="3"/>
      <c r="F5" s="3"/>
      <c r="G5" s="3"/>
      <c r="H5" s="3"/>
      <c r="J5" s="3" t="s">
        <v>145</v>
      </c>
      <c r="K5" s="304" t="s">
        <v>1074</v>
      </c>
      <c r="L5" s="687" t="s">
        <v>144</v>
      </c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5" t="str">
        <f>'11A.)DemandRateDesignSummary'!D9</f>
        <v>Current(RY1)</v>
      </c>
      <c r="H6" s="10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I)'!$E$7</f>
        <v>5</v>
      </c>
      <c r="T6" s="386">
        <f>'[2]4C.)HY_DemandRatePxOut(Rate I)'!$L$11</f>
        <v>10</v>
      </c>
      <c r="U6" s="386">
        <f>'[2]4C.)HY_DemandRatePxOut(Rate I)'!$N$11</f>
        <v>180</v>
      </c>
      <c r="V6" s="386">
        <f>'[2]4B.)HY_EnergyRatePxOut(Rate I)'!$M$73</f>
        <v>151446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tr">
        <f>'11A.)DemandRateDesignSummary'!D10</f>
        <v>(Redesigned)</v>
      </c>
      <c r="J7" s="3"/>
      <c r="K7" s="17"/>
      <c r="L7" s="118" t="str">
        <f>A4</f>
        <v>SC5 Rate I</v>
      </c>
      <c r="M7" s="3"/>
      <c r="P7" s="170" t="s">
        <v>114</v>
      </c>
      <c r="Q7" s="159"/>
      <c r="R7" s="158" t="s">
        <v>141</v>
      </c>
      <c r="S7" s="159">
        <f>S6</f>
        <v>5</v>
      </c>
      <c r="T7" s="387">
        <f>'[2]4C.)HY_DemandRatePxOut(Rate I)'!$L$12</f>
        <v>26</v>
      </c>
      <c r="U7" s="387">
        <f>'[2]4C.)HY_DemandRatePxOut(Rate I)'!$N$12</f>
        <v>190</v>
      </c>
      <c r="V7" s="387">
        <f>'[2]4B.)HY_EnergyRatePxOut(Rate I)'!$M$74</f>
        <v>0</v>
      </c>
    </row>
    <row r="8" spans="1:22" ht="15.5" outlineLevel="1" thickTop="1" thickBot="1" x14ac:dyDescent="0.4">
      <c r="A8" s="3" t="s">
        <v>318</v>
      </c>
      <c r="B8" s="3"/>
      <c r="C8" s="3"/>
      <c r="D8" s="3"/>
      <c r="E8" s="3"/>
      <c r="F8" s="3"/>
      <c r="G8" s="309">
        <f>'11A.)DemandRateDesignSummary'!D11</f>
        <v>3.7900000000000003E-2</v>
      </c>
      <c r="H8" s="177">
        <f>I207</f>
        <v>3.7900000000000003E-2</v>
      </c>
      <c r="K8" s="33" t="s">
        <v>1476</v>
      </c>
      <c r="L8" s="688">
        <f>A5</f>
        <v>0.05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319</v>
      </c>
      <c r="B9" s="3"/>
      <c r="C9" s="3"/>
      <c r="D9" s="3"/>
      <c r="E9" s="3"/>
      <c r="F9" s="3"/>
      <c r="G9" s="310">
        <f>'11A.)DemandRateDesignSummary'!D12</f>
        <v>3.7900000000000003E-2</v>
      </c>
      <c r="H9" s="169">
        <f>K207</f>
        <v>3.7900000000000003E-2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36</v>
      </c>
      <c r="U9" s="151">
        <f>SUM(U6:U8)</f>
        <v>370</v>
      </c>
      <c r="V9" s="151">
        <f>SUM(V6:V8)</f>
        <v>151446</v>
      </c>
    </row>
    <row r="10" spans="1:22" ht="15" outlineLevel="1" thickTop="1" x14ac:dyDescent="0.35">
      <c r="A10" s="3" t="s">
        <v>320</v>
      </c>
      <c r="B10" s="3"/>
      <c r="C10" s="3"/>
      <c r="D10" s="3"/>
      <c r="E10" s="3"/>
      <c r="F10" s="3"/>
      <c r="G10" s="310">
        <f>'11A.)DemandRateDesignSummary'!D13</f>
        <v>178.73</v>
      </c>
      <c r="H10" s="169">
        <f>H145</f>
        <v>212.21</v>
      </c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321</v>
      </c>
      <c r="B11" s="3"/>
      <c r="C11" s="3"/>
      <c r="D11" s="3"/>
      <c r="E11" s="3"/>
      <c r="F11" s="3"/>
      <c r="G11" s="310">
        <f>'11A.)DemandRateDesignSummary'!D14</f>
        <v>31.369999999999997</v>
      </c>
      <c r="H11" s="169">
        <f>H147</f>
        <v>34.659999999999997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4">
        <f>$S$6</f>
        <v>5</v>
      </c>
      <c r="T11" s="386">
        <f>'[2]4C.)HY_DemandRatePxOut(Rate I)'!$L$7</f>
        <v>14</v>
      </c>
      <c r="U11" s="386">
        <f>'[2]4C.)HY_DemandRatePxOut(Rate I)'!$N$7</f>
        <v>370</v>
      </c>
      <c r="V11" s="386">
        <f>'[2]4B.)HY_EnergyRatePxOut(Rate I)'!$M$68</f>
        <v>530566</v>
      </c>
    </row>
    <row r="12" spans="1:22" outlineLevel="1" x14ac:dyDescent="0.35">
      <c r="A12" s="3" t="s">
        <v>322</v>
      </c>
      <c r="B12" s="3"/>
      <c r="C12" s="3"/>
      <c r="D12" s="3"/>
      <c r="E12" s="3"/>
      <c r="F12" s="3"/>
      <c r="G12" s="310">
        <f>'11A.)DemandRateDesignSummary'!D15</f>
        <v>114.67</v>
      </c>
      <c r="H12" s="169">
        <f>J145</f>
        <v>139.19999999999999</v>
      </c>
      <c r="P12" s="160" t="s">
        <v>113</v>
      </c>
      <c r="Q12" s="159"/>
      <c r="R12" s="158" t="str">
        <f>$R$7</f>
        <v>&gt;</v>
      </c>
      <c r="S12" s="159">
        <f>$S$7</f>
        <v>5</v>
      </c>
      <c r="T12" s="387">
        <f>'[2]4C.)HY_DemandRatePxOut(Rate I)'!$L$8</f>
        <v>59.999999999999993</v>
      </c>
      <c r="U12" s="387">
        <f>'[2]4C.)HY_DemandRatePxOut(Rate I)'!$N$8</f>
        <v>1056</v>
      </c>
      <c r="V12" s="387">
        <f>'[2]4B.)HY_EnergyRatePxOut(Rate I)'!$M$69</f>
        <v>0</v>
      </c>
    </row>
    <row r="13" spans="1:22" ht="15" outlineLevel="1" thickBot="1" x14ac:dyDescent="0.4">
      <c r="A13" s="3" t="s">
        <v>323</v>
      </c>
      <c r="B13" s="3"/>
      <c r="C13" s="3"/>
      <c r="D13" s="3"/>
      <c r="E13" s="3"/>
      <c r="F13" s="3"/>
      <c r="G13" s="310">
        <f>'11A.)DemandRateDesignSummary'!D16</f>
        <v>19.97</v>
      </c>
      <c r="H13" s="169">
        <f>J147</f>
        <v>22.06</v>
      </c>
      <c r="I13" s="2"/>
      <c r="J13" s="1"/>
      <c r="K13" s="1"/>
      <c r="L13" s="1"/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324</v>
      </c>
      <c r="B14" s="3"/>
      <c r="C14" s="3"/>
      <c r="D14" s="3"/>
      <c r="E14" s="3"/>
      <c r="F14" s="3"/>
      <c r="G14" s="310">
        <f>'11A.)DemandRateDesignSummary'!D17</f>
        <v>3.7900000000000003E-2</v>
      </c>
      <c r="H14" s="169">
        <f>I210</f>
        <v>3.7900000000000003E-2</v>
      </c>
      <c r="I14" s="1"/>
      <c r="J14" s="1"/>
      <c r="K14" s="222" t="s">
        <v>1485</v>
      </c>
      <c r="L14" s="690">
        <f>ROUND('[2]6A.)RateChange'!$BE$30/'[2]6A.)RateChange'!$I$30,8)</f>
        <v>8.6771230000000005E-2</v>
      </c>
      <c r="P14" s="2"/>
      <c r="Q14" s="2"/>
      <c r="R14" s="3"/>
      <c r="S14" s="3"/>
      <c r="T14" s="151">
        <f>SUM(T11:T13)</f>
        <v>74</v>
      </c>
      <c r="U14" s="151">
        <f>SUM(U11:U13)</f>
        <v>1426</v>
      </c>
      <c r="V14" s="151">
        <f>SUM(V11:V13)</f>
        <v>530566</v>
      </c>
    </row>
    <row r="15" spans="1:22" ht="15" outlineLevel="1" thickTop="1" x14ac:dyDescent="0.35">
      <c r="A15" s="3" t="s">
        <v>325</v>
      </c>
      <c r="B15" s="3"/>
      <c r="C15" s="3"/>
      <c r="D15" s="3"/>
      <c r="E15" s="3"/>
      <c r="F15" s="3"/>
      <c r="G15" s="310">
        <f>'11A.)DemandRateDesignSummary'!D18</f>
        <v>3.7900000000000003E-2</v>
      </c>
      <c r="H15" s="169">
        <f>K210</f>
        <v>3.7900000000000003E-2</v>
      </c>
      <c r="I15" s="1"/>
      <c r="J15" s="1"/>
      <c r="K15" s="222" t="s">
        <v>307</v>
      </c>
      <c r="L15" s="1150">
        <f>'[6]11B.)Demand_RateDesign_SC5_I'!$L$15</f>
        <v>0</v>
      </c>
      <c r="M15" s="143"/>
    </row>
    <row r="16" spans="1:22" outlineLevel="1" x14ac:dyDescent="0.35">
      <c r="A16" s="3" t="s">
        <v>326</v>
      </c>
      <c r="B16" s="3"/>
      <c r="C16" s="3"/>
      <c r="D16" s="3"/>
      <c r="E16" s="3"/>
      <c r="F16" s="3"/>
      <c r="G16" s="310">
        <f>'11A.)DemandRateDesignSummary'!D19</f>
        <v>136.30000000000001</v>
      </c>
      <c r="H16" s="169">
        <f>H149</f>
        <v>163.85</v>
      </c>
      <c r="I16" s="1"/>
      <c r="J16" s="464"/>
      <c r="K16" s="1279" t="s">
        <v>2194</v>
      </c>
      <c r="L16" s="809">
        <f>'[2]6A.)RateChange'!$BY$30</f>
        <v>0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3" t="s">
        <v>327</v>
      </c>
      <c r="B17" s="3"/>
      <c r="C17" s="3"/>
      <c r="D17" s="3"/>
      <c r="E17" s="3"/>
      <c r="F17" s="3"/>
      <c r="G17" s="310">
        <f>'11A.)DemandRateDesignSummary'!D20</f>
        <v>23.81</v>
      </c>
      <c r="H17" s="169">
        <f>H151</f>
        <v>26.299999999999997</v>
      </c>
      <c r="I17" s="1"/>
      <c r="J17" s="1"/>
      <c r="K17" s="1"/>
      <c r="L17" s="1"/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3" t="s">
        <v>328</v>
      </c>
      <c r="B18" s="3"/>
      <c r="C18" s="3"/>
      <c r="D18" s="3"/>
      <c r="E18" s="3"/>
      <c r="F18" s="3"/>
      <c r="G18" s="310">
        <f>'11A.)DemandRateDesignSummary'!D21</f>
        <v>72.23</v>
      </c>
      <c r="H18" s="169">
        <f>J149</f>
        <v>90.84</v>
      </c>
      <c r="L18" s="135" t="s">
        <v>135</v>
      </c>
      <c r="M18" s="135" t="s">
        <v>134</v>
      </c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329</v>
      </c>
      <c r="B19" s="3"/>
      <c r="C19" s="3"/>
      <c r="D19" s="3"/>
      <c r="E19" s="3"/>
      <c r="F19" s="3"/>
      <c r="G19" s="311">
        <f>'11A.)DemandRateDesignSummary'!D22</f>
        <v>12.41</v>
      </c>
      <c r="H19" s="167">
        <f>J151</f>
        <v>13.709999999999999</v>
      </c>
      <c r="K19" s="33" t="s">
        <v>133</v>
      </c>
      <c r="L19" s="245">
        <f>'[2]6B.)RateChgAllocation'!$N$30</f>
        <v>5925</v>
      </c>
      <c r="M19" s="701">
        <f>ROUND(L19/$L$9,0)</f>
        <v>5860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>
      <c r="H20" s="1"/>
      <c r="K20" s="33" t="s">
        <v>132</v>
      </c>
      <c r="L20" s="276">
        <v>0</v>
      </c>
      <c r="M20" s="701">
        <f>ROUND(L20/$L$9,0)</f>
        <v>0</v>
      </c>
    </row>
    <row r="21" spans="1:22" ht="15" outlineLevel="1" thickBot="1" x14ac:dyDescent="0.4">
      <c r="K21" s="33" t="s">
        <v>131</v>
      </c>
      <c r="L21" s="245">
        <f>'8A.)HY_ED RevShifting'!$E$57</f>
        <v>41070</v>
      </c>
      <c r="M21" s="245">
        <f>'8A.)HY_ED RevShifting'!$D$57</f>
        <v>40621</v>
      </c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ht="15" outlineLevel="1" thickTop="1" x14ac:dyDescent="0.35">
      <c r="A22" s="1171" t="s">
        <v>2203</v>
      </c>
      <c r="B22" s="1172"/>
      <c r="C22" s="1173"/>
      <c r="D22" s="1"/>
      <c r="E22" s="1"/>
      <c r="F22" s="1"/>
      <c r="G22" s="1177" t="s">
        <v>2193</v>
      </c>
      <c r="K22" s="33" t="s">
        <v>130</v>
      </c>
      <c r="L22" s="245">
        <f>IF(ISNUMBER(HLOOKUP($K$5,'8A.)HY_ED RevShifting'!$G$56:$L$70,'8A.)HY_ED RevShifting'!$B$59,0)),HLOOKUP($K$5,'8A.)HY_ED RevShifting'!$G$56:$L$70,'8A.)HY_ED RevShifting'!$B$59,0),0)</f>
        <v>1361</v>
      </c>
      <c r="M22" s="701">
        <f>ROUND(L22/$L$9,0)</f>
        <v>1346</v>
      </c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A23" s="1241" t="s">
        <v>2204</v>
      </c>
      <c r="B23" s="1236"/>
      <c r="C23" s="1237"/>
      <c r="D23" s="1"/>
      <c r="E23" s="1"/>
      <c r="F23" s="1"/>
      <c r="G23" s="1238">
        <f>IF('[2]3A.)Metering_RateSummary'!$D$10="Y",0,'[2]3A.)Metering_RateSummary'!$C$11)</f>
        <v>1.1299999999999999</v>
      </c>
      <c r="K23" s="33" t="s">
        <v>129</v>
      </c>
      <c r="L23" s="245">
        <f>'[2]4B.)HY_EnergyRatePxOut(Rate I)'!$T$80</f>
        <v>27213</v>
      </c>
      <c r="M23" s="245">
        <f>'[2]4B.)HY_EnergyRatePxOut(Rate I)'!$V$80</f>
        <v>27213</v>
      </c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A24" s="1241" t="s">
        <v>2205</v>
      </c>
      <c r="B24" s="1236"/>
      <c r="C24" s="1237"/>
      <c r="D24" s="1"/>
      <c r="E24" s="1"/>
      <c r="F24" s="1"/>
      <c r="G24" s="1238">
        <f>IF('[2]3A.)Metering_RateSummary'!$D$26="Y",0,'[2]3A.)Metering_RateSummary'!$C$27)</f>
        <v>3.15</v>
      </c>
      <c r="K24" s="33" t="s">
        <v>128</v>
      </c>
      <c r="L24" s="149">
        <v>0</v>
      </c>
      <c r="M24" s="134">
        <f>ROUND(L24/$L$9,0)</f>
        <v>0</v>
      </c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.5" outlineLevel="1" thickTop="1" thickBot="1" x14ac:dyDescent="0.4">
      <c r="A25" s="1174" t="s">
        <v>2206</v>
      </c>
      <c r="B25" s="1175"/>
      <c r="C25" s="1176"/>
      <c r="D25" s="1"/>
      <c r="E25" s="1"/>
      <c r="F25" s="1"/>
      <c r="G25" s="1239">
        <f>IF('[2]3A.)Metering_RateSummary'!$D$42="Y",0,'[2]3A.)Metering_RateSummary'!$C$43)</f>
        <v>4.24</v>
      </c>
      <c r="K25" s="33" t="s">
        <v>127</v>
      </c>
      <c r="L25" s="149">
        <v>0</v>
      </c>
      <c r="M25" s="134">
        <f>ROUND(L25/$L$9,0)</f>
        <v>0</v>
      </c>
      <c r="T25" s="150"/>
      <c r="U25" s="150"/>
      <c r="V25" s="150"/>
    </row>
    <row r="26" spans="1:22" ht="15.5" outlineLevel="1" thickTop="1" thickBot="1" x14ac:dyDescent="0.4">
      <c r="A26" s="1174" t="s">
        <v>2228</v>
      </c>
      <c r="B26" s="1175"/>
      <c r="C26" s="1176"/>
      <c r="D26" s="1"/>
      <c r="E26" s="1"/>
      <c r="F26" s="1"/>
      <c r="G26" s="1240">
        <f>G23+G24+G25</f>
        <v>8.52</v>
      </c>
      <c r="T26" s="150"/>
      <c r="U26" s="150"/>
      <c r="V26" s="150"/>
    </row>
    <row r="27" spans="1:22" ht="15" outlineLevel="1" thickTop="1" x14ac:dyDescent="0.35">
      <c r="K27" s="33" t="str">
        <f>CONCATENATE(A4," - T&amp;D Target:")</f>
        <v>SC5 Rate I - T&amp;D Target:</v>
      </c>
      <c r="L27" s="245">
        <f>'[2]6A.)RateChange'!$BN$30</f>
        <v>74208</v>
      </c>
    </row>
    <row r="28" spans="1:22" outlineLevel="1" x14ac:dyDescent="0.35"/>
    <row r="29" spans="1:22" outlineLevel="1" x14ac:dyDescent="0.35">
      <c r="K29" s="33" t="s">
        <v>123</v>
      </c>
      <c r="L29" s="308">
        <f>'[2]6B.)RateChgAllocation'!$M$30</f>
        <v>0</v>
      </c>
    </row>
    <row r="30" spans="1:22" outlineLevel="1" x14ac:dyDescent="0.35"/>
    <row r="31" spans="1:22" outlineLevel="1" x14ac:dyDescent="0.35"/>
    <row r="32" spans="1:22" s="148" customFormat="1" outlineLevel="1" x14ac:dyDescent="0.35"/>
    <row r="33" spans="1:17" x14ac:dyDescent="0.35">
      <c r="A33" s="407" t="s">
        <v>1651</v>
      </c>
      <c r="B33" s="147"/>
      <c r="C33" s="131"/>
      <c r="D33" s="131"/>
      <c r="E33" s="131"/>
      <c r="F33" s="33" t="s">
        <v>150</v>
      </c>
      <c r="G33" s="595">
        <f>$L$3</f>
        <v>2019</v>
      </c>
    </row>
    <row r="34" spans="1:17" x14ac:dyDescent="0.35">
      <c r="A34" s="407"/>
      <c r="B34" s="131"/>
      <c r="C34" s="131"/>
      <c r="D34" s="131"/>
      <c r="E34" s="131"/>
      <c r="F34" s="33" t="s">
        <v>5</v>
      </c>
      <c r="G34" s="595">
        <f>$L$4</f>
        <v>2020</v>
      </c>
      <c r="H34" t="str">
        <f>$M$4</f>
        <v>RY1</v>
      </c>
    </row>
    <row r="35" spans="1:17" x14ac:dyDescent="0.35">
      <c r="A35" s="406"/>
      <c r="B35" s="41" t="str">
        <f>$A$4</f>
        <v>SC5 Rate I</v>
      </c>
      <c r="C35" s="1039" t="s">
        <v>121</v>
      </c>
      <c r="D35" s="1039"/>
      <c r="E35" s="1039"/>
      <c r="F35" s="1039"/>
      <c r="G35" s="464"/>
      <c r="H35" s="464"/>
      <c r="I35" s="464"/>
      <c r="L35" s="146"/>
    </row>
    <row r="36" spans="1:17" x14ac:dyDescent="0.35">
      <c r="A36" s="406"/>
      <c r="C36" s="464" t="s">
        <v>2195</v>
      </c>
      <c r="D36" s="464"/>
      <c r="E36" s="464"/>
      <c r="F36" s="464"/>
      <c r="G36" s="464"/>
      <c r="H36" s="464"/>
      <c r="I36" s="810">
        <f>L19-L16</f>
        <v>5925</v>
      </c>
      <c r="J36" s="892" t="s">
        <v>79</v>
      </c>
      <c r="L36" s="144"/>
      <c r="N36" s="144"/>
      <c r="O36" s="145"/>
      <c r="P36" s="142"/>
      <c r="Q36" s="142"/>
    </row>
    <row r="37" spans="1:17" x14ac:dyDescent="0.35">
      <c r="A37" s="406"/>
      <c r="C37" s="464" t="s">
        <v>119</v>
      </c>
      <c r="D37" s="464"/>
      <c r="E37" s="464"/>
      <c r="F37" s="464"/>
      <c r="G37" s="464"/>
      <c r="H37" s="464"/>
      <c r="I37" s="810">
        <f>L21</f>
        <v>41070</v>
      </c>
      <c r="J37" s="892" t="s">
        <v>78</v>
      </c>
      <c r="L37" s="144"/>
      <c r="N37" s="144"/>
      <c r="O37" s="145"/>
      <c r="P37" s="143"/>
      <c r="Q37" s="142"/>
    </row>
    <row r="38" spans="1:17" x14ac:dyDescent="0.35">
      <c r="A38" s="406"/>
      <c r="C38" s="464" t="s">
        <v>118</v>
      </c>
      <c r="D38" s="464"/>
      <c r="E38" s="464"/>
      <c r="F38" s="464"/>
      <c r="G38" s="464"/>
      <c r="H38" s="464"/>
      <c r="I38" s="810">
        <f>L22</f>
        <v>1361</v>
      </c>
      <c r="J38" s="892" t="s">
        <v>1089</v>
      </c>
      <c r="L38" s="144"/>
      <c r="N38" s="144"/>
      <c r="O38" s="145"/>
      <c r="P38" s="142"/>
      <c r="Q38" s="142"/>
    </row>
    <row r="39" spans="1:17" x14ac:dyDescent="0.35">
      <c r="A39" s="406"/>
      <c r="C39" s="1243" t="s">
        <v>117</v>
      </c>
      <c r="D39" s="1243"/>
      <c r="E39" s="1243"/>
      <c r="F39" s="1243"/>
      <c r="G39" s="464"/>
      <c r="H39" s="464"/>
      <c r="I39" s="1244">
        <f>ROUND(I36/(I37+I38),8)</f>
        <v>0.13963846999999999</v>
      </c>
      <c r="J39" s="136" t="s">
        <v>1653</v>
      </c>
      <c r="L39" s="143"/>
      <c r="N39" s="144"/>
      <c r="O39" s="143"/>
      <c r="P39" s="142"/>
      <c r="Q39" s="142"/>
    </row>
    <row r="40" spans="1:17" x14ac:dyDescent="0.35">
      <c r="A40" s="406"/>
      <c r="C40" s="392" t="s">
        <v>2196</v>
      </c>
      <c r="D40" s="464"/>
      <c r="E40" s="464"/>
      <c r="F40" s="464"/>
      <c r="G40" s="464"/>
      <c r="H40" s="464"/>
      <c r="I40" s="1233">
        <f>G26</f>
        <v>8.52</v>
      </c>
      <c r="J40" s="1121" t="s">
        <v>213</v>
      </c>
      <c r="L40" s="141"/>
    </row>
    <row r="41" spans="1:17" x14ac:dyDescent="0.35">
      <c r="A41" s="406"/>
      <c r="C41" s="464"/>
      <c r="D41" s="464"/>
      <c r="E41" s="464"/>
      <c r="F41" s="464"/>
      <c r="G41" s="1220" t="s">
        <v>26</v>
      </c>
      <c r="H41" s="1220" t="s">
        <v>116</v>
      </c>
      <c r="I41" s="1220" t="s">
        <v>115</v>
      </c>
    </row>
    <row r="42" spans="1:17" x14ac:dyDescent="0.35">
      <c r="A42" s="406"/>
      <c r="B42" s="41" t="str">
        <f>$A$4</f>
        <v>SC5 Rate I</v>
      </c>
      <c r="C42" s="464" t="s">
        <v>114</v>
      </c>
      <c r="D42" s="464"/>
      <c r="E42" s="464"/>
      <c r="F42" s="464"/>
      <c r="G42" s="1245">
        <f>$T$9</f>
        <v>36</v>
      </c>
      <c r="H42" s="1246">
        <f>G10</f>
        <v>178.73</v>
      </c>
      <c r="I42" s="809">
        <f>ROUND(G42*H42,0)</f>
        <v>6434</v>
      </c>
      <c r="J42" s="61" t="s">
        <v>1654</v>
      </c>
    </row>
    <row r="43" spans="1:17" x14ac:dyDescent="0.35">
      <c r="A43" s="406"/>
      <c r="C43" s="464" t="s">
        <v>113</v>
      </c>
      <c r="D43" s="464"/>
      <c r="E43" s="464"/>
      <c r="F43" s="464"/>
      <c r="G43" s="1245">
        <f>$T$14</f>
        <v>74</v>
      </c>
      <c r="H43" s="1246">
        <f>G12</f>
        <v>114.67</v>
      </c>
      <c r="I43" s="809">
        <f>ROUND(G43*H43,0)</f>
        <v>8486</v>
      </c>
      <c r="J43" s="61" t="s">
        <v>1655</v>
      </c>
    </row>
    <row r="44" spans="1:17" x14ac:dyDescent="0.35">
      <c r="A44" s="406"/>
      <c r="C44" s="464" t="s">
        <v>112</v>
      </c>
      <c r="D44" s="464"/>
      <c r="E44" s="464"/>
      <c r="F44" s="464"/>
      <c r="G44" s="1245">
        <f>$T$19</f>
        <v>0</v>
      </c>
      <c r="H44" s="1246">
        <f>G16</f>
        <v>136.30000000000001</v>
      </c>
      <c r="I44" s="809">
        <f>ROUND(G44*H44,0)</f>
        <v>0</v>
      </c>
      <c r="J44" s="61" t="s">
        <v>1656</v>
      </c>
    </row>
    <row r="45" spans="1:17" x14ac:dyDescent="0.35">
      <c r="A45" s="406"/>
      <c r="C45" s="464" t="s">
        <v>111</v>
      </c>
      <c r="D45" s="464"/>
      <c r="E45" s="464"/>
      <c r="F45" s="464"/>
      <c r="G45" s="1245">
        <f>$T$24</f>
        <v>0</v>
      </c>
      <c r="H45" s="1246">
        <f>G18</f>
        <v>72.23</v>
      </c>
      <c r="I45" s="809">
        <f>ROUND(G45*H45,0)</f>
        <v>0</v>
      </c>
      <c r="J45" s="61" t="s">
        <v>1657</v>
      </c>
    </row>
    <row r="46" spans="1:17" x14ac:dyDescent="0.35">
      <c r="A46" s="406"/>
      <c r="C46" s="464" t="s">
        <v>110</v>
      </c>
      <c r="D46" s="464"/>
      <c r="E46" s="464"/>
      <c r="F46" s="464"/>
      <c r="G46" s="464"/>
      <c r="H46" s="464"/>
      <c r="I46" s="1247">
        <f>SUM(I42:I45)</f>
        <v>14920</v>
      </c>
      <c r="J46" s="61" t="s">
        <v>1658</v>
      </c>
    </row>
    <row r="47" spans="1:17" ht="15" thickBot="1" x14ac:dyDescent="0.4">
      <c r="A47" s="406"/>
      <c r="B47" s="285"/>
      <c r="C47" t="s">
        <v>308</v>
      </c>
      <c r="I47" s="1248">
        <f>L15</f>
        <v>0</v>
      </c>
      <c r="J47" s="1000" t="s">
        <v>1111</v>
      </c>
    </row>
    <row r="48" spans="1:17" ht="15.5" thickTop="1" thickBot="1" x14ac:dyDescent="0.4">
      <c r="A48" s="406"/>
      <c r="C48" s="464" t="s">
        <v>107</v>
      </c>
      <c r="D48" s="464"/>
      <c r="E48" s="464"/>
      <c r="F48" s="464"/>
      <c r="G48" s="464"/>
      <c r="H48" s="464"/>
      <c r="I48" s="333">
        <f>ROUND(I46*(1+I47),0)</f>
        <v>14920</v>
      </c>
      <c r="J48" s="1000" t="s">
        <v>1659</v>
      </c>
    </row>
    <row r="49" spans="1:14" ht="15.5" thickTop="1" thickBot="1" x14ac:dyDescent="0.4">
      <c r="A49" s="406"/>
      <c r="C49" s="464" t="s">
        <v>2239</v>
      </c>
      <c r="D49" s="464"/>
      <c r="E49" s="464"/>
      <c r="F49" s="464"/>
      <c r="G49" s="464"/>
      <c r="H49" s="464"/>
      <c r="I49" s="810">
        <f>I40*SUM(G42:G45)</f>
        <v>937.19999999999993</v>
      </c>
      <c r="J49" s="1123" t="s">
        <v>2197</v>
      </c>
    </row>
    <row r="50" spans="1:14" ht="15.5" thickTop="1" thickBot="1" x14ac:dyDescent="0.4">
      <c r="A50" s="406"/>
      <c r="C50" s="464" t="s">
        <v>2238</v>
      </c>
      <c r="D50" s="464"/>
      <c r="E50" s="464"/>
      <c r="F50" s="464"/>
      <c r="G50" s="464"/>
      <c r="H50" s="464"/>
      <c r="I50" s="821">
        <f>ROUND(I48*(1+I39),0)+I49</f>
        <v>17940.2</v>
      </c>
      <c r="J50" s="1123" t="s">
        <v>2198</v>
      </c>
    </row>
    <row r="51" spans="1:14" ht="15" thickTop="1" x14ac:dyDescent="0.35">
      <c r="A51" s="406"/>
      <c r="I51" s="1"/>
    </row>
    <row r="52" spans="1:14" x14ac:dyDescent="0.35">
      <c r="A52" s="406"/>
    </row>
    <row r="53" spans="1:14" x14ac:dyDescent="0.35">
      <c r="A53" s="407" t="s">
        <v>1652</v>
      </c>
    </row>
    <row r="54" spans="1:14" x14ac:dyDescent="0.35">
      <c r="A54" s="406"/>
    </row>
    <row r="55" spans="1:14" x14ac:dyDescent="0.35">
      <c r="A55" s="406"/>
      <c r="B55" s="41" t="str">
        <f>$A$4</f>
        <v>SC5 Rate I</v>
      </c>
      <c r="C55" s="133" t="s">
        <v>103</v>
      </c>
      <c r="D55" s="133"/>
      <c r="E55" s="133"/>
      <c r="F55" s="133"/>
      <c r="L55" s="135"/>
    </row>
    <row r="56" spans="1:14" x14ac:dyDescent="0.35">
      <c r="A56" s="406"/>
      <c r="C56" t="s">
        <v>102</v>
      </c>
      <c r="L56" s="819">
        <f>M21</f>
        <v>40621</v>
      </c>
      <c r="M56" s="61" t="s">
        <v>165</v>
      </c>
      <c r="N56" s="130"/>
    </row>
    <row r="57" spans="1:14" x14ac:dyDescent="0.35">
      <c r="A57" s="406"/>
      <c r="C57" t="s">
        <v>88</v>
      </c>
      <c r="L57" s="819">
        <f>M22</f>
        <v>1346</v>
      </c>
      <c r="M57" s="61" t="s">
        <v>166</v>
      </c>
      <c r="N57" s="130"/>
    </row>
    <row r="58" spans="1:14" ht="15" thickBot="1" x14ac:dyDescent="0.4">
      <c r="A58" s="406"/>
      <c r="C58" t="s">
        <v>99</v>
      </c>
      <c r="K58" s="129"/>
      <c r="L58" s="603">
        <f>I46</f>
        <v>14920</v>
      </c>
      <c r="M58" s="61" t="s">
        <v>1304</v>
      </c>
    </row>
    <row r="59" spans="1:14" ht="15.5" thickTop="1" thickBot="1" x14ac:dyDescent="0.4">
      <c r="A59" s="406"/>
      <c r="C59" s="75" t="s">
        <v>98</v>
      </c>
      <c r="D59" s="75"/>
      <c r="E59" s="75"/>
      <c r="F59" s="75"/>
      <c r="L59" s="740">
        <f>L56+L57-L58</f>
        <v>27047</v>
      </c>
      <c r="M59" s="61" t="s">
        <v>1970</v>
      </c>
    </row>
    <row r="60" spans="1:14" ht="15" thickTop="1" x14ac:dyDescent="0.35">
      <c r="A60" s="406"/>
    </row>
    <row r="61" spans="1:14" x14ac:dyDescent="0.35">
      <c r="A61" s="406"/>
      <c r="C61" s="131" t="s">
        <v>97</v>
      </c>
      <c r="D61" s="131"/>
      <c r="E61" s="131"/>
      <c r="F61" s="131"/>
      <c r="K61" s="130">
        <f>M19</f>
        <v>5860</v>
      </c>
      <c r="M61" s="61" t="s">
        <v>101</v>
      </c>
    </row>
    <row r="62" spans="1:14" x14ac:dyDescent="0.35">
      <c r="A62" s="406"/>
      <c r="C62" t="s">
        <v>96</v>
      </c>
    </row>
    <row r="63" spans="1:14" x14ac:dyDescent="0.35">
      <c r="A63" s="406"/>
      <c r="C63" s="133" t="s">
        <v>95</v>
      </c>
      <c r="D63" s="133"/>
      <c r="E63" s="133"/>
      <c r="F63" s="133"/>
      <c r="J63" s="926">
        <f>L14</f>
        <v>8.6771230000000005E-2</v>
      </c>
      <c r="K63" s="130"/>
      <c r="M63" s="61" t="s">
        <v>100</v>
      </c>
    </row>
    <row r="64" spans="1:14" x14ac:dyDescent="0.35">
      <c r="A64" s="406"/>
      <c r="C64" t="s">
        <v>94</v>
      </c>
      <c r="I64" s="130">
        <f>M20</f>
        <v>0</v>
      </c>
      <c r="J64" s="130">
        <f>ROUND(I64*J$63,0)</f>
        <v>0</v>
      </c>
      <c r="M64" s="61" t="s">
        <v>229</v>
      </c>
    </row>
    <row r="65" spans="1:13" x14ac:dyDescent="0.35">
      <c r="A65" s="406"/>
      <c r="C65" t="s">
        <v>93</v>
      </c>
      <c r="I65" s="130">
        <f>M24</f>
        <v>0</v>
      </c>
      <c r="J65" s="130">
        <f>ROUND(I65*J$63,0)</f>
        <v>0</v>
      </c>
      <c r="M65" s="61" t="s">
        <v>1090</v>
      </c>
    </row>
    <row r="66" spans="1:13" x14ac:dyDescent="0.35">
      <c r="A66" s="406"/>
      <c r="C66" t="s">
        <v>92</v>
      </c>
      <c r="I66" s="130">
        <f>M25</f>
        <v>0</v>
      </c>
      <c r="J66" s="130">
        <f>ROUND(I66*J$63,0)</f>
        <v>0</v>
      </c>
      <c r="K66" s="132">
        <f>J64+J65+J66</f>
        <v>0</v>
      </c>
      <c r="M66" s="61" t="s">
        <v>1091</v>
      </c>
    </row>
    <row r="67" spans="1:13" x14ac:dyDescent="0.35">
      <c r="A67" s="406"/>
      <c r="C67" s="131" t="s">
        <v>91</v>
      </c>
      <c r="D67" s="131"/>
      <c r="E67" s="131"/>
      <c r="F67" s="131"/>
      <c r="K67" s="130">
        <f>K61-K66</f>
        <v>5860</v>
      </c>
      <c r="M67" s="61" t="s">
        <v>1661</v>
      </c>
    </row>
    <row r="68" spans="1:13" x14ac:dyDescent="0.35">
      <c r="A68" s="406"/>
      <c r="J68" s="130"/>
    </row>
    <row r="69" spans="1:13" x14ac:dyDescent="0.35">
      <c r="A69" s="406"/>
      <c r="C69" t="s">
        <v>90</v>
      </c>
      <c r="K69" s="129"/>
      <c r="L69" s="130">
        <f>L56+K67</f>
        <v>46481</v>
      </c>
      <c r="M69" s="61" t="s">
        <v>1662</v>
      </c>
    </row>
    <row r="70" spans="1:13" x14ac:dyDescent="0.35">
      <c r="A70" s="406"/>
      <c r="C70" t="s">
        <v>88</v>
      </c>
      <c r="K70" s="129"/>
      <c r="L70" s="130">
        <f>L57</f>
        <v>1346</v>
      </c>
      <c r="M70" s="61" t="s">
        <v>166</v>
      </c>
    </row>
    <row r="71" spans="1:13" ht="15" thickBot="1" x14ac:dyDescent="0.4">
      <c r="A71" s="406"/>
      <c r="C71" s="3" t="s">
        <v>87</v>
      </c>
      <c r="D71" s="3"/>
      <c r="E71" s="3"/>
      <c r="F71" s="3"/>
      <c r="K71" s="129"/>
      <c r="L71" s="130">
        <f>I50</f>
        <v>17940.2</v>
      </c>
      <c r="M71" s="61" t="s">
        <v>1263</v>
      </c>
    </row>
    <row r="72" spans="1:13" ht="15.5" thickTop="1" thickBot="1" x14ac:dyDescent="0.4">
      <c r="A72" s="406"/>
      <c r="C72" s="75" t="s">
        <v>85</v>
      </c>
      <c r="D72" s="75"/>
      <c r="E72" s="75"/>
      <c r="F72" s="75"/>
      <c r="K72" s="129"/>
      <c r="L72" s="927">
        <f>L69+L70-L71</f>
        <v>29886.799999999999</v>
      </c>
      <c r="M72" s="61" t="s">
        <v>1663</v>
      </c>
    </row>
    <row r="73" spans="1:13" ht="15" thickTop="1" x14ac:dyDescent="0.35">
      <c r="A73" s="406"/>
    </row>
    <row r="74" spans="1:13" x14ac:dyDescent="0.35">
      <c r="A74" s="406"/>
      <c r="C74" s="75" t="s">
        <v>84</v>
      </c>
      <c r="D74" s="75"/>
      <c r="E74" s="75"/>
      <c r="F74" s="75"/>
      <c r="L74" s="637">
        <f>ROUND(L72/L59-1,8)</f>
        <v>0.10499501</v>
      </c>
      <c r="M74" s="61" t="s">
        <v>1664</v>
      </c>
    </row>
    <row r="75" spans="1:13" x14ac:dyDescent="0.35">
      <c r="A75" s="406"/>
    </row>
    <row r="76" spans="1:13" x14ac:dyDescent="0.35">
      <c r="A76" s="406"/>
    </row>
    <row r="77" spans="1:13" x14ac:dyDescent="0.35">
      <c r="A77" s="407" t="s">
        <v>83</v>
      </c>
    </row>
    <row r="78" spans="1:13" x14ac:dyDescent="0.35">
      <c r="A78" s="406"/>
    </row>
    <row r="79" spans="1:13" x14ac:dyDescent="0.35">
      <c r="A79" s="406"/>
    </row>
    <row r="80" spans="1:13" ht="15" thickBot="1" x14ac:dyDescent="0.4">
      <c r="A80" s="406"/>
    </row>
    <row r="81" spans="1:15" ht="15.5" thickTop="1" thickBot="1" x14ac:dyDescent="0.4">
      <c r="A81" s="406"/>
      <c r="B81" s="41" t="str">
        <f>$A$4</f>
        <v>SC5 Rate I</v>
      </c>
      <c r="C81" s="3"/>
      <c r="D81" s="3"/>
      <c r="E81" s="3"/>
      <c r="F81" s="3"/>
      <c r="G81" s="3"/>
      <c r="H81" s="1316" t="s">
        <v>82</v>
      </c>
      <c r="I81" s="1317"/>
      <c r="J81" s="1318"/>
      <c r="K81" s="3"/>
      <c r="L81" s="1307" t="s">
        <v>81</v>
      </c>
      <c r="M81" s="1308"/>
      <c r="N81" s="1309"/>
    </row>
    <row r="82" spans="1:15" ht="15" thickTop="1" x14ac:dyDescent="0.35">
      <c r="A82" s="406"/>
      <c r="B82" s="3"/>
      <c r="C82" s="3"/>
      <c r="E82" s="30" t="s">
        <v>80</v>
      </c>
      <c r="F82" s="3"/>
      <c r="G82" s="3"/>
      <c r="H82" s="30" t="s">
        <v>42</v>
      </c>
      <c r="I82" s="30"/>
      <c r="J82" s="30" t="s">
        <v>40</v>
      </c>
      <c r="K82" s="3"/>
      <c r="L82" s="30" t="s">
        <v>42</v>
      </c>
      <c r="M82" s="86"/>
      <c r="N82" s="30" t="s">
        <v>40</v>
      </c>
    </row>
    <row r="83" spans="1:15" x14ac:dyDescent="0.35">
      <c r="B83" s="3" t="s">
        <v>43</v>
      </c>
      <c r="C83" s="3"/>
      <c r="D83" s="567">
        <f>Q6</f>
        <v>0</v>
      </c>
      <c r="E83" s="123" t="str">
        <f>R6</f>
        <v>-</v>
      </c>
      <c r="F83" s="567">
        <f>S6</f>
        <v>5</v>
      </c>
      <c r="G83" s="123"/>
      <c r="H83" s="939">
        <f>G10</f>
        <v>178.73</v>
      </c>
      <c r="I83" s="892" t="s">
        <v>109</v>
      </c>
      <c r="J83" s="939">
        <f>G12</f>
        <v>114.67</v>
      </c>
      <c r="K83" s="892" t="s">
        <v>1639</v>
      </c>
      <c r="L83" s="3"/>
      <c r="M83" s="17"/>
      <c r="N83" s="3"/>
    </row>
    <row r="84" spans="1:15" x14ac:dyDescent="0.35">
      <c r="B84" s="3"/>
      <c r="C84" s="3"/>
      <c r="D84" s="567"/>
      <c r="E84" s="123"/>
      <c r="F84" s="567"/>
      <c r="G84" s="36"/>
      <c r="H84" s="939"/>
      <c r="I84" s="35"/>
      <c r="J84" s="939"/>
      <c r="K84" s="3"/>
    </row>
    <row r="85" spans="1:15" x14ac:dyDescent="0.35">
      <c r="B85" s="3"/>
      <c r="C85" s="3"/>
      <c r="D85" s="3"/>
      <c r="E85" s="123" t="str">
        <f>R7</f>
        <v>&gt;</v>
      </c>
      <c r="F85" s="567">
        <f>S7</f>
        <v>5</v>
      </c>
      <c r="G85" s="36"/>
      <c r="H85" s="939">
        <f>G11</f>
        <v>31.369999999999997</v>
      </c>
      <c r="I85" s="892" t="s">
        <v>108</v>
      </c>
      <c r="J85" s="940">
        <f>G13</f>
        <v>19.97</v>
      </c>
      <c r="K85" s="892" t="s">
        <v>1640</v>
      </c>
      <c r="L85" s="27">
        <f>H85-J$85</f>
        <v>11.399999999999999</v>
      </c>
      <c r="M85" s="61" t="s">
        <v>1666</v>
      </c>
      <c r="N85" s="112"/>
      <c r="O85" s="61" t="s">
        <v>1665</v>
      </c>
    </row>
    <row r="86" spans="1:15" x14ac:dyDescent="0.35">
      <c r="B86" s="3"/>
      <c r="C86" s="3"/>
      <c r="D86" s="3"/>
      <c r="E86" s="123"/>
      <c r="F86" s="123"/>
      <c r="G86" s="36"/>
      <c r="H86" s="939"/>
      <c r="I86" s="120"/>
      <c r="J86" s="939"/>
      <c r="K86" s="3"/>
      <c r="L86" s="27"/>
      <c r="M86" s="61"/>
      <c r="N86" s="61"/>
    </row>
    <row r="87" spans="1:15" x14ac:dyDescent="0.35">
      <c r="B87" s="3" t="s">
        <v>41</v>
      </c>
      <c r="C87" s="3"/>
      <c r="D87" s="121">
        <f>D83</f>
        <v>0</v>
      </c>
      <c r="E87" s="122" t="str">
        <f>E83</f>
        <v>-</v>
      </c>
      <c r="F87" s="121">
        <f>F83</f>
        <v>5</v>
      </c>
      <c r="G87" s="123"/>
      <c r="H87" s="939">
        <f>G16</f>
        <v>136.30000000000001</v>
      </c>
      <c r="I87" s="892" t="s">
        <v>1574</v>
      </c>
      <c r="J87" s="939">
        <f>G18</f>
        <v>72.23</v>
      </c>
      <c r="K87" s="892" t="s">
        <v>1603</v>
      </c>
      <c r="L87" s="3"/>
      <c r="M87" s="109"/>
      <c r="N87" s="3"/>
    </row>
    <row r="88" spans="1:15" x14ac:dyDescent="0.35">
      <c r="B88" s="3"/>
      <c r="C88" s="3"/>
      <c r="D88" s="121"/>
      <c r="E88" s="122"/>
      <c r="F88" s="121"/>
      <c r="G88" s="36"/>
      <c r="H88" s="939"/>
      <c r="I88" s="35"/>
      <c r="J88" s="939"/>
      <c r="K88" s="3"/>
    </row>
    <row r="89" spans="1:15" x14ac:dyDescent="0.35">
      <c r="B89" s="3"/>
      <c r="C89" s="3"/>
      <c r="D89" s="2"/>
      <c r="E89" s="122" t="str">
        <f>E85</f>
        <v>&gt;</v>
      </c>
      <c r="F89" s="121">
        <f>F85</f>
        <v>5</v>
      </c>
      <c r="G89" s="36"/>
      <c r="H89" s="939">
        <f>G17</f>
        <v>23.81</v>
      </c>
      <c r="I89" s="892" t="s">
        <v>1638</v>
      </c>
      <c r="J89" s="939">
        <f>G19</f>
        <v>12.41</v>
      </c>
      <c r="K89" s="892" t="s">
        <v>1604</v>
      </c>
      <c r="L89" s="27">
        <f>H89-J$85</f>
        <v>3.84</v>
      </c>
      <c r="M89" s="61" t="s">
        <v>1667</v>
      </c>
      <c r="N89" s="27">
        <f>J89-J$85</f>
        <v>-7.5599999999999987</v>
      </c>
      <c r="O89" s="61" t="s">
        <v>1668</v>
      </c>
    </row>
    <row r="90" spans="1:15" x14ac:dyDescent="0.35">
      <c r="J90" s="406"/>
    </row>
    <row r="91" spans="1:15" ht="15" thickBot="1" x14ac:dyDescent="0.4"/>
    <row r="92" spans="1:15" ht="15.5" thickTop="1" thickBot="1" x14ac:dyDescent="0.4">
      <c r="B92" s="119" t="s">
        <v>77</v>
      </c>
      <c r="L92" s="1307" t="s">
        <v>76</v>
      </c>
      <c r="M92" s="1308"/>
      <c r="N92" s="1309"/>
    </row>
    <row r="93" spans="1:15" ht="15.5" thickTop="1" thickBot="1" x14ac:dyDescent="0.4">
      <c r="G93" s="118" t="s">
        <v>42</v>
      </c>
      <c r="H93" s="118" t="s">
        <v>40</v>
      </c>
      <c r="L93" s="30" t="s">
        <v>42</v>
      </c>
      <c r="M93" s="86"/>
      <c r="N93" s="30" t="s">
        <v>40</v>
      </c>
    </row>
    <row r="94" spans="1:15" x14ac:dyDescent="0.35">
      <c r="B94" s="3"/>
      <c r="G94" s="117"/>
      <c r="H94" s="116"/>
      <c r="K94" t="str">
        <f>B83</f>
        <v>Low Tension (LT)</v>
      </c>
      <c r="L94" s="3"/>
      <c r="M94" s="17"/>
      <c r="N94" s="3"/>
    </row>
    <row r="95" spans="1:15" x14ac:dyDescent="0.35">
      <c r="B95" s="3" t="s">
        <v>75</v>
      </c>
      <c r="G95" s="114" t="str">
        <f>CONCATENATE("X + ",L96)</f>
        <v>X + 12.6</v>
      </c>
      <c r="H95" s="115" t="s">
        <v>32</v>
      </c>
      <c r="L95" s="27"/>
      <c r="M95" s="17"/>
      <c r="N95" s="27"/>
    </row>
    <row r="96" spans="1:15" x14ac:dyDescent="0.35">
      <c r="B96" s="3"/>
      <c r="G96" s="114"/>
      <c r="H96" s="113"/>
      <c r="L96" s="27">
        <f>ROUND(L85*(1+$L$74),2)</f>
        <v>12.6</v>
      </c>
      <c r="M96" s="61" t="s">
        <v>1669</v>
      </c>
      <c r="N96" s="112"/>
      <c r="O96" s="61" t="s">
        <v>1665</v>
      </c>
    </row>
    <row r="97" spans="2:15" ht="15" thickBot="1" x14ac:dyDescent="0.4">
      <c r="B97" s="3" t="s">
        <v>73</v>
      </c>
      <c r="G97" s="111" t="str">
        <f>CONCATENATE("X + ",L100)</f>
        <v>X + 4.24</v>
      </c>
      <c r="H97" s="110" t="str">
        <f>CONCATENATE("X + ",N100)</f>
        <v>X + -8.35</v>
      </c>
      <c r="L97" s="27"/>
      <c r="M97" s="109"/>
      <c r="N97" s="109"/>
    </row>
    <row r="98" spans="2:15" x14ac:dyDescent="0.35">
      <c r="K98" t="str">
        <f>B87</f>
        <v>High Tension (HT)</v>
      </c>
      <c r="L98" s="3"/>
      <c r="M98" s="109"/>
      <c r="N98" s="3"/>
    </row>
    <row r="99" spans="2:15" x14ac:dyDescent="0.35">
      <c r="L99" s="27"/>
      <c r="N99" s="27"/>
    </row>
    <row r="100" spans="2:15" x14ac:dyDescent="0.35">
      <c r="L100" s="27">
        <f>ROUND(L89*(1+$L$74),2)</f>
        <v>4.24</v>
      </c>
      <c r="M100" s="61" t="s">
        <v>1670</v>
      </c>
      <c r="N100" s="27">
        <f>ROUND(N89*(1+$L$74),2)</f>
        <v>-8.35</v>
      </c>
      <c r="O100" s="61" t="s">
        <v>1671</v>
      </c>
    </row>
    <row r="101" spans="2:15" x14ac:dyDescent="0.35">
      <c r="L101" s="27"/>
      <c r="M101" s="61"/>
      <c r="N101" s="27"/>
      <c r="O101" s="61"/>
    </row>
    <row r="102" spans="2:15" x14ac:dyDescent="0.35">
      <c r="B102" s="334" t="s">
        <v>70</v>
      </c>
    </row>
    <row r="103" spans="2:15" x14ac:dyDescent="0.35">
      <c r="B103" s="41" t="str">
        <f>$A$4</f>
        <v>SC5 Rate I</v>
      </c>
    </row>
    <row r="104" spans="2:15" ht="15" thickBot="1" x14ac:dyDescent="0.4">
      <c r="B104" s="70" t="s">
        <v>69</v>
      </c>
      <c r="C104" s="70"/>
      <c r="D104" s="70"/>
      <c r="E104" s="3"/>
      <c r="F104" s="3"/>
      <c r="G104" s="3"/>
      <c r="I104" s="69" t="s">
        <v>25</v>
      </c>
      <c r="J104" s="3"/>
      <c r="K104" s="3"/>
    </row>
    <row r="105" spans="2:15" x14ac:dyDescent="0.35">
      <c r="B105" s="3" t="s">
        <v>43</v>
      </c>
      <c r="C105" s="70"/>
      <c r="D105" s="70"/>
      <c r="E105" s="3" t="s">
        <v>42</v>
      </c>
      <c r="F105" s="3"/>
      <c r="G105" s="108" t="str">
        <f>CONCATENATE(D83,E83,F83," kW")</f>
        <v>0-5 kW</v>
      </c>
      <c r="I105" s="72"/>
      <c r="J105" s="36"/>
      <c r="K105" s="74"/>
      <c r="L105" s="61"/>
    </row>
    <row r="106" spans="2:15" x14ac:dyDescent="0.35">
      <c r="B106" s="3" t="s">
        <v>43</v>
      </c>
      <c r="C106" s="3"/>
      <c r="D106" s="3"/>
      <c r="E106" s="3" t="s">
        <v>42</v>
      </c>
      <c r="F106" s="3"/>
      <c r="G106" s="108" t="str">
        <f>CONCATENATE(D85,E85,F85," kW")</f>
        <v>&gt;5 kW</v>
      </c>
      <c r="I106" s="72">
        <f>U7</f>
        <v>190</v>
      </c>
      <c r="J106" s="36" t="s">
        <v>39</v>
      </c>
      <c r="K106" s="107" t="str">
        <f>CONCATENATE("[",G95,"]")</f>
        <v>[X + 12.6]</v>
      </c>
      <c r="L106" s="61" t="s">
        <v>1698</v>
      </c>
    </row>
    <row r="107" spans="2:15" x14ac:dyDescent="0.35">
      <c r="B107" s="3" t="s">
        <v>43</v>
      </c>
      <c r="C107" s="3"/>
      <c r="D107" s="3"/>
      <c r="E107" s="3" t="s">
        <v>40</v>
      </c>
      <c r="F107" s="3"/>
      <c r="G107" s="3" t="str">
        <f>G105</f>
        <v>0-5 kW</v>
      </c>
      <c r="I107" s="72"/>
      <c r="J107" s="36"/>
      <c r="K107" s="73"/>
      <c r="L107" s="61"/>
    </row>
    <row r="108" spans="2:15" x14ac:dyDescent="0.35">
      <c r="B108" s="3" t="s">
        <v>43</v>
      </c>
      <c r="C108" s="3"/>
      <c r="D108" s="3"/>
      <c r="E108" s="3" t="s">
        <v>40</v>
      </c>
      <c r="F108" s="3"/>
      <c r="G108" s="3" t="str">
        <f>G106</f>
        <v>&gt;5 kW</v>
      </c>
      <c r="I108" s="72">
        <f>U12</f>
        <v>1056</v>
      </c>
      <c r="J108" s="36" t="s">
        <v>39</v>
      </c>
      <c r="K108" s="73" t="str">
        <f>CONCATENATE("[",H95,"]")</f>
        <v>[X]</v>
      </c>
      <c r="L108" s="61" t="s">
        <v>1699</v>
      </c>
    </row>
    <row r="109" spans="2:15" x14ac:dyDescent="0.35">
      <c r="B109" s="3" t="s">
        <v>41</v>
      </c>
      <c r="C109" s="3"/>
      <c r="D109" s="3"/>
      <c r="E109" s="3" t="s">
        <v>42</v>
      </c>
      <c r="F109" s="3"/>
      <c r="G109" s="3" t="str">
        <f>G105</f>
        <v>0-5 kW</v>
      </c>
      <c r="I109" s="72"/>
      <c r="J109" s="36"/>
      <c r="K109" s="73"/>
      <c r="L109" s="61"/>
    </row>
    <row r="110" spans="2:15" x14ac:dyDescent="0.35">
      <c r="B110" s="3" t="s">
        <v>41</v>
      </c>
      <c r="C110" s="3"/>
      <c r="D110" s="3"/>
      <c r="E110" s="3" t="s">
        <v>42</v>
      </c>
      <c r="F110" s="3"/>
      <c r="G110" s="3" t="str">
        <f>G106</f>
        <v>&gt;5 kW</v>
      </c>
      <c r="I110" s="72">
        <f>U17</f>
        <v>0</v>
      </c>
      <c r="J110" s="36" t="s">
        <v>39</v>
      </c>
      <c r="K110" s="73" t="str">
        <f>CONCATENATE("[",G97,"]")</f>
        <v>[X + 4.24]</v>
      </c>
      <c r="L110" s="61" t="s">
        <v>1700</v>
      </c>
    </row>
    <row r="111" spans="2:15" x14ac:dyDescent="0.35">
      <c r="B111" s="3" t="s">
        <v>41</v>
      </c>
      <c r="C111" s="3"/>
      <c r="D111" s="3"/>
      <c r="E111" s="3" t="s">
        <v>40</v>
      </c>
      <c r="F111" s="3"/>
      <c r="G111" s="3" t="str">
        <f>G105</f>
        <v>0-5 kW</v>
      </c>
      <c r="I111" s="72"/>
      <c r="J111" s="36"/>
      <c r="K111" s="73"/>
      <c r="L111" s="61"/>
    </row>
    <row r="112" spans="2:15" ht="15" thickBot="1" x14ac:dyDescent="0.4">
      <c r="B112" s="3" t="s">
        <v>41</v>
      </c>
      <c r="C112" s="3"/>
      <c r="D112" s="3"/>
      <c r="E112" s="3" t="s">
        <v>40</v>
      </c>
      <c r="F112" s="3"/>
      <c r="G112" s="3" t="str">
        <f>G106</f>
        <v>&gt;5 kW</v>
      </c>
      <c r="I112" s="72">
        <f>U22</f>
        <v>0</v>
      </c>
      <c r="J112" s="36" t="s">
        <v>39</v>
      </c>
      <c r="K112" s="71" t="str">
        <f>CONCATENATE("[",H97,"]")</f>
        <v>[X + -8.35]</v>
      </c>
      <c r="L112" s="61" t="s">
        <v>1701</v>
      </c>
    </row>
    <row r="113" spans="2:14" x14ac:dyDescent="0.35">
      <c r="I113" s="899">
        <f>SUM(I105:I112)</f>
        <v>1246</v>
      </c>
      <c r="J113" s="61" t="s">
        <v>1672</v>
      </c>
    </row>
    <row r="115" spans="2:14" x14ac:dyDescent="0.35">
      <c r="B115" s="70" t="s">
        <v>38</v>
      </c>
    </row>
    <row r="116" spans="2:14" x14ac:dyDescent="0.35">
      <c r="B116" s="41" t="str">
        <f>$A$4</f>
        <v>SC5 Rate I</v>
      </c>
      <c r="F116" s="3"/>
      <c r="G116" s="3"/>
      <c r="H116" s="3"/>
      <c r="I116" s="69" t="s">
        <v>25</v>
      </c>
      <c r="J116" s="3"/>
      <c r="K116" s="106"/>
      <c r="L116" s="3"/>
      <c r="M116" s="3"/>
      <c r="N116" s="17"/>
    </row>
    <row r="117" spans="2:14" x14ac:dyDescent="0.35">
      <c r="B117" s="3" t="s">
        <v>727</v>
      </c>
      <c r="C117" s="3"/>
      <c r="F117" s="3"/>
      <c r="G117" s="3"/>
      <c r="H117" s="3"/>
      <c r="I117" s="105"/>
      <c r="J117" s="65"/>
      <c r="K117" s="34"/>
      <c r="L117" s="3"/>
      <c r="M117" s="17"/>
      <c r="N117" s="17"/>
    </row>
    <row r="118" spans="2:14" x14ac:dyDescent="0.35">
      <c r="B118" s="3" t="s">
        <v>37</v>
      </c>
      <c r="C118" s="3"/>
      <c r="F118" s="3"/>
      <c r="G118" s="3"/>
      <c r="H118" s="3"/>
      <c r="I118" s="105">
        <f t="shared" ref="I118:I124" si="0">I106</f>
        <v>190</v>
      </c>
      <c r="J118" s="65" t="s">
        <v>63</v>
      </c>
      <c r="K118" s="34">
        <f>ROUND(I118*L96,0)</f>
        <v>2394</v>
      </c>
      <c r="L118" s="3" t="s">
        <v>62</v>
      </c>
      <c r="M118" s="61" t="s">
        <v>1702</v>
      </c>
      <c r="N118" s="17"/>
    </row>
    <row r="119" spans="2:14" x14ac:dyDescent="0.35">
      <c r="B119" s="3" t="s">
        <v>728</v>
      </c>
      <c r="C119" s="3"/>
      <c r="F119" s="3"/>
      <c r="G119" s="3"/>
      <c r="H119" s="3"/>
      <c r="I119" s="105"/>
      <c r="J119" s="65"/>
      <c r="K119" s="34"/>
      <c r="L119" s="3"/>
      <c r="M119" s="17"/>
      <c r="N119" s="17"/>
    </row>
    <row r="120" spans="2:14" x14ac:dyDescent="0.35">
      <c r="B120" s="3" t="s">
        <v>36</v>
      </c>
      <c r="C120" s="3"/>
      <c r="F120" s="3"/>
      <c r="G120" s="3"/>
      <c r="H120" s="3"/>
      <c r="I120" s="105">
        <f t="shared" si="0"/>
        <v>1056</v>
      </c>
      <c r="J120" s="65" t="s">
        <v>63</v>
      </c>
      <c r="K120" s="34">
        <f>ROUND(I120*N96,0)</f>
        <v>0</v>
      </c>
      <c r="L120" s="3" t="s">
        <v>62</v>
      </c>
      <c r="M120" s="61" t="s">
        <v>1703</v>
      </c>
      <c r="N120" s="17"/>
    </row>
    <row r="121" spans="2:14" x14ac:dyDescent="0.35">
      <c r="B121" s="3" t="s">
        <v>729</v>
      </c>
      <c r="C121" s="3"/>
      <c r="F121" s="3"/>
      <c r="G121" s="3"/>
      <c r="H121" s="3"/>
      <c r="I121" s="105"/>
      <c r="J121" s="65"/>
      <c r="K121" s="34"/>
      <c r="L121" s="3"/>
      <c r="M121" s="17"/>
      <c r="N121" s="17"/>
    </row>
    <row r="122" spans="2:14" x14ac:dyDescent="0.35">
      <c r="B122" s="3" t="s">
        <v>35</v>
      </c>
      <c r="C122" s="3"/>
      <c r="F122" s="3"/>
      <c r="G122" s="3"/>
      <c r="H122" s="3"/>
      <c r="I122" s="105">
        <f t="shared" si="0"/>
        <v>0</v>
      </c>
      <c r="J122" s="104" t="s">
        <v>63</v>
      </c>
      <c r="K122" s="34">
        <f>ROUND(I122*L100,0)</f>
        <v>0</v>
      </c>
      <c r="L122" s="44" t="s">
        <v>62</v>
      </c>
      <c r="M122" s="61" t="s">
        <v>1704</v>
      </c>
      <c r="N122" s="17"/>
    </row>
    <row r="123" spans="2:14" x14ac:dyDescent="0.35">
      <c r="B123" s="3" t="s">
        <v>730</v>
      </c>
      <c r="C123" s="3"/>
      <c r="F123" s="3"/>
      <c r="G123" s="3"/>
      <c r="H123" s="3"/>
      <c r="I123" s="105"/>
      <c r="J123" s="104"/>
      <c r="K123" s="34"/>
      <c r="L123" s="44"/>
      <c r="M123" s="17"/>
      <c r="N123" s="17"/>
    </row>
    <row r="124" spans="2:14" x14ac:dyDescent="0.35">
      <c r="B124" s="3" t="s">
        <v>34</v>
      </c>
      <c r="C124" s="3"/>
      <c r="F124" s="3"/>
      <c r="G124" s="3"/>
      <c r="H124" s="3"/>
      <c r="I124" s="105">
        <f t="shared" si="0"/>
        <v>0</v>
      </c>
      <c r="J124" s="104" t="s">
        <v>63</v>
      </c>
      <c r="K124" s="37">
        <f>ROUND(I124*N100,0)</f>
        <v>0</v>
      </c>
      <c r="L124" s="44" t="s">
        <v>62</v>
      </c>
      <c r="M124" s="61" t="s">
        <v>1705</v>
      </c>
      <c r="N124" s="17"/>
    </row>
    <row r="125" spans="2:14" x14ac:dyDescent="0.35">
      <c r="B125" s="3" t="s">
        <v>33</v>
      </c>
      <c r="C125" s="3"/>
      <c r="F125" s="66"/>
      <c r="G125" s="66">
        <f>L72</f>
        <v>29886.799999999999</v>
      </c>
      <c r="H125" s="63" t="s">
        <v>31</v>
      </c>
      <c r="I125" s="28">
        <f>SUM(I117:I124)</f>
        <v>1246</v>
      </c>
      <c r="J125" s="65" t="s">
        <v>63</v>
      </c>
      <c r="K125" s="103">
        <f>SUM(K117:K124)</f>
        <v>2394</v>
      </c>
      <c r="L125" s="3" t="s">
        <v>1673</v>
      </c>
      <c r="M125" s="61" t="s">
        <v>1706</v>
      </c>
      <c r="N125" s="17"/>
    </row>
    <row r="126" spans="2:14" x14ac:dyDescent="0.35">
      <c r="F126" s="3"/>
      <c r="G126" s="3"/>
      <c r="H126" s="3"/>
      <c r="I126" s="3"/>
      <c r="J126" s="3"/>
      <c r="K126" s="3"/>
      <c r="L126" s="3"/>
      <c r="M126" s="61" t="s">
        <v>1675</v>
      </c>
      <c r="N126" s="17"/>
    </row>
    <row r="127" spans="2:14" x14ac:dyDescent="0.35">
      <c r="F127" s="34"/>
      <c r="G127" s="34">
        <f>G125-K125</f>
        <v>27492.799999999999</v>
      </c>
      <c r="H127" s="63" t="s">
        <v>31</v>
      </c>
      <c r="I127" s="28">
        <f>I125</f>
        <v>1246</v>
      </c>
      <c r="J127" s="65" t="s">
        <v>32</v>
      </c>
      <c r="K127" s="3"/>
      <c r="L127" s="3"/>
      <c r="M127" s="61" t="s">
        <v>1676</v>
      </c>
      <c r="N127" s="17"/>
    </row>
    <row r="128" spans="2:14" ht="15" thickBot="1" x14ac:dyDescent="0.4">
      <c r="F128" s="3"/>
      <c r="G128" s="3"/>
      <c r="H128" s="3"/>
      <c r="I128" s="3"/>
      <c r="J128" s="3"/>
      <c r="K128" s="3"/>
      <c r="L128" s="3"/>
      <c r="M128" s="3"/>
      <c r="N128" s="17"/>
    </row>
    <row r="129" spans="2:16" ht="15.5" thickTop="1" thickBot="1" x14ac:dyDescent="0.4">
      <c r="F129" s="101"/>
      <c r="G129" s="101" t="s">
        <v>61</v>
      </c>
      <c r="H129" s="63" t="s">
        <v>31</v>
      </c>
      <c r="I129" s="102">
        <f>ROUND(G127/I127,2)</f>
        <v>22.06</v>
      </c>
      <c r="J129" s="61" t="s">
        <v>1674</v>
      </c>
      <c r="K129" s="3"/>
      <c r="L129" s="17"/>
      <c r="M129" s="61" t="s">
        <v>1677</v>
      </c>
      <c r="N129" s="17"/>
    </row>
    <row r="130" spans="2:16" ht="15.5" thickTop="1" thickBot="1" x14ac:dyDescent="0.4">
      <c r="F130" s="101"/>
      <c r="G130" s="101"/>
      <c r="H130" s="63"/>
      <c r="I130" s="63"/>
      <c r="J130" s="3"/>
      <c r="K130" s="3"/>
      <c r="L130" s="17"/>
      <c r="M130" s="17"/>
      <c r="N130" s="17"/>
    </row>
    <row r="131" spans="2:16" ht="15.5" thickTop="1" thickBot="1" x14ac:dyDescent="0.4">
      <c r="F131" s="101"/>
      <c r="G131" s="101" t="s">
        <v>1770</v>
      </c>
      <c r="H131" s="63" t="s">
        <v>31</v>
      </c>
      <c r="I131" s="102"/>
      <c r="J131" s="3"/>
      <c r="K131" s="3"/>
      <c r="L131" s="100"/>
      <c r="M131" s="34"/>
      <c r="N131" s="17"/>
    </row>
    <row r="132" spans="2:16" ht="15.5" thickTop="1" thickBot="1" x14ac:dyDescent="0.4">
      <c r="F132" s="64"/>
      <c r="G132" s="64" t="s">
        <v>32</v>
      </c>
      <c r="H132" s="63" t="s">
        <v>31</v>
      </c>
      <c r="I132" s="102">
        <f>I129</f>
        <v>22.06</v>
      </c>
      <c r="J132" s="61" t="s">
        <v>1674</v>
      </c>
      <c r="K132" s="3"/>
      <c r="L132" s="3"/>
      <c r="M132" s="3"/>
      <c r="N132" s="17"/>
    </row>
    <row r="133" spans="2:16" ht="15" thickTop="1" x14ac:dyDescent="0.35"/>
    <row r="135" spans="2:16" x14ac:dyDescent="0.35">
      <c r="B135" s="334" t="str">
        <f>CONCATENATE($A$4," at Proposed Demand Rates")</f>
        <v>SC5 Rate I at Proposed Demand Rates</v>
      </c>
    </row>
    <row r="136" spans="2:16" ht="15" thickBot="1" x14ac:dyDescent="0.4">
      <c r="C136" s="3" t="s">
        <v>5</v>
      </c>
      <c r="D136" s="1319">
        <f>$L$4</f>
        <v>2020</v>
      </c>
      <c r="E136" s="1319"/>
      <c r="F136" s="1319"/>
      <c r="G136" s="3"/>
      <c r="H136" s="3"/>
      <c r="I136" s="3"/>
      <c r="J136" s="3"/>
      <c r="K136" s="3"/>
      <c r="L136" s="3"/>
      <c r="M136" s="3"/>
      <c r="N136" s="17"/>
      <c r="O136" s="3"/>
    </row>
    <row r="137" spans="2:16" ht="15.5" thickTop="1" thickBot="1" x14ac:dyDescent="0.4">
      <c r="C137" s="3"/>
      <c r="D137" s="3"/>
      <c r="E137" s="3"/>
      <c r="F137" s="3"/>
      <c r="G137" s="3"/>
      <c r="H137" s="1307" t="s">
        <v>59</v>
      </c>
      <c r="I137" s="1308"/>
      <c r="J137" s="1309"/>
      <c r="K137" s="3"/>
      <c r="L137" s="3"/>
      <c r="M137" s="17"/>
      <c r="N137" s="17"/>
      <c r="O137" s="17"/>
    </row>
    <row r="138" spans="2:16" ht="15" thickTop="1" x14ac:dyDescent="0.35">
      <c r="C138" s="3"/>
      <c r="D138" s="3"/>
      <c r="E138" s="3"/>
      <c r="F138" s="3"/>
      <c r="G138" s="3"/>
      <c r="H138" s="36" t="s">
        <v>10</v>
      </c>
      <c r="I138" s="3"/>
      <c r="J138" s="36" t="s">
        <v>7</v>
      </c>
      <c r="K138" s="3"/>
      <c r="L138" s="3"/>
      <c r="M138" s="17"/>
      <c r="N138" s="17"/>
      <c r="O138" s="17"/>
    </row>
    <row r="139" spans="2:16" x14ac:dyDescent="0.35">
      <c r="C139" s="3" t="s">
        <v>9</v>
      </c>
      <c r="D139" s="36">
        <f>D83</f>
        <v>0</v>
      </c>
      <c r="E139" s="36" t="str">
        <f>E83</f>
        <v>-</v>
      </c>
      <c r="F139" s="36">
        <f>F83</f>
        <v>5</v>
      </c>
      <c r="G139" s="3"/>
      <c r="H139" s="35">
        <f>G10</f>
        <v>178.73</v>
      </c>
      <c r="I139" s="61" t="s">
        <v>50</v>
      </c>
      <c r="J139" s="35">
        <f>G12</f>
        <v>114.67</v>
      </c>
      <c r="K139" s="61" t="s">
        <v>48</v>
      </c>
      <c r="L139" s="3"/>
      <c r="M139" s="17"/>
      <c r="N139" s="17"/>
      <c r="O139" s="17"/>
    </row>
    <row r="140" spans="2:16" x14ac:dyDescent="0.35">
      <c r="C140" s="3" t="s">
        <v>8</v>
      </c>
      <c r="D140" s="36">
        <f>D139</f>
        <v>0</v>
      </c>
      <c r="E140" s="36" t="str">
        <f>E139</f>
        <v>-</v>
      </c>
      <c r="F140" s="36">
        <f>F139</f>
        <v>5</v>
      </c>
      <c r="G140" s="3"/>
      <c r="H140" s="35">
        <f>G16</f>
        <v>136.30000000000001</v>
      </c>
      <c r="I140" s="61" t="s">
        <v>49</v>
      </c>
      <c r="J140" s="35">
        <f>G18</f>
        <v>72.23</v>
      </c>
      <c r="K140" s="61" t="s">
        <v>47</v>
      </c>
      <c r="L140" s="3"/>
      <c r="M140" s="17"/>
      <c r="N140" s="17"/>
      <c r="O140" s="17"/>
    </row>
    <row r="141" spans="2:16" ht="15" thickBot="1" x14ac:dyDescent="0.4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6" ht="15" thickBot="1" x14ac:dyDescent="0.4">
      <c r="C142" s="60"/>
      <c r="D142" s="59"/>
      <c r="E142" s="59"/>
      <c r="F142" s="59"/>
      <c r="G142" s="59"/>
      <c r="H142" s="59"/>
      <c r="I142" s="59"/>
      <c r="J142" s="59"/>
      <c r="K142" s="59"/>
      <c r="L142" s="98"/>
      <c r="M142" s="3"/>
      <c r="N142" s="3"/>
    </row>
    <row r="143" spans="2:16" ht="15.5" thickTop="1" thickBot="1" x14ac:dyDescent="0.4">
      <c r="C143" s="96"/>
      <c r="D143" s="44"/>
      <c r="E143" s="44"/>
      <c r="F143" s="44"/>
      <c r="G143" s="44"/>
      <c r="H143" s="1313" t="s">
        <v>58</v>
      </c>
      <c r="I143" s="1314"/>
      <c r="J143" s="1315"/>
      <c r="K143" s="44"/>
      <c r="L143" s="94"/>
      <c r="M143" s="1346" t="s">
        <v>57</v>
      </c>
      <c r="N143" s="1347"/>
      <c r="O143" s="1347"/>
      <c r="P143" s="1347"/>
    </row>
    <row r="144" spans="2:16" ht="15" thickTop="1" x14ac:dyDescent="0.35">
      <c r="C144" s="96"/>
      <c r="D144" s="44"/>
      <c r="E144" s="44"/>
      <c r="F144" s="44"/>
      <c r="G144" s="44"/>
      <c r="H144" s="56" t="s">
        <v>10</v>
      </c>
      <c r="I144" s="44"/>
      <c r="J144" s="56" t="s">
        <v>7</v>
      </c>
      <c r="K144" s="44"/>
      <c r="L144" s="94"/>
      <c r="M144" s="36" t="s">
        <v>10</v>
      </c>
      <c r="O144" s="36" t="s">
        <v>7</v>
      </c>
    </row>
    <row r="145" spans="1:16" x14ac:dyDescent="0.35">
      <c r="C145" s="96" t="s">
        <v>9</v>
      </c>
      <c r="D145" s="56">
        <f>D83</f>
        <v>0</v>
      </c>
      <c r="E145" s="56" t="str">
        <f>E83</f>
        <v>-</v>
      </c>
      <c r="F145" s="56">
        <f>F83</f>
        <v>5</v>
      </c>
      <c r="G145" s="44"/>
      <c r="H145" s="1124">
        <f>ROUND(H139*(1+$L$15)*(1+$I$39)+$I$40,2)</f>
        <v>212.21</v>
      </c>
      <c r="I145" s="1001" t="s">
        <v>2199</v>
      </c>
      <c r="J145" s="1124">
        <f>ROUND(J139*(1+$L$15)*(1+$I$39)+$I$40,2)</f>
        <v>139.19999999999999</v>
      </c>
      <c r="K145" s="1001" t="s">
        <v>2200</v>
      </c>
      <c r="L145" s="94"/>
      <c r="M145" s="81">
        <f>ROUND(H145/H83-1,4)</f>
        <v>0.18729999999999999</v>
      </c>
      <c r="N145" s="54" t="s">
        <v>1682</v>
      </c>
      <c r="O145" s="81">
        <f>ROUND(J145/J83-1,4)</f>
        <v>0.21390000000000001</v>
      </c>
      <c r="P145" s="54" t="s">
        <v>1686</v>
      </c>
    </row>
    <row r="146" spans="1:16" x14ac:dyDescent="0.35">
      <c r="C146" s="96"/>
      <c r="D146" s="56"/>
      <c r="E146" s="56"/>
      <c r="F146" s="56"/>
      <c r="G146" s="44"/>
      <c r="H146" s="52"/>
      <c r="I146" s="52"/>
      <c r="J146" s="52"/>
      <c r="K146" s="52"/>
      <c r="L146" s="94"/>
      <c r="M146" s="81"/>
      <c r="O146" s="81"/>
    </row>
    <row r="147" spans="1:16" x14ac:dyDescent="0.35">
      <c r="C147" s="96"/>
      <c r="D147" s="44"/>
      <c r="E147" s="56" t="str">
        <f>E85</f>
        <v>&gt;</v>
      </c>
      <c r="F147" s="56">
        <f>F85</f>
        <v>5</v>
      </c>
      <c r="G147" s="44"/>
      <c r="H147" s="737">
        <f>$I$132+L96</f>
        <v>34.659999999999997</v>
      </c>
      <c r="I147" s="52" t="s">
        <v>1678</v>
      </c>
      <c r="J147" s="737">
        <f>$I$132+N96</f>
        <v>22.06</v>
      </c>
      <c r="K147" s="52" t="s">
        <v>1681</v>
      </c>
      <c r="L147" s="94"/>
      <c r="M147" s="81">
        <f>ROUND(H147/H85-1,4)</f>
        <v>0.10489999999999999</v>
      </c>
      <c r="N147" s="54" t="s">
        <v>1683</v>
      </c>
      <c r="O147" s="81">
        <f>ROUND(J147/J85-1,4)</f>
        <v>0.1047</v>
      </c>
      <c r="P147" s="54" t="s">
        <v>1687</v>
      </c>
    </row>
    <row r="148" spans="1:16" ht="14.25" customHeight="1" x14ac:dyDescent="0.35">
      <c r="C148" s="96"/>
      <c r="D148" s="44"/>
      <c r="E148" s="44"/>
      <c r="F148" s="44"/>
      <c r="G148" s="44"/>
      <c r="H148" s="731"/>
      <c r="I148" s="52"/>
      <c r="J148" s="731"/>
      <c r="K148" s="52"/>
      <c r="L148" s="94"/>
      <c r="M148" s="17"/>
    </row>
    <row r="149" spans="1:16" x14ac:dyDescent="0.35">
      <c r="C149" s="96" t="s">
        <v>8</v>
      </c>
      <c r="D149" s="56">
        <f>D145</f>
        <v>0</v>
      </c>
      <c r="E149" s="56" t="str">
        <f>E145</f>
        <v>-</v>
      </c>
      <c r="F149" s="56">
        <f>F145</f>
        <v>5</v>
      </c>
      <c r="G149" s="44"/>
      <c r="H149" s="1124">
        <f>ROUND(H140*(1+$L$15)*(1+$I$39)+$I$40,2)</f>
        <v>163.85</v>
      </c>
      <c r="I149" s="1001" t="s">
        <v>2201</v>
      </c>
      <c r="J149" s="1124">
        <f>ROUND(J140*(1+$L$15)*(1+$I$39)+$I$40,2)</f>
        <v>90.84</v>
      </c>
      <c r="K149" s="1001" t="s">
        <v>2202</v>
      </c>
      <c r="L149" s="94"/>
      <c r="M149" s="81">
        <f>ROUND(H149/H87-1,4)</f>
        <v>0.2021</v>
      </c>
      <c r="N149" s="54" t="s">
        <v>1684</v>
      </c>
      <c r="O149" s="81">
        <f>ROUND(J149/J87-1,4)</f>
        <v>0.2576</v>
      </c>
      <c r="P149" s="54" t="s">
        <v>1688</v>
      </c>
    </row>
    <row r="150" spans="1:16" x14ac:dyDescent="0.35">
      <c r="C150" s="96"/>
      <c r="D150" s="56"/>
      <c r="E150" s="56"/>
      <c r="F150" s="56"/>
      <c r="G150" s="44"/>
      <c r="H150" s="52"/>
      <c r="I150" s="52"/>
      <c r="J150" s="52"/>
      <c r="K150" s="52"/>
      <c r="L150" s="94"/>
      <c r="M150" s="81"/>
      <c r="O150" s="81"/>
    </row>
    <row r="151" spans="1:16" x14ac:dyDescent="0.35">
      <c r="C151" s="96"/>
      <c r="D151" s="56"/>
      <c r="E151" s="56" t="str">
        <f>E147</f>
        <v>&gt;</v>
      </c>
      <c r="F151" s="56">
        <f>F147</f>
        <v>5</v>
      </c>
      <c r="G151" s="44"/>
      <c r="H151" s="737">
        <f>$I$132+L100</f>
        <v>26.299999999999997</v>
      </c>
      <c r="I151" s="52" t="s">
        <v>1680</v>
      </c>
      <c r="J151" s="737">
        <f>$I$132+N100</f>
        <v>13.709999999999999</v>
      </c>
      <c r="K151" s="52" t="s">
        <v>1679</v>
      </c>
      <c r="L151" s="94"/>
      <c r="M151" s="81">
        <f>ROUND(H151/H89-1,4)</f>
        <v>0.1046</v>
      </c>
      <c r="N151" s="54" t="s">
        <v>1685</v>
      </c>
      <c r="O151" s="81">
        <f>ROUND(J151/J89-1,4)</f>
        <v>0.1048</v>
      </c>
      <c r="P151" s="54" t="s">
        <v>1689</v>
      </c>
    </row>
    <row r="152" spans="1:16" ht="15" thickBot="1" x14ac:dyDescent="0.4">
      <c r="C152" s="93"/>
      <c r="D152" s="46"/>
      <c r="E152" s="46"/>
      <c r="F152" s="46"/>
      <c r="G152" s="46"/>
      <c r="H152" s="46"/>
      <c r="I152" s="92"/>
      <c r="J152" s="46"/>
      <c r="K152" s="92"/>
      <c r="L152" s="91"/>
      <c r="M152" s="17"/>
      <c r="P152" s="54"/>
    </row>
    <row r="155" spans="1:16" x14ac:dyDescent="0.35">
      <c r="A155" s="334" t="s">
        <v>56</v>
      </c>
      <c r="B155" s="410"/>
      <c r="C155" s="410"/>
      <c r="D155" s="3"/>
      <c r="E155" s="3"/>
      <c r="F155" s="3"/>
      <c r="G155" s="3"/>
      <c r="H155" s="3"/>
      <c r="I155" s="3"/>
    </row>
    <row r="156" spans="1:16" x14ac:dyDescent="0.35">
      <c r="A156" s="334"/>
      <c r="B156" s="410"/>
      <c r="C156" s="410"/>
      <c r="D156" s="3"/>
      <c r="E156" s="3"/>
      <c r="F156" s="3"/>
      <c r="G156" s="3"/>
      <c r="H156" s="3"/>
      <c r="I156" s="3"/>
    </row>
    <row r="157" spans="1:16" x14ac:dyDescent="0.35">
      <c r="A157" s="334"/>
      <c r="B157" s="334" t="s">
        <v>55</v>
      </c>
      <c r="C157" s="410"/>
      <c r="D157" s="3"/>
      <c r="E157" s="3"/>
      <c r="F157" s="3"/>
      <c r="G157" s="3"/>
      <c r="H157" s="3"/>
      <c r="I157" s="3"/>
    </row>
    <row r="158" spans="1:16" x14ac:dyDescent="0.35">
      <c r="A158" s="42"/>
      <c r="B158" s="41" t="str">
        <f>$A$4</f>
        <v>SC5 Rate I</v>
      </c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3" t="s">
        <v>54</v>
      </c>
      <c r="C159" s="3"/>
      <c r="D159" s="3"/>
      <c r="E159" s="3"/>
      <c r="F159" s="3"/>
      <c r="G159" s="3"/>
      <c r="H159" s="3"/>
      <c r="I159" s="520">
        <f>L23</f>
        <v>27213</v>
      </c>
      <c r="J159" s="61" t="s">
        <v>1690</v>
      </c>
      <c r="L159" s="3"/>
    </row>
    <row r="160" spans="1:16" x14ac:dyDescent="0.35">
      <c r="A160" s="42"/>
      <c r="B160" s="3" t="str">
        <f>CONCATENATE("Less: ",$L$5," Energy Revenues to Demand at Current Rates Level")</f>
        <v>Less: Shift of 5% Energy Revenues to Demand at Current Rates Level</v>
      </c>
      <c r="C160" s="3"/>
      <c r="D160" s="3"/>
      <c r="E160" s="3"/>
      <c r="F160" s="3"/>
      <c r="G160" s="3"/>
      <c r="H160" s="3"/>
      <c r="I160" s="520">
        <f>L22</f>
        <v>1361</v>
      </c>
      <c r="J160" s="61" t="s">
        <v>1691</v>
      </c>
      <c r="L160" s="3"/>
    </row>
    <row r="161" spans="1:15" x14ac:dyDescent="0.35">
      <c r="A161" s="42"/>
      <c r="B161" s="3" t="str">
        <f>CONCATENATE("Add: ",B158," Energy Share of Proposed Rate Change")</f>
        <v>Add: SC5 Rate I Energy Share of Proposed Rate Change</v>
      </c>
      <c r="C161" s="3"/>
      <c r="D161" s="3"/>
      <c r="E161" s="3"/>
      <c r="F161" s="3"/>
      <c r="G161" s="3"/>
      <c r="H161" s="3"/>
      <c r="I161" s="520">
        <f>L29</f>
        <v>0</v>
      </c>
      <c r="J161" s="61" t="s">
        <v>1692</v>
      </c>
      <c r="L161" s="3"/>
    </row>
    <row r="162" spans="1:15" x14ac:dyDescent="0.35">
      <c r="A162" s="42"/>
      <c r="B162" s="3"/>
      <c r="C162" s="3"/>
      <c r="D162" s="3"/>
      <c r="E162" s="3"/>
      <c r="F162" s="3"/>
      <c r="G162" s="3"/>
      <c r="H162" s="3"/>
      <c r="I162" s="3"/>
      <c r="J162" s="3"/>
      <c r="L162" s="3"/>
    </row>
    <row r="163" spans="1:15" x14ac:dyDescent="0.35">
      <c r="A163" s="42"/>
      <c r="B163" s="838" t="s">
        <v>52</v>
      </c>
      <c r="C163" s="3"/>
      <c r="D163" s="3"/>
      <c r="E163" s="3"/>
      <c r="F163" s="3"/>
      <c r="G163" s="3"/>
      <c r="H163" s="3"/>
      <c r="I163" s="32">
        <f>I159-I160+I161</f>
        <v>25852</v>
      </c>
      <c r="J163" s="61" t="s">
        <v>1693</v>
      </c>
      <c r="L163" s="3"/>
    </row>
    <row r="164" spans="1:15" x14ac:dyDescent="0.35">
      <c r="A164" s="42"/>
      <c r="B164" s="3"/>
      <c r="C164" s="3"/>
      <c r="D164" s="3"/>
      <c r="E164" s="3"/>
      <c r="F164" s="3"/>
      <c r="G164" s="3"/>
      <c r="H164" s="3"/>
    </row>
    <row r="165" spans="1:15" x14ac:dyDescent="0.35">
      <c r="A165" s="42"/>
      <c r="B165" s="3"/>
      <c r="C165" s="3"/>
      <c r="D165" s="3"/>
      <c r="E165" s="3"/>
      <c r="F165" s="3"/>
      <c r="G165" s="3"/>
      <c r="H165" s="3"/>
      <c r="I165" s="3"/>
    </row>
    <row r="166" spans="1:15" ht="15" thickBot="1" x14ac:dyDescent="0.4">
      <c r="H166" s="3"/>
      <c r="I166" s="3"/>
    </row>
    <row r="167" spans="1:15" ht="15.5" thickTop="1" thickBot="1" x14ac:dyDescent="0.4">
      <c r="B167" s="41" t="str">
        <f>$A$4</f>
        <v>SC5 Rate I</v>
      </c>
      <c r="H167" s="1307" t="s">
        <v>51</v>
      </c>
      <c r="I167" s="1308"/>
      <c r="J167" s="1309"/>
      <c r="K167" s="3"/>
      <c r="L167" s="1310" t="s">
        <v>2151</v>
      </c>
      <c r="M167" s="1311"/>
      <c r="N167" s="1312"/>
    </row>
    <row r="168" spans="1:15" ht="15" thickTop="1" x14ac:dyDescent="0.35">
      <c r="B168" s="3"/>
      <c r="H168" s="36" t="s">
        <v>10</v>
      </c>
      <c r="I168" s="3"/>
      <c r="J168" s="36" t="s">
        <v>7</v>
      </c>
      <c r="K168" s="3"/>
      <c r="L168" s="30" t="s">
        <v>42</v>
      </c>
      <c r="M168" s="86"/>
      <c r="N168" s="30" t="s">
        <v>40</v>
      </c>
    </row>
    <row r="169" spans="1:15" x14ac:dyDescent="0.35">
      <c r="C169" s="3" t="s">
        <v>9</v>
      </c>
      <c r="K169" s="3"/>
      <c r="L169" s="81"/>
      <c r="M169" s="82"/>
      <c r="N169" s="81"/>
    </row>
    <row r="170" spans="1:15" x14ac:dyDescent="0.35">
      <c r="C170" s="3"/>
      <c r="H170" s="223">
        <f>G8</f>
        <v>3.7900000000000003E-2</v>
      </c>
      <c r="I170" s="61" t="s">
        <v>1694</v>
      </c>
      <c r="J170" s="223">
        <f>G9</f>
        <v>3.7900000000000003E-2</v>
      </c>
      <c r="K170" s="61" t="s">
        <v>1696</v>
      </c>
      <c r="L170" s="930">
        <f>ROUND(H170/$J$170,2)</f>
        <v>1</v>
      </c>
      <c r="M170" s="61" t="s">
        <v>2158</v>
      </c>
      <c r="N170" s="929"/>
      <c r="O170" s="61" t="s">
        <v>2094</v>
      </c>
    </row>
    <row r="171" spans="1:15" x14ac:dyDescent="0.35">
      <c r="C171" s="3"/>
      <c r="H171" s="2"/>
      <c r="I171" s="61"/>
      <c r="J171" s="3"/>
      <c r="K171" s="61"/>
      <c r="L171" s="931"/>
      <c r="M171" s="61"/>
      <c r="N171" s="82"/>
      <c r="O171" s="61"/>
    </row>
    <row r="172" spans="1:15" x14ac:dyDescent="0.35">
      <c r="C172" s="3" t="s">
        <v>8</v>
      </c>
      <c r="H172" s="1"/>
      <c r="K172" s="3"/>
      <c r="L172" s="930"/>
      <c r="N172" s="81"/>
      <c r="O172" s="3"/>
    </row>
    <row r="173" spans="1:15" x14ac:dyDescent="0.35">
      <c r="C173" s="3"/>
      <c r="H173" s="223">
        <f>G14</f>
        <v>3.7900000000000003E-2</v>
      </c>
      <c r="I173" s="61" t="s">
        <v>1695</v>
      </c>
      <c r="J173" s="223">
        <f>G15</f>
        <v>3.7900000000000003E-2</v>
      </c>
      <c r="K173" s="61" t="s">
        <v>1697</v>
      </c>
      <c r="L173" s="930">
        <f>ROUND(H173/$J$170,2)</f>
        <v>1</v>
      </c>
      <c r="M173" s="61" t="s">
        <v>2159</v>
      </c>
      <c r="N173" s="930">
        <f>ROUND(J173/$J$170,2)</f>
        <v>1</v>
      </c>
      <c r="O173" s="61" t="s">
        <v>2160</v>
      </c>
    </row>
    <row r="174" spans="1:15" x14ac:dyDescent="0.35">
      <c r="C174" s="3"/>
      <c r="H174" s="3"/>
      <c r="I174" s="3"/>
      <c r="J174" s="3"/>
      <c r="K174" s="3"/>
      <c r="L174" s="3"/>
      <c r="M174" s="3"/>
      <c r="N174" s="3"/>
    </row>
    <row r="175" spans="1:15" x14ac:dyDescent="0.35">
      <c r="C175" s="3" t="s">
        <v>9</v>
      </c>
      <c r="H175" s="36"/>
      <c r="I175" s="3"/>
      <c r="J175" s="36"/>
      <c r="K175" s="3"/>
      <c r="L175" s="3"/>
      <c r="M175" s="17"/>
      <c r="N175" s="3"/>
    </row>
    <row r="176" spans="1:15" x14ac:dyDescent="0.35">
      <c r="C176" s="3"/>
      <c r="H176" s="36" t="str">
        <f>IF(L170=1,$J$176,CONCATENATE(L170," * ",$J$176))</f>
        <v>X</v>
      </c>
      <c r="I176" s="3"/>
      <c r="J176" s="928" t="s">
        <v>32</v>
      </c>
      <c r="K176" s="3"/>
      <c r="L176" s="3"/>
      <c r="M176" s="17"/>
      <c r="N176" s="3"/>
    </row>
    <row r="177" spans="1:14" x14ac:dyDescent="0.35">
      <c r="C177" s="3"/>
      <c r="H177" s="3"/>
      <c r="I177" s="3"/>
      <c r="J177" s="3"/>
      <c r="K177" s="3"/>
      <c r="L177" s="3"/>
      <c r="M177" s="3"/>
      <c r="N177" s="3"/>
    </row>
    <row r="178" spans="1:14" x14ac:dyDescent="0.35">
      <c r="C178" s="3" t="s">
        <v>8</v>
      </c>
      <c r="H178" s="36"/>
      <c r="I178" s="3"/>
      <c r="J178" s="36"/>
      <c r="K178" s="3"/>
      <c r="L178" s="3"/>
      <c r="M178" s="17"/>
      <c r="N178" s="3"/>
    </row>
    <row r="179" spans="1:14" x14ac:dyDescent="0.35">
      <c r="H179" s="36" t="str">
        <f>IF(L173=1,$J$176,CONCATENATE(L173," * ",$J$176))</f>
        <v>X</v>
      </c>
      <c r="I179" s="3"/>
      <c r="J179" s="36" t="str">
        <f>IF(N173=1,$J$176,CONCATENATE(N173," * ",$J$176))</f>
        <v>X</v>
      </c>
      <c r="K179" s="3"/>
      <c r="L179" s="3"/>
      <c r="M179" s="17"/>
      <c r="N179" s="3"/>
    </row>
    <row r="180" spans="1:14" x14ac:dyDescent="0.35">
      <c r="H180" s="3"/>
      <c r="I180" s="3"/>
      <c r="J180" s="3"/>
      <c r="K180" s="3"/>
      <c r="L180" s="3"/>
      <c r="M180" s="3"/>
      <c r="N180" s="3"/>
    </row>
    <row r="181" spans="1:14" x14ac:dyDescent="0.35">
      <c r="H181" s="3"/>
      <c r="I181" s="3"/>
      <c r="J181" s="3"/>
      <c r="K181" s="3"/>
      <c r="L181" s="3"/>
      <c r="M181" s="3"/>
      <c r="N181" s="3"/>
    </row>
    <row r="182" spans="1:14" x14ac:dyDescent="0.35">
      <c r="B182" s="334" t="s">
        <v>46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" thickBot="1" x14ac:dyDescent="0.4">
      <c r="B184" s="3"/>
      <c r="C184" s="75"/>
      <c r="E184" s="70" t="s">
        <v>45</v>
      </c>
      <c r="F184" s="70"/>
      <c r="G184" s="70"/>
      <c r="H184" s="3"/>
      <c r="I184" s="69" t="s">
        <v>44</v>
      </c>
      <c r="J184" s="3"/>
      <c r="K184" s="3"/>
      <c r="L184" s="3"/>
    </row>
    <row r="185" spans="1:14" x14ac:dyDescent="0.35">
      <c r="B185" s="3"/>
      <c r="C185" s="3"/>
      <c r="E185" s="3" t="s">
        <v>43</v>
      </c>
      <c r="F185" s="3"/>
      <c r="G185" s="3"/>
      <c r="H185" s="3" t="s">
        <v>42</v>
      </c>
      <c r="I185" s="72">
        <f>$V$6</f>
        <v>151446</v>
      </c>
      <c r="J185" s="36" t="s">
        <v>39</v>
      </c>
      <c r="K185" s="74" t="str">
        <f>CONCATENATE("[",$H$176,"]")</f>
        <v>[X]</v>
      </c>
      <c r="L185" s="61" t="s">
        <v>1707</v>
      </c>
    </row>
    <row r="186" spans="1:14" x14ac:dyDescent="0.35">
      <c r="B186" s="3"/>
      <c r="C186" s="3"/>
      <c r="E186" s="3" t="s">
        <v>43</v>
      </c>
      <c r="F186" s="3"/>
      <c r="G186" s="3"/>
      <c r="H186" s="3" t="s">
        <v>40</v>
      </c>
      <c r="I186" s="72">
        <f>$V$11</f>
        <v>530566</v>
      </c>
      <c r="J186" s="36" t="s">
        <v>39</v>
      </c>
      <c r="K186" s="73" t="str">
        <f>CONCATENATE("[",$J$176,"]")</f>
        <v>[X]</v>
      </c>
      <c r="L186" s="61" t="s">
        <v>1707</v>
      </c>
    </row>
    <row r="187" spans="1:14" x14ac:dyDescent="0.35">
      <c r="B187" s="3"/>
      <c r="C187" s="3"/>
      <c r="E187" s="3" t="s">
        <v>41</v>
      </c>
      <c r="F187" s="3"/>
      <c r="G187" s="3"/>
      <c r="H187" s="3" t="s">
        <v>42</v>
      </c>
      <c r="I187" s="72">
        <f>$V$16</f>
        <v>0</v>
      </c>
      <c r="J187" s="36" t="s">
        <v>39</v>
      </c>
      <c r="K187" s="73" t="str">
        <f>CONCATENATE("[",H179,"]")</f>
        <v>[X]</v>
      </c>
      <c r="L187" s="61" t="s">
        <v>1707</v>
      </c>
    </row>
    <row r="188" spans="1:14" ht="15" thickBot="1" x14ac:dyDescent="0.4">
      <c r="B188" s="3"/>
      <c r="C188" s="3"/>
      <c r="E188" s="3" t="s">
        <v>41</v>
      </c>
      <c r="F188" s="3"/>
      <c r="G188" s="3"/>
      <c r="H188" s="3" t="s">
        <v>40</v>
      </c>
      <c r="I188" s="67">
        <f>$V$21</f>
        <v>0</v>
      </c>
      <c r="J188" s="36" t="s">
        <v>39</v>
      </c>
      <c r="K188" s="71" t="str">
        <f>CONCATENATE("[",J179,"]")</f>
        <v>[X]</v>
      </c>
      <c r="L188" s="61" t="s">
        <v>1707</v>
      </c>
    </row>
    <row r="189" spans="1:14" x14ac:dyDescent="0.35">
      <c r="I189" s="28">
        <f>SUM(I185:I188)</f>
        <v>682012</v>
      </c>
      <c r="J189" s="61" t="s">
        <v>2161</v>
      </c>
    </row>
    <row r="191" spans="1:14" x14ac:dyDescent="0.35">
      <c r="A191" s="42"/>
      <c r="B191" s="70" t="s">
        <v>472</v>
      </c>
      <c r="C191" s="3"/>
      <c r="D191" s="3"/>
      <c r="E191" s="3"/>
      <c r="F191" s="3"/>
      <c r="G191" s="3"/>
      <c r="H191" s="3"/>
    </row>
    <row r="192" spans="1:14" x14ac:dyDescent="0.35">
      <c r="A192" s="42"/>
      <c r="B192" s="1225" t="str">
        <f>$A$4</f>
        <v>SC5 Rate I</v>
      </c>
      <c r="C192" s="2"/>
      <c r="D192" s="2"/>
      <c r="E192" s="2"/>
      <c r="F192" s="2"/>
      <c r="G192" s="2"/>
      <c r="H192" s="1"/>
      <c r="I192" s="1226" t="s">
        <v>44</v>
      </c>
    </row>
    <row r="193" spans="1:12" x14ac:dyDescent="0.35">
      <c r="A193" s="42"/>
      <c r="B193" s="2" t="s">
        <v>2152</v>
      </c>
      <c r="C193" s="2"/>
      <c r="D193" s="2"/>
      <c r="E193" s="2"/>
      <c r="F193" s="2"/>
      <c r="G193" s="2"/>
      <c r="H193" s="1"/>
      <c r="I193" s="68">
        <f>I185*L170</f>
        <v>151446</v>
      </c>
      <c r="J193" s="65" t="s">
        <v>32</v>
      </c>
      <c r="K193" s="61" t="s">
        <v>1707</v>
      </c>
    </row>
    <row r="194" spans="1:12" x14ac:dyDescent="0.35">
      <c r="A194" s="42"/>
      <c r="B194" s="2" t="s">
        <v>2153</v>
      </c>
      <c r="C194" s="2"/>
      <c r="D194" s="2"/>
      <c r="E194" s="2"/>
      <c r="F194" s="2"/>
      <c r="G194" s="2"/>
      <c r="H194" s="1"/>
      <c r="I194" s="68">
        <f>I186</f>
        <v>530566</v>
      </c>
      <c r="J194" s="65" t="s">
        <v>32</v>
      </c>
      <c r="K194" s="61" t="s">
        <v>1707</v>
      </c>
    </row>
    <row r="195" spans="1:12" x14ac:dyDescent="0.35">
      <c r="A195" s="42"/>
      <c r="B195" s="2" t="s">
        <v>2154</v>
      </c>
      <c r="C195" s="2"/>
      <c r="D195" s="2"/>
      <c r="E195" s="2"/>
      <c r="F195" s="2"/>
      <c r="G195" s="2"/>
      <c r="H195" s="1"/>
      <c r="I195" s="68">
        <f>I187*L173</f>
        <v>0</v>
      </c>
      <c r="J195" s="65" t="s">
        <v>32</v>
      </c>
      <c r="K195" s="61" t="s">
        <v>1707</v>
      </c>
    </row>
    <row r="196" spans="1:12" x14ac:dyDescent="0.35">
      <c r="A196" s="42"/>
      <c r="B196" s="2" t="s">
        <v>2155</v>
      </c>
      <c r="C196" s="2"/>
      <c r="D196" s="2"/>
      <c r="E196" s="2"/>
      <c r="F196" s="2"/>
      <c r="G196" s="2"/>
      <c r="H196" s="1"/>
      <c r="I196" s="67">
        <f>I188*N173</f>
        <v>0</v>
      </c>
      <c r="J196" s="65" t="s">
        <v>32</v>
      </c>
      <c r="K196" s="61" t="s">
        <v>1707</v>
      </c>
    </row>
    <row r="197" spans="1:12" x14ac:dyDescent="0.35">
      <c r="A197" s="42"/>
      <c r="B197" s="2" t="s">
        <v>2156</v>
      </c>
      <c r="C197" s="2"/>
      <c r="D197" s="2"/>
      <c r="E197" s="2"/>
      <c r="F197" s="1"/>
      <c r="G197" s="520">
        <f>I163</f>
        <v>25852</v>
      </c>
      <c r="H197" s="1227" t="s">
        <v>31</v>
      </c>
      <c r="I197" s="220">
        <f>SUM(I193:I196)</f>
        <v>682012</v>
      </c>
      <c r="J197" s="65" t="s">
        <v>32</v>
      </c>
      <c r="K197" s="61" t="s">
        <v>1709</v>
      </c>
    </row>
    <row r="198" spans="1:12" x14ac:dyDescent="0.35">
      <c r="A198" s="42"/>
      <c r="B198" s="3"/>
      <c r="C198" s="3"/>
      <c r="D198" s="3"/>
      <c r="E198" s="3"/>
      <c r="G198" s="3"/>
      <c r="H198" s="3"/>
      <c r="I198" s="3"/>
      <c r="J198" s="3"/>
      <c r="K198" s="61"/>
    </row>
    <row r="199" spans="1:12" x14ac:dyDescent="0.35">
      <c r="A199" s="42"/>
      <c r="B199" s="3"/>
      <c r="C199" s="3"/>
      <c r="D199" s="3"/>
      <c r="E199" s="3"/>
      <c r="G199" s="34">
        <f>G197</f>
        <v>25852</v>
      </c>
      <c r="H199" s="63" t="s">
        <v>31</v>
      </c>
      <c r="I199" s="28">
        <f>I197</f>
        <v>682012</v>
      </c>
      <c r="J199" s="65" t="s">
        <v>32</v>
      </c>
      <c r="K199" s="61" t="s">
        <v>2162</v>
      </c>
    </row>
    <row r="200" spans="1:12" ht="15" thickBot="1" x14ac:dyDescent="0.4">
      <c r="A200" s="42"/>
      <c r="B200" s="3"/>
      <c r="C200" s="3"/>
      <c r="D200" s="3"/>
      <c r="E200" s="3"/>
      <c r="G200" s="3"/>
      <c r="H200" s="3"/>
      <c r="I200" s="3"/>
    </row>
    <row r="201" spans="1:12" ht="15.5" thickTop="1" thickBot="1" x14ac:dyDescent="0.4">
      <c r="A201" s="42"/>
      <c r="B201" s="3"/>
      <c r="C201" s="3"/>
      <c r="D201" s="3"/>
      <c r="E201" s="3"/>
      <c r="G201" s="64" t="s">
        <v>32</v>
      </c>
      <c r="H201" s="63" t="s">
        <v>31</v>
      </c>
      <c r="I201" s="62">
        <f>ROUND(G199/I199,4)</f>
        <v>3.7900000000000003E-2</v>
      </c>
      <c r="J201" s="61" t="s">
        <v>2164</v>
      </c>
      <c r="K201" s="61" t="s">
        <v>2163</v>
      </c>
    </row>
    <row r="202" spans="1:12" ht="15.5" thickTop="1" thickBot="1" x14ac:dyDescent="0.4">
      <c r="A202" s="42"/>
      <c r="B202" s="3"/>
      <c r="C202" s="3"/>
      <c r="D202" s="3"/>
      <c r="E202" s="3"/>
      <c r="F202" s="3"/>
      <c r="G202" s="3"/>
      <c r="H202" s="3"/>
      <c r="I202" s="3"/>
    </row>
    <row r="203" spans="1:12" ht="15" thickBot="1" x14ac:dyDescent="0.4">
      <c r="A203" s="42"/>
      <c r="B203" s="3"/>
      <c r="C203" s="3"/>
      <c r="D203" s="3"/>
      <c r="E203" s="3"/>
      <c r="F203" s="60"/>
      <c r="G203" s="59"/>
      <c r="H203" s="59"/>
      <c r="I203" s="59"/>
      <c r="J203" s="58"/>
      <c r="K203" s="58"/>
      <c r="L203" s="57"/>
    </row>
    <row r="204" spans="1:12" ht="15.5" thickTop="1" thickBot="1" x14ac:dyDescent="0.4">
      <c r="F204" s="50"/>
      <c r="G204" s="44"/>
      <c r="H204" s="44"/>
      <c r="I204" s="1313" t="s">
        <v>29</v>
      </c>
      <c r="J204" s="1314"/>
      <c r="K204" s="1315"/>
      <c r="L204" s="48"/>
    </row>
    <row r="205" spans="1:12" ht="15" thickTop="1" x14ac:dyDescent="0.35">
      <c r="F205" s="50"/>
      <c r="G205" s="44"/>
      <c r="H205" s="44"/>
      <c r="I205" s="56" t="s">
        <v>10</v>
      </c>
      <c r="J205" s="44"/>
      <c r="K205" s="56" t="s">
        <v>7</v>
      </c>
      <c r="L205" s="48"/>
    </row>
    <row r="206" spans="1:12" x14ac:dyDescent="0.35">
      <c r="F206" s="50"/>
      <c r="G206" s="44"/>
      <c r="H206" s="44"/>
      <c r="I206" s="51"/>
      <c r="J206" s="52"/>
      <c r="K206" s="51"/>
      <c r="L206" s="48"/>
    </row>
    <row r="207" spans="1:12" x14ac:dyDescent="0.35">
      <c r="F207" s="50"/>
      <c r="G207" s="44" t="s">
        <v>9</v>
      </c>
      <c r="H207" s="44"/>
      <c r="I207" s="49">
        <f>ROUND($I$201*L170,4)</f>
        <v>3.7900000000000003E-2</v>
      </c>
      <c r="J207" s="54" t="s">
        <v>2165</v>
      </c>
      <c r="K207" s="55">
        <f>I201</f>
        <v>3.7900000000000003E-2</v>
      </c>
      <c r="L207" s="359" t="s">
        <v>2166</v>
      </c>
    </row>
    <row r="208" spans="1:12" x14ac:dyDescent="0.35">
      <c r="F208" s="50"/>
      <c r="G208" s="44"/>
      <c r="H208" s="44"/>
      <c r="I208" s="53"/>
      <c r="J208" s="54"/>
      <c r="K208" s="53"/>
      <c r="L208" s="359"/>
    </row>
    <row r="209" spans="1:17" x14ac:dyDescent="0.35">
      <c r="F209" s="50"/>
      <c r="G209" s="44"/>
      <c r="H209" s="44"/>
      <c r="I209" s="51"/>
      <c r="J209" s="52"/>
      <c r="K209" s="51"/>
      <c r="L209" s="359"/>
    </row>
    <row r="210" spans="1:17" x14ac:dyDescent="0.35">
      <c r="F210" s="50"/>
      <c r="G210" s="44" t="s">
        <v>8</v>
      </c>
      <c r="H210" s="44"/>
      <c r="I210" s="49">
        <f>ROUND($I$201*L173,4)</f>
        <v>3.7900000000000003E-2</v>
      </c>
      <c r="J210" s="54" t="s">
        <v>2167</v>
      </c>
      <c r="K210" s="49">
        <f>ROUND($I$201*N173,4)</f>
        <v>3.7900000000000003E-2</v>
      </c>
      <c r="L210" s="359" t="s">
        <v>2168</v>
      </c>
    </row>
    <row r="211" spans="1:17" ht="15" thickBot="1" x14ac:dyDescent="0.4">
      <c r="A211" s="406"/>
      <c r="F211" s="47"/>
      <c r="G211" s="46"/>
      <c r="H211" s="46"/>
      <c r="I211" s="46"/>
      <c r="J211" s="46"/>
      <c r="K211" s="46"/>
      <c r="L211" s="45"/>
    </row>
    <row r="212" spans="1:17" x14ac:dyDescent="0.35">
      <c r="A212" s="406"/>
      <c r="F212" s="43"/>
      <c r="G212" s="44"/>
      <c r="H212" s="44"/>
      <c r="I212" s="44"/>
      <c r="J212" s="44"/>
      <c r="K212" s="44"/>
      <c r="L212" s="43"/>
    </row>
    <row r="213" spans="1:17" x14ac:dyDescent="0.35">
      <c r="A213" s="334" t="s">
        <v>1539</v>
      </c>
    </row>
    <row r="214" spans="1:17" x14ac:dyDescent="0.35">
      <c r="A214" s="334"/>
    </row>
    <row r="215" spans="1:17" x14ac:dyDescent="0.35">
      <c r="A215" s="334"/>
      <c r="B215" s="41" t="str">
        <f>$A$4</f>
        <v>SC5 Rate I</v>
      </c>
    </row>
    <row r="216" spans="1:17" x14ac:dyDescent="0.35">
      <c r="A216" s="410"/>
      <c r="B216" s="407" t="s">
        <v>5</v>
      </c>
      <c r="D216" s="1345">
        <f>L4</f>
        <v>2020</v>
      </c>
      <c r="E216" s="1345"/>
      <c r="F216" s="3"/>
      <c r="G216" s="3"/>
      <c r="H216" s="3"/>
      <c r="I216" s="3"/>
      <c r="J216" s="3"/>
      <c r="K216" s="3"/>
      <c r="L216" s="3"/>
      <c r="M216" s="17"/>
      <c r="N216" s="3"/>
      <c r="O216" s="3"/>
      <c r="P216" s="2"/>
    </row>
    <row r="217" spans="1:17" x14ac:dyDescent="0.35">
      <c r="A217" s="410"/>
      <c r="B217" s="3"/>
      <c r="C217" s="3"/>
      <c r="D217" s="3"/>
      <c r="E217" s="3"/>
      <c r="F217" s="3"/>
      <c r="G217" s="3"/>
      <c r="H217" s="3"/>
      <c r="I217" s="3"/>
      <c r="K217" s="3"/>
      <c r="L217" s="3"/>
      <c r="M217" s="36" t="s">
        <v>10</v>
      </c>
      <c r="N217" s="3"/>
      <c r="O217" s="3"/>
      <c r="P217" s="2"/>
    </row>
    <row r="218" spans="1:17" x14ac:dyDescent="0.35">
      <c r="A218" s="3"/>
      <c r="B218" s="3"/>
      <c r="C218" s="3"/>
      <c r="D218" s="3"/>
      <c r="E218" s="3"/>
      <c r="F218" s="3"/>
      <c r="G218" s="3"/>
      <c r="H218" s="3"/>
      <c r="I218" s="3"/>
      <c r="K218" s="30" t="s">
        <v>15</v>
      </c>
      <c r="L218" s="3"/>
      <c r="M218" s="30" t="s">
        <v>14</v>
      </c>
      <c r="N218" s="3"/>
      <c r="O218" s="3"/>
      <c r="P218" s="2"/>
    </row>
    <row r="219" spans="1:17" x14ac:dyDescent="0.35">
      <c r="C219" s="835" t="s">
        <v>27</v>
      </c>
      <c r="D219" s="3"/>
      <c r="E219" s="3"/>
      <c r="F219" s="3"/>
      <c r="G219" s="30" t="s">
        <v>26</v>
      </c>
      <c r="H219" s="3"/>
      <c r="I219" s="30" t="s">
        <v>25</v>
      </c>
      <c r="J219" s="3"/>
      <c r="K219" s="30" t="s">
        <v>11</v>
      </c>
      <c r="L219" s="3"/>
      <c r="M219" s="30" t="s">
        <v>6</v>
      </c>
      <c r="N219" s="3"/>
      <c r="O219" s="3"/>
      <c r="P219" s="2"/>
      <c r="Q219" s="2"/>
    </row>
    <row r="220" spans="1:17" x14ac:dyDescent="0.35">
      <c r="B220" s="3"/>
      <c r="C220" s="3" t="s">
        <v>9</v>
      </c>
      <c r="D220" s="36">
        <f>D83</f>
        <v>0</v>
      </c>
      <c r="E220" s="36" t="str">
        <f>E83</f>
        <v>-</v>
      </c>
      <c r="F220" s="36">
        <f>F83</f>
        <v>5</v>
      </c>
      <c r="G220" s="29">
        <f>T6</f>
        <v>10</v>
      </c>
      <c r="H220" s="3"/>
      <c r="I220" s="29">
        <f>U6</f>
        <v>180</v>
      </c>
      <c r="J220" s="3"/>
      <c r="K220" s="35">
        <f>H145</f>
        <v>212.21</v>
      </c>
      <c r="L220" s="3"/>
      <c r="M220" s="278">
        <f>ROUND(K220*(I220/F220),0)</f>
        <v>7640</v>
      </c>
      <c r="N220" s="3"/>
      <c r="O220" s="3"/>
      <c r="P220" s="2"/>
      <c r="Q220" s="2"/>
    </row>
    <row r="221" spans="1:17" x14ac:dyDescent="0.35">
      <c r="B221" s="3"/>
      <c r="C221" s="3"/>
      <c r="D221" s="36"/>
      <c r="E221" s="36" t="str">
        <f>E$85</f>
        <v>&gt;</v>
      </c>
      <c r="F221" s="36">
        <f>F$85</f>
        <v>5</v>
      </c>
      <c r="G221" s="29">
        <f>T7</f>
        <v>26</v>
      </c>
      <c r="H221" s="3"/>
      <c r="I221" s="29">
        <f>U7</f>
        <v>190</v>
      </c>
      <c r="J221" s="3"/>
      <c r="K221" s="35">
        <f>H147</f>
        <v>34.659999999999997</v>
      </c>
      <c r="L221" s="3"/>
      <c r="M221" s="26">
        <f>ROUND(K221*I221,0)</f>
        <v>6585</v>
      </c>
      <c r="N221" s="3"/>
      <c r="O221" s="3"/>
      <c r="P221" s="2"/>
      <c r="Q221" s="2"/>
    </row>
    <row r="222" spans="1:17" x14ac:dyDescent="0.35">
      <c r="B222" s="3"/>
      <c r="C222" s="3"/>
      <c r="D222" s="36"/>
      <c r="E222" s="36"/>
      <c r="F222" s="36"/>
      <c r="G222" s="38">
        <f>T8</f>
        <v>0</v>
      </c>
      <c r="H222" s="3"/>
      <c r="I222" s="38">
        <f>U8</f>
        <v>0</v>
      </c>
      <c r="J222" s="3"/>
      <c r="K222" s="35"/>
      <c r="L222" s="3"/>
      <c r="M222" s="37">
        <f>ROUND(K222*I222,0)</f>
        <v>0</v>
      </c>
      <c r="N222" s="3"/>
      <c r="O222" s="3"/>
      <c r="P222" s="2"/>
      <c r="Q222" s="2"/>
    </row>
    <row r="223" spans="1:17" x14ac:dyDescent="0.35">
      <c r="B223" s="3"/>
      <c r="C223" s="3"/>
      <c r="D223" s="36"/>
      <c r="E223" s="36"/>
      <c r="F223" s="36"/>
      <c r="G223" s="28">
        <f>G220+G221+G222</f>
        <v>36</v>
      </c>
      <c r="H223" s="3"/>
      <c r="I223" s="28">
        <f>I220+I221+I222</f>
        <v>370</v>
      </c>
      <c r="J223" s="3"/>
      <c r="K223" s="35"/>
      <c r="L223" s="3"/>
      <c r="M223" s="34">
        <f>M220+M221+M222</f>
        <v>14225</v>
      </c>
      <c r="N223" s="34"/>
      <c r="O223" s="36" t="s">
        <v>10</v>
      </c>
      <c r="P223" s="2"/>
      <c r="Q223" s="2"/>
    </row>
    <row r="224" spans="1:17" x14ac:dyDescent="0.35">
      <c r="B224" s="3"/>
      <c r="C224" s="3"/>
      <c r="D224" s="36"/>
      <c r="E224" s="36"/>
      <c r="F224" s="36"/>
      <c r="G224" s="28"/>
      <c r="H224" s="3"/>
      <c r="I224" s="28"/>
      <c r="J224" s="3"/>
      <c r="K224" s="35"/>
      <c r="L224" s="33" t="s">
        <v>22</v>
      </c>
      <c r="M224" s="34">
        <f>ROUND(M223*(O224-1),0)</f>
        <v>170</v>
      </c>
      <c r="N224" s="33" t="s">
        <v>23</v>
      </c>
      <c r="O224" s="40">
        <f>L10</f>
        <v>1.0119199999999999</v>
      </c>
      <c r="P224" s="2"/>
      <c r="Q224" s="2"/>
    </row>
    <row r="225" spans="2:17" x14ac:dyDescent="0.35">
      <c r="B225" s="3"/>
      <c r="C225" s="3"/>
      <c r="D225" s="36"/>
      <c r="E225" s="36"/>
      <c r="F225" s="36"/>
      <c r="G225" s="28"/>
      <c r="H225" s="3"/>
      <c r="I225" s="28"/>
      <c r="J225" s="3"/>
      <c r="K225" s="35"/>
      <c r="L225" s="33" t="s">
        <v>21</v>
      </c>
      <c r="M225" s="32">
        <f>M223+M224</f>
        <v>14395</v>
      </c>
      <c r="N225" s="8"/>
      <c r="O225" s="3"/>
      <c r="P225" s="2"/>
      <c r="Q225" s="2"/>
    </row>
    <row r="226" spans="2:17" x14ac:dyDescent="0.3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  <c r="Q226" s="2"/>
    </row>
    <row r="227" spans="2:17" x14ac:dyDescent="0.35">
      <c r="B227" s="3"/>
      <c r="C227" s="3" t="s">
        <v>8</v>
      </c>
      <c r="D227" s="36">
        <f>D220</f>
        <v>0</v>
      </c>
      <c r="E227" s="36" t="str">
        <f>E220</f>
        <v>-</v>
      </c>
      <c r="F227" s="36">
        <f>F220</f>
        <v>5</v>
      </c>
      <c r="G227" s="29">
        <f>T16</f>
        <v>0</v>
      </c>
      <c r="H227" s="3"/>
      <c r="I227" s="29">
        <f>U16</f>
        <v>0</v>
      </c>
      <c r="J227" s="3"/>
      <c r="K227" s="35">
        <f>H149</f>
        <v>163.85</v>
      </c>
      <c r="L227" s="3"/>
      <c r="M227" s="278">
        <f>ROUND(K227*(I227/F227),0)</f>
        <v>0</v>
      </c>
      <c r="N227" s="3"/>
      <c r="O227" s="3"/>
      <c r="P227" s="2"/>
      <c r="Q227" s="2"/>
    </row>
    <row r="228" spans="2:17" x14ac:dyDescent="0.35">
      <c r="B228" s="3"/>
      <c r="C228" s="3"/>
      <c r="D228" s="36"/>
      <c r="E228" s="36" t="str">
        <f>E221</f>
        <v>&gt;</v>
      </c>
      <c r="F228" s="36">
        <f>F221</f>
        <v>5</v>
      </c>
      <c r="G228" s="29">
        <f>T17</f>
        <v>0</v>
      </c>
      <c r="H228" s="3"/>
      <c r="I228" s="29">
        <f>U17</f>
        <v>0</v>
      </c>
      <c r="J228" s="3"/>
      <c r="K228" s="35">
        <f>H151</f>
        <v>26.299999999999997</v>
      </c>
      <c r="L228" s="3"/>
      <c r="M228" s="26">
        <f>ROUND(K228*I228,0)</f>
        <v>0</v>
      </c>
      <c r="N228" s="3"/>
      <c r="O228" s="3"/>
      <c r="P228" s="2"/>
      <c r="Q228" s="2"/>
    </row>
    <row r="229" spans="2:17" x14ac:dyDescent="0.35">
      <c r="B229" s="3"/>
      <c r="C229" s="3"/>
      <c r="D229" s="36"/>
      <c r="E229" s="36"/>
      <c r="F229" s="36"/>
      <c r="G229" s="38">
        <f>T18</f>
        <v>0</v>
      </c>
      <c r="H229" s="3"/>
      <c r="I229" s="38">
        <f>U18</f>
        <v>0</v>
      </c>
      <c r="J229" s="3"/>
      <c r="K229" s="35"/>
      <c r="L229" s="3"/>
      <c r="M229" s="37">
        <f>ROUND(K229*I229,0)</f>
        <v>0</v>
      </c>
      <c r="N229" s="3"/>
      <c r="O229" s="3"/>
      <c r="P229" s="2"/>
      <c r="Q229" s="2"/>
    </row>
    <row r="230" spans="2:17" x14ac:dyDescent="0.35">
      <c r="B230" s="3"/>
      <c r="C230" s="3"/>
      <c r="D230" s="36"/>
      <c r="E230" s="36"/>
      <c r="F230" s="36"/>
      <c r="G230" s="28">
        <f>G227+G228+G229</f>
        <v>0</v>
      </c>
      <c r="H230" s="3"/>
      <c r="I230" s="28">
        <f>I227+I228+I229</f>
        <v>0</v>
      </c>
      <c r="J230" s="3"/>
      <c r="K230" s="35"/>
      <c r="L230" s="3"/>
      <c r="M230" s="34">
        <f>M227+M228+M229</f>
        <v>0</v>
      </c>
      <c r="N230" s="3"/>
      <c r="O230" s="3"/>
      <c r="P230" s="2"/>
      <c r="Q230" s="2"/>
    </row>
    <row r="231" spans="2:17" x14ac:dyDescent="0.35">
      <c r="B231" s="3"/>
      <c r="C231" s="3"/>
      <c r="D231" s="36"/>
      <c r="E231" s="36"/>
      <c r="F231" s="36"/>
      <c r="G231" s="28"/>
      <c r="H231" s="3"/>
      <c r="I231" s="28"/>
      <c r="J231" s="3"/>
      <c r="K231" s="35"/>
      <c r="L231" s="33" t="s">
        <v>22</v>
      </c>
      <c r="M231" s="34">
        <f>ROUND(M230*(O224-1),0)</f>
        <v>0</v>
      </c>
      <c r="N231" s="3"/>
      <c r="O231" s="3"/>
      <c r="P231" s="2"/>
      <c r="Q231" s="2"/>
    </row>
    <row r="232" spans="2:17" x14ac:dyDescent="0.35">
      <c r="B232" s="3"/>
      <c r="C232" s="3"/>
      <c r="D232" s="36"/>
      <c r="E232" s="36"/>
      <c r="F232" s="36"/>
      <c r="G232" s="28"/>
      <c r="H232" s="3"/>
      <c r="I232" s="28"/>
      <c r="J232" s="3"/>
      <c r="K232" s="35"/>
      <c r="L232" s="33" t="s">
        <v>21</v>
      </c>
      <c r="M232" s="32">
        <f>M230+M231</f>
        <v>0</v>
      </c>
      <c r="N232" s="8"/>
      <c r="O232" s="3"/>
      <c r="P232" s="2"/>
      <c r="Q232" s="2"/>
    </row>
    <row r="233" spans="2:17" x14ac:dyDescent="0.3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"/>
      <c r="Q233" s="2"/>
    </row>
    <row r="234" spans="2:17" x14ac:dyDescent="0.3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"/>
      <c r="Q234" s="2"/>
    </row>
    <row r="235" spans="2:17" x14ac:dyDescent="0.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6" t="s">
        <v>7</v>
      </c>
      <c r="N235" s="17"/>
      <c r="O235" s="3"/>
      <c r="P235" s="2"/>
      <c r="Q235" s="2"/>
    </row>
    <row r="236" spans="2:17" x14ac:dyDescent="0.35">
      <c r="B236" s="3"/>
      <c r="C236" s="3"/>
      <c r="D236" s="3"/>
      <c r="E236" s="3"/>
      <c r="F236" s="3"/>
      <c r="G236" s="3"/>
      <c r="H236" s="3"/>
      <c r="I236" s="3"/>
      <c r="J236" s="3"/>
      <c r="K236" s="30" t="s">
        <v>15</v>
      </c>
      <c r="L236" s="3"/>
      <c r="M236" s="30" t="s">
        <v>14</v>
      </c>
      <c r="N236" s="17"/>
      <c r="O236" s="3"/>
      <c r="P236" s="2"/>
      <c r="Q236" s="2"/>
    </row>
    <row r="237" spans="2:17" x14ac:dyDescent="0.35">
      <c r="C237" s="835" t="s">
        <v>24</v>
      </c>
      <c r="D237" s="3"/>
      <c r="E237" s="3"/>
      <c r="F237" s="3"/>
      <c r="G237" s="3"/>
      <c r="H237" s="3"/>
      <c r="I237" s="3"/>
      <c r="J237" s="3"/>
      <c r="K237" s="30" t="s">
        <v>11</v>
      </c>
      <c r="L237" s="3"/>
      <c r="M237" s="30" t="s">
        <v>6</v>
      </c>
      <c r="N237" s="17"/>
      <c r="O237" s="3"/>
      <c r="P237" s="2"/>
      <c r="Q237" s="2"/>
    </row>
    <row r="238" spans="2:17" x14ac:dyDescent="0.35">
      <c r="B238" s="3"/>
      <c r="C238" s="410" t="s">
        <v>9</v>
      </c>
      <c r="D238" s="36">
        <f>D220</f>
        <v>0</v>
      </c>
      <c r="E238" s="36" t="str">
        <f>E220</f>
        <v>-</v>
      </c>
      <c r="F238" s="36">
        <f>F220</f>
        <v>5</v>
      </c>
      <c r="G238" s="29">
        <f>T11</f>
        <v>14</v>
      </c>
      <c r="H238" s="3"/>
      <c r="I238" s="29">
        <f>U11</f>
        <v>370</v>
      </c>
      <c r="J238" s="3"/>
      <c r="K238" s="35">
        <f>J145</f>
        <v>139.19999999999999</v>
      </c>
      <c r="L238" s="3"/>
      <c r="M238" s="278">
        <f>ROUND(K238*(I238/F238),0)</f>
        <v>10301</v>
      </c>
      <c r="N238" s="17"/>
      <c r="O238" s="3"/>
      <c r="P238" s="2"/>
      <c r="Q238" s="2"/>
    </row>
    <row r="239" spans="2:17" x14ac:dyDescent="0.35">
      <c r="B239" s="3"/>
      <c r="C239" s="3"/>
      <c r="D239" s="36"/>
      <c r="E239" s="36" t="str">
        <f>E221</f>
        <v>&gt;</v>
      </c>
      <c r="F239" s="36">
        <f>F221</f>
        <v>5</v>
      </c>
      <c r="G239" s="29">
        <f>T12</f>
        <v>59.999999999999993</v>
      </c>
      <c r="H239" s="3"/>
      <c r="I239" s="29">
        <f>U12</f>
        <v>1056</v>
      </c>
      <c r="J239" s="3"/>
      <c r="K239" s="35">
        <f>J147</f>
        <v>22.06</v>
      </c>
      <c r="L239" s="3"/>
      <c r="M239" s="26">
        <f>ROUND(K239*I239,0)</f>
        <v>23295</v>
      </c>
      <c r="N239" s="17"/>
      <c r="O239" s="3"/>
      <c r="P239" s="2"/>
      <c r="Q239" s="2"/>
    </row>
    <row r="240" spans="2:17" x14ac:dyDescent="0.35">
      <c r="B240" s="3"/>
      <c r="C240" s="3"/>
      <c r="D240" s="36"/>
      <c r="E240" s="36"/>
      <c r="F240" s="36"/>
      <c r="G240" s="38">
        <f>T13</f>
        <v>0</v>
      </c>
      <c r="H240" s="3"/>
      <c r="I240" s="38">
        <f>U13</f>
        <v>0</v>
      </c>
      <c r="J240" s="3"/>
      <c r="K240" s="35"/>
      <c r="L240" s="3"/>
      <c r="M240" s="37">
        <f>ROUND(K240*I240,0)</f>
        <v>0</v>
      </c>
      <c r="N240" s="17"/>
      <c r="O240" s="3"/>
      <c r="P240" s="2"/>
      <c r="Q240" s="2"/>
    </row>
    <row r="241" spans="2:17" x14ac:dyDescent="0.35">
      <c r="B241" s="3"/>
      <c r="C241" s="3"/>
      <c r="D241" s="36"/>
      <c r="E241" s="36"/>
      <c r="F241" s="36"/>
      <c r="G241" s="28">
        <f>G238+G239+G240</f>
        <v>74</v>
      </c>
      <c r="H241" s="3"/>
      <c r="I241" s="28">
        <f>I238+I239+I240</f>
        <v>1426</v>
      </c>
      <c r="J241" s="3"/>
      <c r="K241" s="35"/>
      <c r="L241" s="3"/>
      <c r="M241" s="34">
        <f>M238+M239+M240</f>
        <v>33596</v>
      </c>
      <c r="N241" s="3"/>
      <c r="O241" s="36" t="s">
        <v>7</v>
      </c>
      <c r="P241" s="2"/>
      <c r="Q241" s="2"/>
    </row>
    <row r="242" spans="2:17" x14ac:dyDescent="0.35">
      <c r="B242" s="3"/>
      <c r="C242" s="3"/>
      <c r="D242" s="36"/>
      <c r="E242" s="36"/>
      <c r="F242" s="36"/>
      <c r="G242" s="28"/>
      <c r="H242" s="3"/>
      <c r="I242" s="28"/>
      <c r="J242" s="3"/>
      <c r="K242" s="35"/>
      <c r="L242" s="33" t="s">
        <v>22</v>
      </c>
      <c r="M242" s="34">
        <f>ROUND(M241*(O242-1),0)</f>
        <v>358</v>
      </c>
      <c r="N242" s="33" t="s">
        <v>23</v>
      </c>
      <c r="O242" s="40">
        <f>L11</f>
        <v>1.01067</v>
      </c>
      <c r="P242" s="2"/>
      <c r="Q242" s="2"/>
    </row>
    <row r="243" spans="2:17" x14ac:dyDescent="0.35">
      <c r="B243" s="3"/>
      <c r="C243" s="3"/>
      <c r="D243" s="36"/>
      <c r="E243" s="36"/>
      <c r="F243" s="36"/>
      <c r="G243" s="28"/>
      <c r="H243" s="3"/>
      <c r="I243" s="28"/>
      <c r="J243" s="3"/>
      <c r="K243" s="35"/>
      <c r="L243" s="33" t="s">
        <v>21</v>
      </c>
      <c r="M243" s="32">
        <f>M241+M242</f>
        <v>33954</v>
      </c>
      <c r="N243" s="8"/>
      <c r="O243" s="3"/>
      <c r="P243" s="2"/>
      <c r="Q243" s="2"/>
    </row>
    <row r="244" spans="2:17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"/>
      <c r="Q244" s="2"/>
    </row>
    <row r="245" spans="2:17" x14ac:dyDescent="0.35">
      <c r="B245" s="3"/>
      <c r="C245" s="3" t="s">
        <v>8</v>
      </c>
      <c r="D245" s="36">
        <f>D220</f>
        <v>0</v>
      </c>
      <c r="E245" s="36" t="str">
        <f>E220</f>
        <v>-</v>
      </c>
      <c r="F245" s="36">
        <f>F220</f>
        <v>5</v>
      </c>
      <c r="G245" s="29">
        <f>T21</f>
        <v>0</v>
      </c>
      <c r="H245" s="3"/>
      <c r="I245" s="29">
        <f>U21</f>
        <v>0</v>
      </c>
      <c r="J245" s="3"/>
      <c r="K245" s="35">
        <f>J149</f>
        <v>90.84</v>
      </c>
      <c r="L245" s="3"/>
      <c r="M245" s="278">
        <f>ROUND(K245*(I245/F245),0)</f>
        <v>0</v>
      </c>
      <c r="N245" s="17"/>
      <c r="O245" s="3"/>
      <c r="P245" s="2"/>
      <c r="Q245" s="2"/>
    </row>
    <row r="246" spans="2:17" x14ac:dyDescent="0.35">
      <c r="B246" s="3"/>
      <c r="C246" s="3"/>
      <c r="D246" s="36"/>
      <c r="E246" s="36" t="str">
        <f>E221</f>
        <v>&gt;</v>
      </c>
      <c r="F246" s="36">
        <f>F221</f>
        <v>5</v>
      </c>
      <c r="G246" s="29">
        <f>T22</f>
        <v>0</v>
      </c>
      <c r="H246" s="3"/>
      <c r="I246" s="29">
        <f>U22</f>
        <v>0</v>
      </c>
      <c r="J246" s="3"/>
      <c r="K246" s="35">
        <f>J151</f>
        <v>13.709999999999999</v>
      </c>
      <c r="L246" s="3"/>
      <c r="M246" s="26">
        <f>ROUND(K246*I246,0)</f>
        <v>0</v>
      </c>
      <c r="N246" s="17"/>
      <c r="O246" s="3"/>
      <c r="P246" s="2"/>
      <c r="Q246" s="2"/>
    </row>
    <row r="247" spans="2:17" x14ac:dyDescent="0.35">
      <c r="B247" s="3"/>
      <c r="C247" s="3"/>
      <c r="D247" s="36"/>
      <c r="E247" s="36"/>
      <c r="F247" s="36"/>
      <c r="G247" s="38">
        <f>T23</f>
        <v>0</v>
      </c>
      <c r="H247" s="3"/>
      <c r="I247" s="38">
        <f>U23</f>
        <v>0</v>
      </c>
      <c r="J247" s="3"/>
      <c r="K247" s="35"/>
      <c r="L247" s="3"/>
      <c r="M247" s="37">
        <f>ROUND(K247*I247,0)</f>
        <v>0</v>
      </c>
      <c r="N247" s="17"/>
      <c r="O247" s="3"/>
      <c r="P247" s="2"/>
      <c r="Q247" s="2"/>
    </row>
    <row r="248" spans="2:17" x14ac:dyDescent="0.35">
      <c r="B248" s="3"/>
      <c r="C248" s="3"/>
      <c r="D248" s="36"/>
      <c r="E248" s="36"/>
      <c r="F248" s="36"/>
      <c r="G248" s="28">
        <f>G245+G246+G247</f>
        <v>0</v>
      </c>
      <c r="H248" s="3"/>
      <c r="I248" s="28">
        <f>I245+I246+I247</f>
        <v>0</v>
      </c>
      <c r="J248" s="3"/>
      <c r="K248" s="35"/>
      <c r="L248" s="3"/>
      <c r="M248" s="34">
        <f>M245+M246+M247</f>
        <v>0</v>
      </c>
      <c r="N248" s="17"/>
      <c r="O248" s="3"/>
      <c r="P248" s="2"/>
      <c r="Q248" s="2"/>
    </row>
    <row r="249" spans="2:17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3" t="s">
        <v>22</v>
      </c>
      <c r="M249" s="34">
        <f>ROUND(M248*(O242-1),0)</f>
        <v>0</v>
      </c>
      <c r="N249" s="17"/>
      <c r="O249" s="3"/>
      <c r="P249" s="2"/>
      <c r="Q249" s="2"/>
    </row>
    <row r="250" spans="2:17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3" t="s">
        <v>21</v>
      </c>
      <c r="M250" s="32">
        <f>M248+M249</f>
        <v>0</v>
      </c>
      <c r="N250" s="8"/>
      <c r="O250" s="3"/>
      <c r="P250" s="2"/>
      <c r="Q250" s="2"/>
    </row>
    <row r="251" spans="2:17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  <c r="Q251" s="2"/>
    </row>
    <row r="252" spans="2:17" x14ac:dyDescent="0.35">
      <c r="B252" s="3"/>
      <c r="C252" s="3" t="s">
        <v>20</v>
      </c>
      <c r="D252" s="3"/>
      <c r="E252" s="3"/>
      <c r="F252" s="3"/>
      <c r="G252" s="3"/>
      <c r="H252" s="3"/>
      <c r="I252" s="3"/>
      <c r="J252" s="3"/>
      <c r="K252" s="3"/>
      <c r="L252" s="3"/>
      <c r="M252" s="32">
        <f>M225+M232+M243+M250</f>
        <v>48349</v>
      </c>
      <c r="N252" s="17"/>
      <c r="O252" s="3"/>
      <c r="P252" s="2"/>
      <c r="Q252" s="2"/>
    </row>
    <row r="253" spans="2:17" x14ac:dyDescent="0.35">
      <c r="B253" s="3"/>
      <c r="C253" s="3" t="s">
        <v>19</v>
      </c>
      <c r="D253" s="3"/>
      <c r="E253" s="3"/>
      <c r="F253" s="3"/>
      <c r="G253" s="3"/>
      <c r="H253" s="3"/>
      <c r="I253" s="3"/>
      <c r="J253" s="3"/>
      <c r="K253" s="3"/>
      <c r="L253" s="3"/>
      <c r="M253" s="26">
        <f>L24+L25</f>
        <v>0</v>
      </c>
      <c r="N253" s="17"/>
      <c r="O253" s="3"/>
      <c r="P253" s="2"/>
      <c r="Q253" s="2"/>
    </row>
    <row r="254" spans="2:17" x14ac:dyDescent="0.35">
      <c r="B254" s="3"/>
      <c r="C254" s="3" t="s">
        <v>18</v>
      </c>
      <c r="D254" s="3"/>
      <c r="E254" s="3"/>
      <c r="F254" s="3"/>
      <c r="G254" s="3"/>
      <c r="H254" s="3"/>
      <c r="I254" s="3"/>
      <c r="J254" s="3"/>
      <c r="K254" s="3"/>
      <c r="L254" s="3"/>
      <c r="M254" s="26">
        <f>ROUND((J65+J66)*$L$9,0)</f>
        <v>0</v>
      </c>
      <c r="N254" s="17"/>
      <c r="O254" s="3"/>
      <c r="P254" s="2"/>
      <c r="Q254" s="2"/>
    </row>
    <row r="255" spans="2:17" x14ac:dyDescent="0.35">
      <c r="B255" s="3"/>
      <c r="C255" s="3" t="s">
        <v>17</v>
      </c>
      <c r="D255" s="3"/>
      <c r="E255" s="3"/>
      <c r="F255" s="3"/>
      <c r="G255" s="3"/>
      <c r="H255" s="3"/>
      <c r="I255" s="3"/>
      <c r="J255" s="3"/>
      <c r="K255" s="3"/>
      <c r="L255" s="3"/>
      <c r="M255" s="26">
        <f>L20</f>
        <v>0</v>
      </c>
      <c r="N255" s="17"/>
      <c r="O255" s="3"/>
      <c r="P255" s="2"/>
      <c r="Q255" s="2"/>
    </row>
    <row r="256" spans="2:17" ht="15" thickBot="1" x14ac:dyDescent="0.4">
      <c r="B256" s="3"/>
      <c r="C256" s="3" t="s">
        <v>16</v>
      </c>
      <c r="D256" s="3"/>
      <c r="E256" s="3"/>
      <c r="F256" s="3"/>
      <c r="G256" s="3"/>
      <c r="H256" s="3"/>
      <c r="I256" s="3"/>
      <c r="J256" s="3"/>
      <c r="K256" s="3"/>
      <c r="L256" s="3"/>
      <c r="M256" s="26">
        <f>ROUND(J64*$L$9,0)</f>
        <v>0</v>
      </c>
      <c r="N256" s="17"/>
      <c r="O256" s="3"/>
      <c r="P256" s="2"/>
      <c r="Q256" s="2"/>
    </row>
    <row r="257" spans="2:17" ht="15.5" thickTop="1" thickBot="1" x14ac:dyDescent="0.4">
      <c r="B257" s="3"/>
      <c r="C257" s="837" t="str">
        <f>CONCATENATE($A$4," - Total Annual Demand Charge Incl EDB:")</f>
        <v>SC5 Rate I - Total Annual Demand Charge Incl EDB:</v>
      </c>
      <c r="D257" s="3"/>
      <c r="E257" s="3"/>
      <c r="F257" s="3"/>
      <c r="G257" s="3"/>
      <c r="H257" s="3"/>
      <c r="I257" s="3"/>
      <c r="J257" s="3"/>
      <c r="K257" s="3"/>
      <c r="L257" s="3"/>
      <c r="M257" s="925">
        <f>M252+M253+M254+M255+M256</f>
        <v>48349</v>
      </c>
      <c r="N257" s="8"/>
      <c r="O257" s="3"/>
      <c r="P257" s="2"/>
      <c r="Q257" s="2"/>
    </row>
    <row r="258" spans="2:17" ht="15" thickTop="1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7"/>
      <c r="O258" s="3"/>
      <c r="P258" s="2"/>
      <c r="Q258" s="2"/>
    </row>
    <row r="259" spans="2:17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0" t="s">
        <v>15</v>
      </c>
      <c r="L259" s="3"/>
      <c r="M259" s="30" t="s">
        <v>14</v>
      </c>
      <c r="N259" s="17"/>
      <c r="O259" s="3"/>
      <c r="P259" s="2"/>
      <c r="Q259" s="2"/>
    </row>
    <row r="260" spans="2:17" x14ac:dyDescent="0.35">
      <c r="B260" s="3"/>
      <c r="C260" s="835" t="s">
        <v>13</v>
      </c>
      <c r="D260" s="3"/>
      <c r="E260" s="3"/>
      <c r="F260" s="3"/>
      <c r="G260" s="3"/>
      <c r="H260" s="3"/>
      <c r="I260" s="30" t="s">
        <v>44</v>
      </c>
      <c r="J260" s="3"/>
      <c r="K260" s="30" t="s">
        <v>11</v>
      </c>
      <c r="L260" s="3"/>
      <c r="M260" s="30" t="s">
        <v>6</v>
      </c>
      <c r="N260" s="17"/>
      <c r="O260" s="3"/>
      <c r="P260" s="2"/>
      <c r="Q260" s="2"/>
    </row>
    <row r="261" spans="2:17" x14ac:dyDescent="0.35">
      <c r="B261" s="3"/>
      <c r="C261" s="3" t="s">
        <v>9</v>
      </c>
      <c r="D261" s="3" t="s">
        <v>10</v>
      </c>
      <c r="E261" s="3"/>
      <c r="F261" s="3"/>
      <c r="G261" s="3"/>
      <c r="H261" s="3"/>
      <c r="I261" s="29">
        <f>V6</f>
        <v>151446</v>
      </c>
      <c r="J261" s="3"/>
      <c r="K261" s="27">
        <f>I207</f>
        <v>3.7900000000000003E-2</v>
      </c>
      <c r="L261" s="3"/>
      <c r="M261" s="26">
        <f>ROUND(I261*K261,0)</f>
        <v>5740</v>
      </c>
      <c r="N261" s="17"/>
      <c r="O261" s="3"/>
      <c r="P261" s="2"/>
      <c r="Q261" s="2"/>
    </row>
    <row r="262" spans="2:17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"/>
      <c r="Q262" s="2"/>
    </row>
    <row r="263" spans="2:17" x14ac:dyDescent="0.35">
      <c r="B263" s="3"/>
      <c r="C263" s="3" t="s">
        <v>8</v>
      </c>
      <c r="D263" s="3" t="s">
        <v>10</v>
      </c>
      <c r="E263" s="3"/>
      <c r="F263" s="3"/>
      <c r="G263" s="3"/>
      <c r="H263" s="3"/>
      <c r="I263" s="28">
        <f>V16</f>
        <v>0</v>
      </c>
      <c r="J263" s="3"/>
      <c r="K263" s="27">
        <f>I210</f>
        <v>3.7900000000000003E-2</v>
      </c>
      <c r="L263" s="3"/>
      <c r="M263" s="26">
        <f>ROUND(I263*K263,0)</f>
        <v>0</v>
      </c>
      <c r="N263" s="17"/>
      <c r="O263" s="3"/>
      <c r="P263" s="2"/>
      <c r="Q263" s="2"/>
    </row>
    <row r="264" spans="2:17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"/>
      <c r="Q264" s="2"/>
    </row>
    <row r="265" spans="2:17" x14ac:dyDescent="0.35">
      <c r="B265" s="3"/>
      <c r="C265" s="3" t="s">
        <v>9</v>
      </c>
      <c r="D265" s="3" t="s">
        <v>7</v>
      </c>
      <c r="E265" s="3"/>
      <c r="F265" s="3"/>
      <c r="G265" s="3"/>
      <c r="H265" s="3"/>
      <c r="I265" s="28">
        <f>V11</f>
        <v>530566</v>
      </c>
      <c r="J265" s="3"/>
      <c r="K265" s="27">
        <f>K207</f>
        <v>3.7900000000000003E-2</v>
      </c>
      <c r="L265" s="3"/>
      <c r="M265" s="26">
        <f>ROUND(I265*K265,0)</f>
        <v>20108</v>
      </c>
      <c r="N265" s="17"/>
      <c r="O265" s="3"/>
      <c r="P265" s="2"/>
      <c r="Q265" s="2"/>
    </row>
    <row r="266" spans="2:17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2"/>
      <c r="Q266" s="2"/>
    </row>
    <row r="267" spans="2:17" x14ac:dyDescent="0.35">
      <c r="B267" s="3"/>
      <c r="C267" s="3" t="s">
        <v>8</v>
      </c>
      <c r="D267" s="3" t="s">
        <v>7</v>
      </c>
      <c r="E267" s="3"/>
      <c r="F267" s="3"/>
      <c r="G267" s="3"/>
      <c r="H267" s="3"/>
      <c r="I267" s="28">
        <f>V21</f>
        <v>0</v>
      </c>
      <c r="J267" s="3"/>
      <c r="K267" s="27">
        <f>K210</f>
        <v>3.7900000000000003E-2</v>
      </c>
      <c r="L267" s="3"/>
      <c r="M267" s="26">
        <f>ROUND(I267*K267,0)</f>
        <v>0</v>
      </c>
      <c r="N267" s="17"/>
      <c r="O267" s="3"/>
      <c r="P267" s="2"/>
      <c r="Q267" s="2"/>
    </row>
    <row r="268" spans="2:17" ht="15" thickBot="1" x14ac:dyDescent="0.4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7"/>
      <c r="O268" s="3"/>
      <c r="P268" s="2"/>
      <c r="Q268" s="2"/>
    </row>
    <row r="269" spans="2:17" ht="15.5" thickTop="1" thickBot="1" x14ac:dyDescent="0.4">
      <c r="B269" s="3"/>
      <c r="C269" s="837" t="str">
        <f>CONCATENATE($A$4," - Total Annual Energy Charge:")</f>
        <v>SC5 Rate I - Total Annual Energy Charge:</v>
      </c>
      <c r="D269" s="3"/>
      <c r="E269" s="3"/>
      <c r="F269" s="3"/>
      <c r="G269" s="3"/>
      <c r="H269" s="3"/>
      <c r="I269" s="3"/>
      <c r="J269" s="3"/>
      <c r="K269" s="3"/>
      <c r="L269" s="3"/>
      <c r="M269" s="925">
        <f>M261+M263+M265+M267</f>
        <v>25848</v>
      </c>
      <c r="N269" s="17"/>
      <c r="O269" s="3"/>
      <c r="P269" s="2"/>
      <c r="Q269" s="2"/>
    </row>
    <row r="270" spans="2:17" ht="15.5" thickTop="1" thickBot="1" x14ac:dyDescent="0.4">
      <c r="B270" s="3"/>
      <c r="C270" s="410"/>
      <c r="D270" s="3"/>
      <c r="E270" s="3"/>
      <c r="F270" s="3"/>
      <c r="G270" s="3"/>
      <c r="H270" s="3"/>
      <c r="I270" s="3"/>
      <c r="J270" s="3"/>
      <c r="K270" s="3"/>
      <c r="L270" s="3"/>
      <c r="M270" s="2"/>
      <c r="N270" s="17"/>
      <c r="O270" s="3"/>
      <c r="P270" s="2"/>
      <c r="Q270" s="2"/>
    </row>
    <row r="271" spans="2:17" ht="15.5" thickTop="1" thickBot="1" x14ac:dyDescent="0.4">
      <c r="B271" s="3"/>
      <c r="C271" s="837" t="str">
        <f>CONCATENATE($A$4," - Total Charge Price-Out at Proposed Rates:")</f>
        <v>SC5 Rate I - Total Charge Price-Out at Proposed Rates:</v>
      </c>
      <c r="D271" s="3"/>
      <c r="E271" s="3"/>
      <c r="F271" s="3"/>
      <c r="G271" s="3"/>
      <c r="H271" s="3"/>
      <c r="I271" s="3"/>
      <c r="J271" s="3"/>
      <c r="K271" s="3"/>
      <c r="L271" s="3"/>
      <c r="M271" s="925">
        <f>M257+M269</f>
        <v>74197</v>
      </c>
      <c r="N271" s="8"/>
      <c r="O271" s="3"/>
      <c r="P271" s="2"/>
      <c r="Q271" s="2"/>
    </row>
    <row r="272" spans="2:17" ht="15.5" thickTop="1" thickBot="1" x14ac:dyDescent="0.4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7"/>
      <c r="O272" s="3"/>
      <c r="P272" s="2"/>
      <c r="Q272" s="2"/>
    </row>
    <row r="273" spans="1:17" x14ac:dyDescent="0.35">
      <c r="B273" s="3"/>
      <c r="C273" s="23" t="str">
        <f>$A$4</f>
        <v>SC5 Rate I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1" t="s">
        <v>6</v>
      </c>
      <c r="N273" s="17"/>
      <c r="O273" s="2"/>
      <c r="P273" s="2"/>
      <c r="Q273" s="2"/>
    </row>
    <row r="274" spans="1:17" x14ac:dyDescent="0.35">
      <c r="B274" s="3"/>
      <c r="C274" s="11" t="s">
        <v>5</v>
      </c>
      <c r="D274" s="1305">
        <f>L4</f>
        <v>2020</v>
      </c>
      <c r="E274" s="1305"/>
      <c r="F274" s="1305"/>
      <c r="G274" s="10"/>
      <c r="H274" s="10"/>
      <c r="I274" s="10"/>
      <c r="J274" s="10"/>
      <c r="K274" s="10"/>
      <c r="L274" s="10"/>
      <c r="M274" s="13"/>
      <c r="N274" s="2"/>
      <c r="O274" s="2"/>
      <c r="P274" s="2"/>
      <c r="Q274" s="2"/>
    </row>
    <row r="275" spans="1:17" x14ac:dyDescent="0.35">
      <c r="B275" s="3"/>
      <c r="C275" s="699" t="s">
        <v>4</v>
      </c>
      <c r="D275" s="19"/>
      <c r="E275" s="19"/>
      <c r="F275" s="19"/>
      <c r="G275" s="10"/>
      <c r="H275" s="10"/>
      <c r="I275" s="10"/>
      <c r="J275" s="10"/>
      <c r="K275" s="10"/>
      <c r="L275" s="10"/>
      <c r="M275" s="12">
        <f>M271</f>
        <v>74197</v>
      </c>
      <c r="N275" s="2"/>
      <c r="O275" s="2"/>
      <c r="P275" s="2"/>
      <c r="Q275" s="2"/>
    </row>
    <row r="276" spans="1:17" x14ac:dyDescent="0.35">
      <c r="B276" s="3"/>
      <c r="C276" s="699" t="s">
        <v>3</v>
      </c>
      <c r="D276" s="19"/>
      <c r="E276" s="19"/>
      <c r="F276" s="19"/>
      <c r="G276" s="10"/>
      <c r="H276" s="10"/>
      <c r="I276" s="10"/>
      <c r="J276" s="10"/>
      <c r="K276" s="10"/>
      <c r="L276" s="10"/>
      <c r="M276" s="18"/>
      <c r="N276" s="2"/>
      <c r="O276" s="2"/>
      <c r="P276" s="2"/>
      <c r="Q276" s="2"/>
    </row>
    <row r="277" spans="1:17" x14ac:dyDescent="0.35">
      <c r="B277" s="3"/>
      <c r="C277" s="730"/>
      <c r="D277" s="19"/>
      <c r="E277" s="19"/>
      <c r="F277" s="19"/>
      <c r="G277" s="731"/>
      <c r="H277" s="10"/>
      <c r="I277" s="10"/>
      <c r="J277" s="10"/>
      <c r="K277" s="10"/>
      <c r="L277" s="10"/>
      <c r="M277" s="471"/>
      <c r="N277" s="2"/>
      <c r="O277" s="2"/>
      <c r="P277" s="2"/>
      <c r="Q277" s="2"/>
    </row>
    <row r="278" spans="1:17" x14ac:dyDescent="0.35">
      <c r="B278" s="3"/>
      <c r="C278" s="11"/>
      <c r="D278" s="10"/>
      <c r="E278" s="10"/>
      <c r="F278" s="10"/>
      <c r="G278" s="10"/>
      <c r="H278" s="10"/>
      <c r="I278" s="10"/>
      <c r="J278" s="10"/>
      <c r="K278" s="10"/>
      <c r="L278" s="10"/>
      <c r="M278" s="12">
        <f>M275+M276</f>
        <v>74197</v>
      </c>
      <c r="N278" s="2"/>
      <c r="O278" s="2"/>
      <c r="P278" s="2"/>
      <c r="Q278" s="2"/>
    </row>
    <row r="279" spans="1:17" x14ac:dyDescent="0.35">
      <c r="B279" s="3"/>
      <c r="C279" s="11"/>
      <c r="D279" s="10"/>
      <c r="E279" s="10"/>
      <c r="F279" s="10"/>
      <c r="G279" s="10"/>
      <c r="H279" s="10"/>
      <c r="I279" s="10"/>
      <c r="J279" s="10"/>
      <c r="K279" s="10"/>
      <c r="L279" s="10"/>
      <c r="M279" s="13"/>
      <c r="N279" s="2"/>
      <c r="O279" s="2"/>
      <c r="P279" s="2"/>
      <c r="Q279" s="2"/>
    </row>
    <row r="280" spans="1:17" x14ac:dyDescent="0.35">
      <c r="B280" s="3"/>
      <c r="C280" s="11"/>
      <c r="D280" s="10" t="s">
        <v>2</v>
      </c>
      <c r="E280" s="10"/>
      <c r="F280" s="10"/>
      <c r="G280" s="10"/>
      <c r="H280" s="10"/>
      <c r="I280" s="10"/>
      <c r="J280" s="10"/>
      <c r="K280" s="10"/>
      <c r="L280" s="10"/>
      <c r="M280" s="924">
        <f>L27</f>
        <v>74208</v>
      </c>
      <c r="N280" s="2"/>
      <c r="O280" s="2"/>
      <c r="P280" s="2"/>
      <c r="Q280" s="2"/>
    </row>
    <row r="281" spans="1:17" x14ac:dyDescent="0.35">
      <c r="B281" s="3"/>
      <c r="C281" s="11"/>
      <c r="D281" s="10" t="s">
        <v>1</v>
      </c>
      <c r="E281" s="10"/>
      <c r="F281" s="10"/>
      <c r="G281" s="10"/>
      <c r="H281" s="10"/>
      <c r="I281" s="10"/>
      <c r="J281" s="10"/>
      <c r="K281" s="10"/>
      <c r="L281" s="10"/>
      <c r="M281" s="12">
        <f>M278-M280</f>
        <v>-11</v>
      </c>
      <c r="N281" s="2"/>
      <c r="O281" s="2"/>
      <c r="P281" s="2"/>
      <c r="Q281" s="2"/>
    </row>
    <row r="282" spans="1:17" x14ac:dyDescent="0.35">
      <c r="B282" s="3"/>
      <c r="C282" s="11"/>
      <c r="D282" s="10" t="s">
        <v>0</v>
      </c>
      <c r="E282" s="10"/>
      <c r="F282" s="10"/>
      <c r="G282" s="10"/>
      <c r="H282" s="10"/>
      <c r="I282" s="10"/>
      <c r="J282" s="10"/>
      <c r="K282" s="10"/>
      <c r="L282" s="10"/>
      <c r="M282" s="9">
        <f>M278/M280-1</f>
        <v>-1.4823199655022989E-4</v>
      </c>
      <c r="N282" s="2"/>
      <c r="O282" s="2"/>
      <c r="P282" s="2"/>
      <c r="Q282" s="2"/>
    </row>
    <row r="283" spans="1:17" ht="15" thickBot="1" x14ac:dyDescent="0.4">
      <c r="B283" s="3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2"/>
      <c r="O283" s="2"/>
      <c r="P283" s="2"/>
      <c r="Q283" s="2"/>
    </row>
    <row r="284" spans="1:17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"/>
    </row>
    <row r="285" spans="1:17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"/>
    </row>
    <row r="286" spans="1:17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"/>
    </row>
    <row r="287" spans="1:17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"/>
    </row>
    <row r="288" spans="1:17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"/>
    </row>
  </sheetData>
  <mergeCells count="12">
    <mergeCell ref="D136:F136"/>
    <mergeCell ref="H137:J137"/>
    <mergeCell ref="H143:J143"/>
    <mergeCell ref="H81:J81"/>
    <mergeCell ref="L81:N81"/>
    <mergeCell ref="L92:N92"/>
    <mergeCell ref="M143:P143"/>
    <mergeCell ref="H167:J167"/>
    <mergeCell ref="L167:N167"/>
    <mergeCell ref="I204:K204"/>
    <mergeCell ref="D216:E216"/>
    <mergeCell ref="D274:F274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6" max="16383" man="1"/>
    <brk id="154" max="16383" man="1"/>
    <brk id="212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6"/>
  <dimension ref="A1:V288"/>
  <sheetViews>
    <sheetView topLeftCell="E1" workbookViewId="0">
      <selection activeCell="E1" sqref="A1:XFD1048576"/>
    </sheetView>
  </sheetViews>
  <sheetFormatPr defaultRowHeight="14.5" outlineLevelRow="1" x14ac:dyDescent="0.35"/>
  <cols>
    <col min="1" max="1" width="7.453125" customWidth="1"/>
    <col min="2" max="2" width="17.542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23.54296875" customWidth="1"/>
    <col min="10" max="10" width="16.1796875" customWidth="1"/>
    <col min="11" max="11" width="14.1796875" customWidth="1"/>
    <col min="12" max="12" width="17.453125" customWidth="1"/>
    <col min="13" max="13" width="14.81640625" customWidth="1"/>
    <col min="14" max="14" width="13.81640625" customWidth="1"/>
    <col min="15" max="15" width="11.453125" customWidth="1"/>
    <col min="16" max="16" width="15" style="1" customWidth="1"/>
    <col min="17" max="17" width="11" style="1" customWidth="1"/>
    <col min="18" max="21" width="11" customWidth="1"/>
    <col min="22" max="22" width="12.81640625" customWidth="1"/>
    <col min="25" max="26" width="11.7265625" customWidth="1"/>
    <col min="27" max="27" width="16.81640625" customWidth="1"/>
  </cols>
  <sheetData>
    <row r="1" spans="1:22" ht="18.5" x14ac:dyDescent="0.45">
      <c r="A1" s="447" t="s">
        <v>686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2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SC8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151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>
        <f>'8A.)HY_ED RevShifting'!G6</f>
        <v>0.05</v>
      </c>
      <c r="B5" s="75" t="s">
        <v>146</v>
      </c>
      <c r="C5" s="3"/>
      <c r="D5" s="3"/>
      <c r="E5" s="3"/>
      <c r="F5" s="3"/>
      <c r="G5" s="3"/>
      <c r="H5" s="3"/>
      <c r="J5" s="3" t="s">
        <v>145</v>
      </c>
      <c r="K5" s="304" t="s">
        <v>1074</v>
      </c>
      <c r="L5" s="687" t="s">
        <v>144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5" t="str">
        <f>'11A.)DemandRateDesignSummary'!D35</f>
        <v>Current(RY1)</v>
      </c>
      <c r="H6" s="23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I)'!$E$41</f>
        <v>10</v>
      </c>
      <c r="T6" s="386">
        <f>'[2]4C.)HY_DemandRatePxOut(Rate I)'!$L$45</f>
        <v>74</v>
      </c>
      <c r="U6" s="386">
        <f>'[2]4C.)HY_DemandRatePxOut(Rate I)'!$N$45</f>
        <v>69190</v>
      </c>
      <c r="V6" s="386">
        <f>'[2]4B.)HY_EnergyRatePxOut(Rate I)'!$M$131</f>
        <v>602294876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">
        <v>142</v>
      </c>
      <c r="J7" s="3"/>
      <c r="K7" s="17"/>
      <c r="L7" s="118" t="str">
        <f>A4</f>
        <v>SC8 Rate I</v>
      </c>
      <c r="M7" s="3"/>
      <c r="P7" s="170" t="s">
        <v>114</v>
      </c>
      <c r="Q7" s="159"/>
      <c r="R7" s="158" t="s">
        <v>141</v>
      </c>
      <c r="S7" s="159">
        <f>S6</f>
        <v>10</v>
      </c>
      <c r="T7" s="387">
        <f>'[2]4C.)HY_DemandRatePxOut(Rate I)'!$L$46</f>
        <v>6845</v>
      </c>
      <c r="U7" s="387">
        <f>'[2]4C.)HY_DemandRatePxOut(Rate I)'!$N$46</f>
        <v>1446294</v>
      </c>
      <c r="V7" s="387">
        <f>'[2]4B.)HY_EnergyRatePxOut(Rate I)'!$M$132</f>
        <v>0</v>
      </c>
    </row>
    <row r="8" spans="1:22" ht="15.5" outlineLevel="1" thickTop="1" thickBot="1" x14ac:dyDescent="0.4">
      <c r="A8" s="3" t="s">
        <v>331</v>
      </c>
      <c r="B8" s="3"/>
      <c r="C8" s="3"/>
      <c r="D8" s="3"/>
      <c r="E8" s="3"/>
      <c r="F8" s="3"/>
      <c r="G8" s="309">
        <f>'11A.)DemandRateDesignSummary'!D37</f>
        <v>1.67E-2</v>
      </c>
      <c r="H8" s="177">
        <f>I207</f>
        <v>1.67E-2</v>
      </c>
      <c r="K8" s="33" t="s">
        <v>1476</v>
      </c>
      <c r="L8" s="688">
        <f>A5</f>
        <v>0.05</v>
      </c>
      <c r="M8" s="3"/>
      <c r="P8" s="168" t="s">
        <v>114</v>
      </c>
      <c r="Q8" s="155"/>
      <c r="R8" s="176"/>
      <c r="S8" s="711"/>
      <c r="T8" s="172"/>
      <c r="U8" s="172"/>
      <c r="V8" s="171"/>
    </row>
    <row r="9" spans="1:22" ht="15.5" outlineLevel="1" thickTop="1" thickBot="1" x14ac:dyDescent="0.4">
      <c r="A9" s="3" t="s">
        <v>332</v>
      </c>
      <c r="B9" s="3"/>
      <c r="C9" s="3"/>
      <c r="D9" s="3"/>
      <c r="E9" s="3"/>
      <c r="F9" s="3"/>
      <c r="G9" s="310">
        <f>'11A.)DemandRateDesignSummary'!D38</f>
        <v>1.67E-2</v>
      </c>
      <c r="H9" s="169">
        <f>K207</f>
        <v>1.67E-2</v>
      </c>
      <c r="K9" s="33" t="s">
        <v>139</v>
      </c>
      <c r="L9" s="689">
        <f>HLOOKUP($L$6,'[1]A1.)RatesInput'!$D$63:$J$83,'[1]A1.)RatesInput'!$A$80,0)</f>
        <v>1.01108</v>
      </c>
      <c r="M9" s="173"/>
      <c r="S9" s="1"/>
      <c r="T9" s="717">
        <f>SUM(T6:T8)</f>
        <v>6919</v>
      </c>
      <c r="U9" s="717">
        <f>SUM(U6:U8)</f>
        <v>1515484</v>
      </c>
      <c r="V9" s="717">
        <f>SUM(V6:V8)</f>
        <v>602294876</v>
      </c>
    </row>
    <row r="10" spans="1:22" ht="15" outlineLevel="1" thickTop="1" x14ac:dyDescent="0.35">
      <c r="A10" s="3" t="s">
        <v>333</v>
      </c>
      <c r="B10" s="3"/>
      <c r="C10" s="3"/>
      <c r="D10" s="3"/>
      <c r="E10" s="3"/>
      <c r="F10" s="3"/>
      <c r="G10" s="310">
        <f>'11A.)DemandRateDesignSummary'!D39</f>
        <v>380.53</v>
      </c>
      <c r="H10" s="169">
        <f>H145</f>
        <v>400.92</v>
      </c>
      <c r="K10" s="33" t="s">
        <v>137</v>
      </c>
      <c r="L10" s="689">
        <f>HLOOKUP($L$6,'[1]A1.)RatesInput'!$D$63:$J$83,'[1]A1.)RatesInput'!$A$81,0)</f>
        <v>1.0119199999999999</v>
      </c>
      <c r="M10" s="3"/>
      <c r="S10" s="1"/>
      <c r="T10" s="1"/>
      <c r="U10" s="1"/>
      <c r="V10" s="1"/>
    </row>
    <row r="11" spans="1:22" outlineLevel="1" x14ac:dyDescent="0.35">
      <c r="A11" s="3" t="s">
        <v>334</v>
      </c>
      <c r="B11" s="3"/>
      <c r="C11" s="3"/>
      <c r="D11" s="3"/>
      <c r="E11" s="3"/>
      <c r="F11" s="3"/>
      <c r="G11" s="310">
        <f>'11A.)DemandRateDesignSummary'!D40</f>
        <v>34.32</v>
      </c>
      <c r="H11" s="169">
        <f>H147</f>
        <v>35.33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4">
        <f>$S$6</f>
        <v>10</v>
      </c>
      <c r="T11" s="386">
        <f>'[2]4C.)HY_DemandRatePxOut(Rate I)'!$L$41</f>
        <v>243.00000000000003</v>
      </c>
      <c r="U11" s="386">
        <f>'[2]4C.)HY_DemandRatePxOut(Rate I)'!$N$41</f>
        <v>138280</v>
      </c>
      <c r="V11" s="386">
        <f>'[2]4B.)HY_EnergyRatePxOut(Rate I)'!$M$126</f>
        <v>911800979</v>
      </c>
    </row>
    <row r="12" spans="1:22" outlineLevel="1" x14ac:dyDescent="0.35">
      <c r="A12" s="3" t="s">
        <v>335</v>
      </c>
      <c r="B12" s="3"/>
      <c r="C12" s="3"/>
      <c r="D12" s="3"/>
      <c r="E12" s="3"/>
      <c r="F12" s="3"/>
      <c r="G12" s="310">
        <f>'11A.)DemandRateDesignSummary'!D41</f>
        <v>294.16000000000003</v>
      </c>
      <c r="H12" s="169">
        <f>J145</f>
        <v>312.42</v>
      </c>
      <c r="P12" s="160" t="s">
        <v>113</v>
      </c>
      <c r="Q12" s="159"/>
      <c r="R12" s="158" t="str">
        <f>$R$7</f>
        <v>&gt;</v>
      </c>
      <c r="S12" s="159">
        <f>$S$7</f>
        <v>10</v>
      </c>
      <c r="T12" s="387">
        <f>'[2]4C.)HY_DemandRatePxOut(Rate I)'!$L$42</f>
        <v>13585</v>
      </c>
      <c r="U12" s="387">
        <f>'[2]4C.)HY_DemandRatePxOut(Rate I)'!$N$42</f>
        <v>1945382</v>
      </c>
      <c r="V12" s="387">
        <f>'[2]4B.)HY_EnergyRatePxOut(Rate I)'!$M$127</f>
        <v>0</v>
      </c>
    </row>
    <row r="13" spans="1:22" ht="15" outlineLevel="1" thickBot="1" x14ac:dyDescent="0.4">
      <c r="A13" s="3" t="s">
        <v>336</v>
      </c>
      <c r="B13" s="3"/>
      <c r="C13" s="3"/>
      <c r="D13" s="3"/>
      <c r="E13" s="3"/>
      <c r="F13" s="3"/>
      <c r="G13" s="310">
        <f>'11A.)DemandRateDesignSummary'!D42</f>
        <v>26.51</v>
      </c>
      <c r="H13" s="169">
        <f>J147</f>
        <v>27.29</v>
      </c>
      <c r="I13" s="3"/>
      <c r="J13" s="1"/>
      <c r="K13" s="222" t="s">
        <v>1486</v>
      </c>
      <c r="L13" s="690">
        <f>ROUND('[2]6B.)RateChgAllocation'!$E$40/'[2]6A.)RateChange'!$I$40,8)</f>
        <v>2.522425E-2</v>
      </c>
      <c r="P13" s="155" t="s">
        <v>113</v>
      </c>
      <c r="Q13" s="154"/>
      <c r="R13" s="154"/>
      <c r="S13" s="711"/>
      <c r="T13" s="172"/>
      <c r="U13" s="172"/>
      <c r="V13" s="171"/>
    </row>
    <row r="14" spans="1:22" ht="15.5" outlineLevel="1" thickTop="1" thickBot="1" x14ac:dyDescent="0.4">
      <c r="A14" s="3" t="s">
        <v>337</v>
      </c>
      <c r="B14" s="3"/>
      <c r="C14" s="3"/>
      <c r="D14" s="3"/>
      <c r="E14" s="3"/>
      <c r="F14" s="3"/>
      <c r="G14" s="310">
        <f>'11A.)DemandRateDesignSummary'!D43</f>
        <v>1.67E-2</v>
      </c>
      <c r="H14" s="169">
        <f>I210</f>
        <v>1.67E-2</v>
      </c>
      <c r="J14" s="1"/>
      <c r="K14" s="222" t="s">
        <v>307</v>
      </c>
      <c r="L14" s="688">
        <f>'11B.)Demand_RateDesign_SC5_I'!$L$15</f>
        <v>0</v>
      </c>
      <c r="P14" s="2"/>
      <c r="Q14" s="2"/>
      <c r="R14" s="3"/>
      <c r="S14" s="3"/>
      <c r="T14" s="151">
        <f>SUM(T11:T13)</f>
        <v>13828</v>
      </c>
      <c r="U14" s="151">
        <f>SUM(U11:U13)</f>
        <v>2083662</v>
      </c>
      <c r="V14" s="151">
        <f>SUM(V11:V13)</f>
        <v>911800979</v>
      </c>
    </row>
    <row r="15" spans="1:22" ht="15" outlineLevel="1" thickTop="1" x14ac:dyDescent="0.35">
      <c r="A15" s="3" t="s">
        <v>338</v>
      </c>
      <c r="B15" s="3"/>
      <c r="C15" s="3"/>
      <c r="D15" s="3"/>
      <c r="E15" s="3"/>
      <c r="F15" s="3"/>
      <c r="G15" s="310">
        <f>'11A.)DemandRateDesignSummary'!D44</f>
        <v>1.67E-2</v>
      </c>
      <c r="H15" s="169">
        <f>K210</f>
        <v>1.67E-2</v>
      </c>
      <c r="J15" s="464"/>
      <c r="K15" s="1279" t="s">
        <v>2194</v>
      </c>
      <c r="L15" s="809">
        <f>'[2]6A.)RateChange'!$BY$40</f>
        <v>699898</v>
      </c>
      <c r="M15" s="809">
        <f>ROUND(L15/$L$9,0)</f>
        <v>692228</v>
      </c>
    </row>
    <row r="16" spans="1:22" outlineLevel="1" x14ac:dyDescent="0.35">
      <c r="A16" s="3" t="s">
        <v>339</v>
      </c>
      <c r="B16" s="3"/>
      <c r="C16" s="3"/>
      <c r="D16" s="3"/>
      <c r="E16" s="3"/>
      <c r="F16" s="3"/>
      <c r="G16" s="310">
        <f>'11A.)DemandRateDesignSummary'!D45</f>
        <v>273.87</v>
      </c>
      <c r="H16" s="169">
        <f>H149</f>
        <v>291.63</v>
      </c>
      <c r="L16" s="135" t="s">
        <v>135</v>
      </c>
      <c r="M16" s="135" t="s">
        <v>134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10</v>
      </c>
      <c r="T16" s="161"/>
      <c r="U16" s="161"/>
      <c r="V16" s="161"/>
    </row>
    <row r="17" spans="1:22" outlineLevel="1" x14ac:dyDescent="0.35">
      <c r="A17" s="3" t="s">
        <v>340</v>
      </c>
      <c r="B17" s="3"/>
      <c r="C17" s="3"/>
      <c r="D17" s="3"/>
      <c r="E17" s="3"/>
      <c r="F17" s="3"/>
      <c r="G17" s="310">
        <f>'11A.)DemandRateDesignSummary'!D46</f>
        <v>24.69</v>
      </c>
      <c r="H17" s="169">
        <f>H151</f>
        <v>25.419999999999998</v>
      </c>
      <c r="K17" s="33" t="s">
        <v>133</v>
      </c>
      <c r="L17" s="245">
        <f>'[2]6B.)RateChgAllocation'!$N$40</f>
        <v>3392124.9795800783</v>
      </c>
      <c r="M17" s="701">
        <f>ROUND(L17/$L$9,0)</f>
        <v>3354952</v>
      </c>
      <c r="P17" s="170" t="s">
        <v>112</v>
      </c>
      <c r="Q17" s="159"/>
      <c r="R17" s="158" t="str">
        <f>$R$7</f>
        <v>&gt;</v>
      </c>
      <c r="S17" s="157">
        <f>$S$7</f>
        <v>10</v>
      </c>
      <c r="T17" s="156"/>
      <c r="U17" s="156"/>
      <c r="V17" s="156"/>
    </row>
    <row r="18" spans="1:22" ht="15" outlineLevel="1" thickBot="1" x14ac:dyDescent="0.4">
      <c r="A18" s="3" t="s">
        <v>341</v>
      </c>
      <c r="B18" s="3"/>
      <c r="C18" s="3"/>
      <c r="D18" s="3"/>
      <c r="E18" s="3"/>
      <c r="F18" s="3"/>
      <c r="G18" s="310">
        <f>'11A.)DemandRateDesignSummary'!D47</f>
        <v>187.5</v>
      </c>
      <c r="H18" s="169">
        <f>J149</f>
        <v>203.13</v>
      </c>
      <c r="K18" s="33" t="s">
        <v>132</v>
      </c>
      <c r="L18" s="245">
        <f>'[1]F3.)Standby'!$E$27</f>
        <v>31054.306616539892</v>
      </c>
      <c r="M18" s="701">
        <f>ROUND(L18/$L$9,0)</f>
        <v>30714</v>
      </c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342</v>
      </c>
      <c r="B19" s="3"/>
      <c r="C19" s="3"/>
      <c r="D19" s="3"/>
      <c r="E19" s="3"/>
      <c r="F19" s="3"/>
      <c r="G19" s="311">
        <f>'11A.)DemandRateDesignSummary'!D48</f>
        <v>16.860000000000003</v>
      </c>
      <c r="H19" s="167">
        <f>J151</f>
        <v>17.36</v>
      </c>
      <c r="K19" s="33" t="s">
        <v>131</v>
      </c>
      <c r="L19" s="245">
        <f>'8A.)HY_ED RevShifting'!$E$60</f>
        <v>107799571</v>
      </c>
      <c r="M19" s="245">
        <f>'8A.)HY_ED RevShifting'!$D$60</f>
        <v>106597638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>
      <c r="K20" s="33" t="s">
        <v>130</v>
      </c>
      <c r="L20" s="245">
        <f>IF(ISNUMBER(HLOOKUP($K$5,'8A.)HY_ED RevShifting'!$G$56:$L$70,'8A.)HY_ED RevShifting'!$B$62,0)),HLOOKUP($K$5,'8A.)HY_ED RevShifting'!$G$56:$L$70,'8A.)HY_ED RevShifting'!$B$62,0),0)</f>
        <v>1332404</v>
      </c>
      <c r="M20" s="701">
        <f>ROUND(L20/$L$9,0)</f>
        <v>1317803</v>
      </c>
    </row>
    <row r="21" spans="1:22" ht="15" outlineLevel="1" thickBot="1" x14ac:dyDescent="0.4">
      <c r="K21" s="33" t="s">
        <v>129</v>
      </c>
      <c r="L21" s="245">
        <f>'[2]4B.)HY_EnergyRatePxOut(Rate I)'!$T$138</f>
        <v>26648087</v>
      </c>
      <c r="M21" s="245">
        <f>'[2]4B.)HY_EnergyRatePxOut(Rate I)'!$V$138</f>
        <v>26648087</v>
      </c>
      <c r="P21" s="165" t="s">
        <v>111</v>
      </c>
      <c r="Q21" s="164">
        <f>$Q$6</f>
        <v>0</v>
      </c>
      <c r="R21" s="163" t="str">
        <f>$R$6</f>
        <v>-</v>
      </c>
      <c r="S21" s="162">
        <f>$S$6</f>
        <v>10</v>
      </c>
      <c r="T21" s="161"/>
      <c r="U21" s="161"/>
      <c r="V21" s="161"/>
    </row>
    <row r="22" spans="1:22" ht="15" outlineLevel="1" thickTop="1" x14ac:dyDescent="0.35">
      <c r="A22" s="1171" t="s">
        <v>2203</v>
      </c>
      <c r="B22" s="1172"/>
      <c r="C22" s="1173"/>
      <c r="D22" s="1"/>
      <c r="E22" s="1"/>
      <c r="F22" s="1"/>
      <c r="G22" s="1177" t="s">
        <v>2193</v>
      </c>
      <c r="K22" s="33" t="s">
        <v>128</v>
      </c>
      <c r="L22" s="149">
        <v>0</v>
      </c>
      <c r="M22" s="134">
        <f>ROUND(L22/$L$9,0)</f>
        <v>0</v>
      </c>
      <c r="P22" s="160" t="s">
        <v>111</v>
      </c>
      <c r="Q22" s="159"/>
      <c r="R22" s="158" t="str">
        <f>$R$7</f>
        <v>&gt;</v>
      </c>
      <c r="S22" s="157">
        <f>$S$7</f>
        <v>10</v>
      </c>
      <c r="T22" s="156"/>
      <c r="U22" s="156"/>
      <c r="V22" s="156"/>
    </row>
    <row r="23" spans="1:22" ht="15" outlineLevel="1" thickBot="1" x14ac:dyDescent="0.4">
      <c r="A23" s="1241" t="s">
        <v>2204</v>
      </c>
      <c r="B23" s="1236"/>
      <c r="C23" s="1237"/>
      <c r="D23" s="1"/>
      <c r="E23" s="1"/>
      <c r="F23" s="1"/>
      <c r="G23" s="1238">
        <f>IF('[2]3A.)Metering_RateSummary'!$D$10="Y",0,'[2]3A.)Metering_RateSummary'!$C$13)</f>
        <v>2.2799999999999998</v>
      </c>
      <c r="K23" s="33" t="s">
        <v>127</v>
      </c>
      <c r="L23" s="149">
        <v>0</v>
      </c>
      <c r="M23" s="134">
        <f>ROUND(L23/$L$9,0)</f>
        <v>0</v>
      </c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A24" s="1241" t="s">
        <v>2205</v>
      </c>
      <c r="B24" s="1236"/>
      <c r="C24" s="1237"/>
      <c r="D24" s="1"/>
      <c r="E24" s="1"/>
      <c r="F24" s="1"/>
      <c r="G24" s="1238">
        <f>IF('[2]3A.)Metering_RateSummary'!$D$26="Y",0,'[2]3A.)Metering_RateSummary'!$C$29)</f>
        <v>4.0599999999999996</v>
      </c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.5" outlineLevel="1" thickTop="1" thickBot="1" x14ac:dyDescent="0.4">
      <c r="A25" s="1174" t="s">
        <v>2206</v>
      </c>
      <c r="B25" s="1175"/>
      <c r="C25" s="1176"/>
      <c r="D25" s="1"/>
      <c r="E25" s="1"/>
      <c r="F25" s="1"/>
      <c r="G25" s="1239">
        <f>IF('[2]3A.)Metering_RateSummary'!$D$42="Y",0,'[2]3A.)Metering_RateSummary'!$C$45)</f>
        <v>4.66</v>
      </c>
      <c r="K25" s="33" t="str">
        <f>CONCATENATE(A4," - T&amp;D Target:")</f>
        <v>SC8 Rate I - T&amp;D Target:</v>
      </c>
      <c r="L25" s="245">
        <f>'[2]6A.)RateChange'!$BN$42</f>
        <v>152299351.30661654</v>
      </c>
      <c r="T25" s="150"/>
      <c r="U25" s="150"/>
      <c r="V25" s="150"/>
    </row>
    <row r="26" spans="1:22" ht="15.5" outlineLevel="1" thickTop="1" thickBot="1" x14ac:dyDescent="0.4">
      <c r="A26" s="1174" t="s">
        <v>2228</v>
      </c>
      <c r="B26" s="1175"/>
      <c r="C26" s="1176"/>
      <c r="D26" s="1"/>
      <c r="E26" s="1"/>
      <c r="F26" s="1"/>
      <c r="G26" s="1240">
        <f>G23+G24+G25</f>
        <v>11</v>
      </c>
      <c r="K26" s="33" t="s">
        <v>126</v>
      </c>
      <c r="L26" s="149">
        <v>0</v>
      </c>
      <c r="T26" s="150"/>
      <c r="U26" s="150"/>
      <c r="V26" s="150"/>
    </row>
    <row r="27" spans="1:22" ht="15" outlineLevel="1" thickTop="1" x14ac:dyDescent="0.35">
      <c r="K27" s="33" t="s">
        <v>125</v>
      </c>
      <c r="L27" s="245">
        <f>'13B.)TODM_RateDesign_SC8_III'!M285</f>
        <v>14521037</v>
      </c>
      <c r="M27" t="s">
        <v>124</v>
      </c>
    </row>
    <row r="28" spans="1:22" outlineLevel="1" x14ac:dyDescent="0.35">
      <c r="L28" s="702"/>
    </row>
    <row r="29" spans="1:22" outlineLevel="1" x14ac:dyDescent="0.35">
      <c r="K29" s="33" t="s">
        <v>123</v>
      </c>
      <c r="L29" s="245">
        <f>'[2]6B.)RateChgAllocation'!$M$40</f>
        <v>0</v>
      </c>
    </row>
    <row r="30" spans="1:22" outlineLevel="1" x14ac:dyDescent="0.35"/>
    <row r="31" spans="1:22" outlineLevel="1" x14ac:dyDescent="0.35"/>
    <row r="32" spans="1:22" s="148" customFormat="1" outlineLevel="1" x14ac:dyDescent="0.35"/>
    <row r="33" spans="1:17" x14ac:dyDescent="0.35">
      <c r="A33" s="407" t="s">
        <v>1651</v>
      </c>
      <c r="B33" s="147"/>
      <c r="C33" s="131"/>
      <c r="D33" s="131"/>
      <c r="E33" s="131"/>
      <c r="F33" s="33" t="s">
        <v>150</v>
      </c>
      <c r="G33" s="595">
        <f>$L$3</f>
        <v>2019</v>
      </c>
    </row>
    <row r="34" spans="1:17" x14ac:dyDescent="0.35">
      <c r="A34" s="131"/>
      <c r="B34" s="131"/>
      <c r="C34" s="131"/>
      <c r="D34" s="131"/>
      <c r="E34" s="131"/>
      <c r="F34" s="33" t="s">
        <v>5</v>
      </c>
      <c r="G34" s="595">
        <f>$L$4</f>
        <v>2020</v>
      </c>
      <c r="H34" t="str">
        <f>$M$4</f>
        <v>RY1</v>
      </c>
    </row>
    <row r="35" spans="1:17" x14ac:dyDescent="0.35">
      <c r="B35" s="41" t="str">
        <f>$A$4</f>
        <v>SC8 Rate I</v>
      </c>
      <c r="C35" s="133" t="s">
        <v>121</v>
      </c>
      <c r="D35" s="133"/>
      <c r="E35" s="133"/>
      <c r="F35" s="133"/>
      <c r="P35"/>
    </row>
    <row r="36" spans="1:17" x14ac:dyDescent="0.35">
      <c r="C36" s="464" t="s">
        <v>2195</v>
      </c>
      <c r="D36" s="464"/>
      <c r="E36" s="464"/>
      <c r="F36" s="464"/>
      <c r="G36" s="464"/>
      <c r="H36" s="464"/>
      <c r="I36" s="810">
        <f>L17-L15</f>
        <v>2692226.9795800783</v>
      </c>
      <c r="J36" s="892" t="s">
        <v>79</v>
      </c>
      <c r="P36"/>
      <c r="Q36" s="142"/>
    </row>
    <row r="37" spans="1:17" x14ac:dyDescent="0.35">
      <c r="C37" s="464" t="s">
        <v>119</v>
      </c>
      <c r="D37" s="464"/>
      <c r="E37" s="464"/>
      <c r="F37" s="464"/>
      <c r="G37" s="464"/>
      <c r="H37" s="464"/>
      <c r="I37" s="810">
        <f>L19</f>
        <v>107799571</v>
      </c>
      <c r="J37" s="892" t="s">
        <v>78</v>
      </c>
      <c r="P37"/>
      <c r="Q37" s="142"/>
    </row>
    <row r="38" spans="1:17" x14ac:dyDescent="0.35">
      <c r="C38" s="464" t="s">
        <v>118</v>
      </c>
      <c r="D38" s="464"/>
      <c r="E38" s="464"/>
      <c r="F38" s="464"/>
      <c r="G38" s="464"/>
      <c r="H38" s="464"/>
      <c r="I38" s="810">
        <f>L20</f>
        <v>1332404</v>
      </c>
      <c r="J38" s="892" t="s">
        <v>1089</v>
      </c>
      <c r="P38"/>
      <c r="Q38" s="142"/>
    </row>
    <row r="39" spans="1:17" x14ac:dyDescent="0.35">
      <c r="C39" s="1243" t="s">
        <v>117</v>
      </c>
      <c r="D39" s="1243"/>
      <c r="E39" s="1243"/>
      <c r="F39" s="1243"/>
      <c r="G39" s="464"/>
      <c r="H39" s="464"/>
      <c r="I39" s="1244">
        <f>ROUND(I36/(I37+I38),8)</f>
        <v>2.4669460000000001E-2</v>
      </c>
      <c r="J39" s="136" t="s">
        <v>1653</v>
      </c>
      <c r="P39"/>
      <c r="Q39" s="142"/>
    </row>
    <row r="40" spans="1:17" x14ac:dyDescent="0.35">
      <c r="C40" s="392" t="s">
        <v>2196</v>
      </c>
      <c r="D40" s="464"/>
      <c r="E40" s="464"/>
      <c r="F40" s="464"/>
      <c r="G40" s="464"/>
      <c r="H40" s="464"/>
      <c r="I40" s="1233">
        <f>G26</f>
        <v>11</v>
      </c>
      <c r="J40" s="1121" t="s">
        <v>213</v>
      </c>
      <c r="L40" s="141"/>
    </row>
    <row r="41" spans="1:17" x14ac:dyDescent="0.35">
      <c r="C41" s="464"/>
      <c r="D41" s="464"/>
      <c r="E41" s="464"/>
      <c r="F41" s="464"/>
      <c r="G41" s="1220" t="s">
        <v>26</v>
      </c>
      <c r="H41" s="1220" t="s">
        <v>116</v>
      </c>
      <c r="I41" s="1220" t="s">
        <v>115</v>
      </c>
    </row>
    <row r="42" spans="1:17" x14ac:dyDescent="0.35">
      <c r="B42" s="41" t="str">
        <f>$A$4</f>
        <v>SC8 Rate I</v>
      </c>
      <c r="C42" s="464" t="s">
        <v>114</v>
      </c>
      <c r="D42" s="464"/>
      <c r="E42" s="464"/>
      <c r="F42" s="464"/>
      <c r="G42" s="1245">
        <f>$T$9</f>
        <v>6919</v>
      </c>
      <c r="H42" s="1246">
        <f>G10</f>
        <v>380.53</v>
      </c>
      <c r="I42" s="809">
        <f>ROUND(G42*H42,0)</f>
        <v>2632887</v>
      </c>
      <c r="J42" s="61" t="s">
        <v>1654</v>
      </c>
    </row>
    <row r="43" spans="1:17" x14ac:dyDescent="0.35">
      <c r="C43" s="464" t="s">
        <v>113</v>
      </c>
      <c r="D43" s="464"/>
      <c r="E43" s="464"/>
      <c r="F43" s="464"/>
      <c r="G43" s="1245">
        <f>$T$14</f>
        <v>13828</v>
      </c>
      <c r="H43" s="1246">
        <f>G12</f>
        <v>294.16000000000003</v>
      </c>
      <c r="I43" s="809">
        <f>ROUND(G43*H43,0)</f>
        <v>4067644</v>
      </c>
      <c r="J43" s="61" t="s">
        <v>1655</v>
      </c>
    </row>
    <row r="44" spans="1:17" x14ac:dyDescent="0.35">
      <c r="C44" s="464" t="s">
        <v>112</v>
      </c>
      <c r="D44" s="464"/>
      <c r="E44" s="464"/>
      <c r="F44" s="464"/>
      <c r="G44" s="1245">
        <f>$T$19</f>
        <v>0</v>
      </c>
      <c r="H44" s="1246">
        <f>G16</f>
        <v>273.87</v>
      </c>
      <c r="I44" s="809">
        <f>ROUND(G44*H44,0)</f>
        <v>0</v>
      </c>
      <c r="J44" s="61" t="s">
        <v>1656</v>
      </c>
    </row>
    <row r="45" spans="1:17" x14ac:dyDescent="0.35">
      <c r="C45" s="464" t="s">
        <v>111</v>
      </c>
      <c r="D45" s="464"/>
      <c r="E45" s="464"/>
      <c r="F45" s="464"/>
      <c r="G45" s="1245">
        <f>$T$24</f>
        <v>0</v>
      </c>
      <c r="H45" s="1246">
        <f>G18</f>
        <v>187.5</v>
      </c>
      <c r="I45" s="809">
        <f>ROUND(G45*H45,0)</f>
        <v>0</v>
      </c>
      <c r="J45" s="61" t="s">
        <v>1657</v>
      </c>
    </row>
    <row r="46" spans="1:17" x14ac:dyDescent="0.35">
      <c r="C46" s="464" t="s">
        <v>110</v>
      </c>
      <c r="D46" s="464"/>
      <c r="E46" s="464"/>
      <c r="F46" s="464"/>
      <c r="G46" s="464"/>
      <c r="H46" s="464"/>
      <c r="I46" s="1247">
        <f>SUM(I42:I45)</f>
        <v>6700531</v>
      </c>
      <c r="J46" s="61" t="s">
        <v>1658</v>
      </c>
    </row>
    <row r="47" spans="1:17" ht="15" thickBot="1" x14ac:dyDescent="0.4">
      <c r="B47" s="285"/>
      <c r="C47" s="464" t="s">
        <v>308</v>
      </c>
      <c r="D47" s="464"/>
      <c r="E47" s="464"/>
      <c r="F47" s="464"/>
      <c r="G47" s="464"/>
      <c r="H47" s="464"/>
      <c r="I47" s="1249">
        <f>L14</f>
        <v>0</v>
      </c>
      <c r="J47" s="597" t="s">
        <v>1111</v>
      </c>
    </row>
    <row r="48" spans="1:17" ht="15.5" thickTop="1" thickBot="1" x14ac:dyDescent="0.4">
      <c r="C48" s="464" t="s">
        <v>107</v>
      </c>
      <c r="D48" s="464"/>
      <c r="E48" s="464"/>
      <c r="F48" s="464"/>
      <c r="G48" s="464"/>
      <c r="H48" s="464"/>
      <c r="I48" s="813">
        <f>ROUND(I46*(1+I47),0)</f>
        <v>6700531</v>
      </c>
      <c r="J48" s="597" t="s">
        <v>1659</v>
      </c>
    </row>
    <row r="49" spans="1:13" ht="15.5" thickTop="1" thickBot="1" x14ac:dyDescent="0.4">
      <c r="C49" s="464" t="s">
        <v>2239</v>
      </c>
      <c r="D49" s="464"/>
      <c r="E49" s="464"/>
      <c r="F49" s="464"/>
      <c r="G49" s="464"/>
      <c r="H49" s="464"/>
      <c r="I49" s="810">
        <f>I40*SUM(G42:G45)</f>
        <v>228217</v>
      </c>
      <c r="J49" s="1123" t="s">
        <v>2197</v>
      </c>
    </row>
    <row r="50" spans="1:13" ht="15.5" thickTop="1" thickBot="1" x14ac:dyDescent="0.4">
      <c r="C50" s="464" t="s">
        <v>2238</v>
      </c>
      <c r="D50" s="464"/>
      <c r="E50" s="464"/>
      <c r="F50" s="464"/>
      <c r="G50" s="464"/>
      <c r="H50" s="464"/>
      <c r="I50" s="821">
        <f>ROUND(I48*(1+I39),0)+I49</f>
        <v>7094046</v>
      </c>
      <c r="J50" s="1123" t="s">
        <v>2198</v>
      </c>
    </row>
    <row r="51" spans="1:13" ht="15" thickTop="1" x14ac:dyDescent="0.35"/>
    <row r="53" spans="1:13" x14ac:dyDescent="0.35">
      <c r="A53" s="407" t="s">
        <v>1652</v>
      </c>
    </row>
    <row r="55" spans="1:13" x14ac:dyDescent="0.35">
      <c r="B55" s="41" t="str">
        <f>$A$4</f>
        <v>SC8 Rate I</v>
      </c>
      <c r="C55" s="133" t="s">
        <v>103</v>
      </c>
      <c r="D55" s="133"/>
      <c r="E55" s="133"/>
      <c r="F55" s="133"/>
      <c r="L55" s="135"/>
    </row>
    <row r="56" spans="1:13" x14ac:dyDescent="0.35">
      <c r="C56" t="s">
        <v>102</v>
      </c>
      <c r="L56" s="819">
        <f>M19</f>
        <v>106597638</v>
      </c>
      <c r="M56" s="61" t="s">
        <v>165</v>
      </c>
    </row>
    <row r="57" spans="1:13" x14ac:dyDescent="0.35">
      <c r="C57" t="s">
        <v>88</v>
      </c>
      <c r="L57" s="819">
        <f>M20</f>
        <v>1317803</v>
      </c>
      <c r="M57" s="61" t="s">
        <v>166</v>
      </c>
    </row>
    <row r="58" spans="1:13" ht="15" thickBot="1" x14ac:dyDescent="0.4">
      <c r="C58" t="s">
        <v>99</v>
      </c>
      <c r="K58" s="129"/>
      <c r="L58" s="603">
        <f>I46</f>
        <v>6700531</v>
      </c>
      <c r="M58" s="61" t="s">
        <v>1304</v>
      </c>
    </row>
    <row r="59" spans="1:13" ht="15.5" thickTop="1" thickBot="1" x14ac:dyDescent="0.4">
      <c r="C59" s="75" t="s">
        <v>98</v>
      </c>
      <c r="D59" s="75"/>
      <c r="E59" s="75"/>
      <c r="F59" s="75"/>
      <c r="L59" s="740">
        <f>L56+L57-L58</f>
        <v>101214910</v>
      </c>
      <c r="M59" s="61" t="s">
        <v>1660</v>
      </c>
    </row>
    <row r="60" spans="1:13" ht="15" thickTop="1" x14ac:dyDescent="0.35"/>
    <row r="61" spans="1:13" x14ac:dyDescent="0.35">
      <c r="C61" s="131" t="s">
        <v>97</v>
      </c>
      <c r="D61" s="131"/>
      <c r="E61" s="131"/>
      <c r="F61" s="131"/>
      <c r="K61" s="130">
        <f>M17</f>
        <v>3354952</v>
      </c>
      <c r="M61" s="61" t="s">
        <v>101</v>
      </c>
    </row>
    <row r="62" spans="1:13" x14ac:dyDescent="0.35">
      <c r="C62" t="s">
        <v>96</v>
      </c>
    </row>
    <row r="63" spans="1:13" x14ac:dyDescent="0.35">
      <c r="C63" s="133" t="s">
        <v>95</v>
      </c>
      <c r="D63" s="133"/>
      <c r="E63" s="133"/>
      <c r="F63" s="133"/>
      <c r="J63" s="926">
        <f>L13</f>
        <v>2.522425E-2</v>
      </c>
      <c r="K63" s="130"/>
      <c r="M63" s="61" t="s">
        <v>100</v>
      </c>
    </row>
    <row r="64" spans="1:13" x14ac:dyDescent="0.35">
      <c r="C64" t="s">
        <v>94</v>
      </c>
      <c r="I64" s="130">
        <f>M18</f>
        <v>30714</v>
      </c>
      <c r="J64" s="130">
        <f>ROUND(I64*J$63,0)</f>
        <v>775</v>
      </c>
      <c r="M64" s="61" t="s">
        <v>229</v>
      </c>
    </row>
    <row r="65" spans="1:14" x14ac:dyDescent="0.35">
      <c r="C65" t="s">
        <v>93</v>
      </c>
      <c r="I65" s="130">
        <f>M22</f>
        <v>0</v>
      </c>
      <c r="J65" s="130">
        <f>ROUND(I65*J$63,0)</f>
        <v>0</v>
      </c>
      <c r="M65" s="61" t="s">
        <v>1090</v>
      </c>
    </row>
    <row r="66" spans="1:14" x14ac:dyDescent="0.35">
      <c r="C66" t="s">
        <v>92</v>
      </c>
      <c r="I66" s="130">
        <f>M23</f>
        <v>0</v>
      </c>
      <c r="J66" s="130">
        <f>ROUND(I66*J$63,0)</f>
        <v>0</v>
      </c>
      <c r="K66" s="132">
        <f>J64+J65+J66</f>
        <v>775</v>
      </c>
      <c r="M66" s="61" t="s">
        <v>1091</v>
      </c>
    </row>
    <row r="67" spans="1:14" x14ac:dyDescent="0.35">
      <c r="C67" s="131" t="s">
        <v>91</v>
      </c>
      <c r="D67" s="131"/>
      <c r="E67" s="131"/>
      <c r="F67" s="131"/>
      <c r="K67" s="130">
        <f>K61-K66</f>
        <v>3354177</v>
      </c>
      <c r="M67" s="61" t="s">
        <v>1661</v>
      </c>
    </row>
    <row r="68" spans="1:14" x14ac:dyDescent="0.35">
      <c r="J68" s="130"/>
    </row>
    <row r="69" spans="1:14" x14ac:dyDescent="0.35">
      <c r="C69" t="s">
        <v>90</v>
      </c>
      <c r="K69" s="129"/>
      <c r="L69" s="130">
        <f>L56+K67</f>
        <v>109951815</v>
      </c>
      <c r="M69" s="61" t="s">
        <v>1662</v>
      </c>
      <c r="N69" s="130"/>
    </row>
    <row r="70" spans="1:14" x14ac:dyDescent="0.35">
      <c r="C70" t="s">
        <v>88</v>
      </c>
      <c r="K70" s="129"/>
      <c r="L70" s="130">
        <f>L57</f>
        <v>1317803</v>
      </c>
      <c r="M70" s="61" t="s">
        <v>166</v>
      </c>
    </row>
    <row r="71" spans="1:14" ht="15" thickBot="1" x14ac:dyDescent="0.4">
      <c r="C71" s="3" t="s">
        <v>87</v>
      </c>
      <c r="D71" s="3"/>
      <c r="E71" s="3"/>
      <c r="F71" s="3"/>
      <c r="K71" s="129"/>
      <c r="L71" s="130">
        <f>I50</f>
        <v>7094046</v>
      </c>
      <c r="M71" s="61" t="s">
        <v>1263</v>
      </c>
      <c r="N71" s="130"/>
    </row>
    <row r="72" spans="1:14" ht="15.5" thickTop="1" thickBot="1" x14ac:dyDescent="0.4">
      <c r="C72" s="75" t="s">
        <v>85</v>
      </c>
      <c r="D72" s="75"/>
      <c r="E72" s="75"/>
      <c r="F72" s="75"/>
      <c r="K72" s="129"/>
      <c r="L72" s="927">
        <f>L69+L70-L71</f>
        <v>104175572</v>
      </c>
      <c r="M72" s="61" t="s">
        <v>1663</v>
      </c>
      <c r="N72" s="130"/>
    </row>
    <row r="73" spans="1:14" ht="15" thickTop="1" x14ac:dyDescent="0.35"/>
    <row r="74" spans="1:14" x14ac:dyDescent="0.35">
      <c r="C74" s="75" t="s">
        <v>84</v>
      </c>
      <c r="D74" s="75"/>
      <c r="E74" s="75"/>
      <c r="F74" s="75"/>
      <c r="L74" s="637">
        <f>ROUND(L72/L59-1,8)</f>
        <v>2.9251240000000001E-2</v>
      </c>
      <c r="M74" s="61" t="s">
        <v>1664</v>
      </c>
    </row>
    <row r="77" spans="1:14" x14ac:dyDescent="0.35">
      <c r="A77" s="407" t="s">
        <v>83</v>
      </c>
    </row>
    <row r="80" spans="1:14" ht="15" thickBot="1" x14ac:dyDescent="0.4"/>
    <row r="81" spans="2:15" ht="15.5" thickTop="1" thickBot="1" x14ac:dyDescent="0.4">
      <c r="B81" s="41" t="str">
        <f>$A$4</f>
        <v>SC8 Rate I</v>
      </c>
      <c r="C81" s="3"/>
      <c r="D81" s="3"/>
      <c r="E81" s="3"/>
      <c r="F81" s="3"/>
      <c r="G81" s="3"/>
      <c r="H81" s="1316" t="s">
        <v>82</v>
      </c>
      <c r="I81" s="1317"/>
      <c r="J81" s="1318"/>
      <c r="K81" s="3"/>
      <c r="L81" s="1307" t="s">
        <v>81</v>
      </c>
      <c r="M81" s="1308"/>
      <c r="N81" s="1309"/>
    </row>
    <row r="82" spans="2:15" ht="15" thickTop="1" x14ac:dyDescent="0.35">
      <c r="B82" s="3"/>
      <c r="C82" s="3"/>
      <c r="E82" s="30" t="s">
        <v>80</v>
      </c>
      <c r="F82" s="3"/>
      <c r="G82" s="3"/>
      <c r="H82" s="30" t="s">
        <v>42</v>
      </c>
      <c r="I82" s="30"/>
      <c r="J82" s="30" t="s">
        <v>40</v>
      </c>
      <c r="K82" s="3"/>
      <c r="L82" s="30" t="s">
        <v>42</v>
      </c>
      <c r="M82" s="86"/>
      <c r="N82" s="30" t="s">
        <v>40</v>
      </c>
    </row>
    <row r="83" spans="2:15" x14ac:dyDescent="0.35">
      <c r="B83" s="3" t="s">
        <v>43</v>
      </c>
      <c r="C83" s="3"/>
      <c r="D83" s="567">
        <f>Q6</f>
        <v>0</v>
      </c>
      <c r="E83" s="123" t="str">
        <f>R6</f>
        <v>-</v>
      </c>
      <c r="F83" s="567">
        <f>S6</f>
        <v>10</v>
      </c>
      <c r="G83" s="123"/>
      <c r="H83" s="35">
        <f>G10</f>
        <v>380.53</v>
      </c>
      <c r="I83" s="892" t="s">
        <v>109</v>
      </c>
      <c r="J83" s="35">
        <f>G12</f>
        <v>294.16000000000003</v>
      </c>
      <c r="K83" s="892" t="s">
        <v>1639</v>
      </c>
      <c r="L83" s="3"/>
      <c r="M83" s="17"/>
      <c r="N83" s="3"/>
    </row>
    <row r="84" spans="2:15" x14ac:dyDescent="0.35">
      <c r="B84" s="3"/>
      <c r="C84" s="3"/>
      <c r="D84" s="567"/>
      <c r="E84" s="123"/>
      <c r="F84" s="567"/>
      <c r="G84" s="36"/>
      <c r="H84" s="35"/>
      <c r="I84" s="35"/>
      <c r="J84" s="35"/>
      <c r="K84" s="3"/>
      <c r="L84" s="1"/>
      <c r="M84" s="1"/>
      <c r="N84" s="1"/>
    </row>
    <row r="85" spans="2:15" x14ac:dyDescent="0.35">
      <c r="B85" s="3"/>
      <c r="C85" s="3"/>
      <c r="D85" s="3"/>
      <c r="E85" s="123" t="str">
        <f>R7</f>
        <v>&gt;</v>
      </c>
      <c r="F85" s="567">
        <f>S7</f>
        <v>10</v>
      </c>
      <c r="G85" s="36"/>
      <c r="H85" s="120">
        <f>G11</f>
        <v>34.32</v>
      </c>
      <c r="I85" s="892" t="s">
        <v>108</v>
      </c>
      <c r="J85" s="124">
        <f>G13</f>
        <v>26.51</v>
      </c>
      <c r="K85" s="892" t="s">
        <v>1640</v>
      </c>
      <c r="L85" s="27">
        <f>H85-J$85</f>
        <v>7.8099999999999987</v>
      </c>
      <c r="M85" s="61" t="s">
        <v>1666</v>
      </c>
      <c r="N85" s="112"/>
      <c r="O85" s="61" t="s">
        <v>1665</v>
      </c>
    </row>
    <row r="86" spans="2:15" x14ac:dyDescent="0.35">
      <c r="B86" s="3"/>
      <c r="C86" s="3"/>
      <c r="D86" s="3"/>
      <c r="E86" s="123"/>
      <c r="F86" s="123"/>
      <c r="G86" s="36"/>
      <c r="H86" s="120"/>
      <c r="I86" s="120"/>
      <c r="J86" s="120"/>
      <c r="K86" s="3"/>
      <c r="L86" s="27"/>
      <c r="M86" s="61"/>
      <c r="N86" s="61"/>
    </row>
    <row r="87" spans="2:15" x14ac:dyDescent="0.35">
      <c r="B87" s="3" t="s">
        <v>41</v>
      </c>
      <c r="C87" s="3"/>
      <c r="D87" s="121">
        <f>D83</f>
        <v>0</v>
      </c>
      <c r="E87" s="122" t="str">
        <f>E83</f>
        <v>-</v>
      </c>
      <c r="F87" s="121">
        <f>F83</f>
        <v>10</v>
      </c>
      <c r="G87" s="123"/>
      <c r="H87" s="35">
        <f>G16</f>
        <v>273.87</v>
      </c>
      <c r="I87" s="892" t="s">
        <v>1574</v>
      </c>
      <c r="J87" s="35">
        <f>G18</f>
        <v>187.5</v>
      </c>
      <c r="K87" s="892" t="s">
        <v>1603</v>
      </c>
      <c r="L87" s="3"/>
      <c r="M87" s="109"/>
      <c r="N87" s="3"/>
    </row>
    <row r="88" spans="2:15" x14ac:dyDescent="0.35">
      <c r="B88" s="3"/>
      <c r="C88" s="3"/>
      <c r="D88" s="121"/>
      <c r="E88" s="122"/>
      <c r="F88" s="121"/>
      <c r="G88" s="36"/>
      <c r="H88" s="35"/>
      <c r="I88" s="35"/>
      <c r="J88" s="35"/>
      <c r="K88" s="3"/>
      <c r="L88" s="1"/>
      <c r="N88" s="1"/>
    </row>
    <row r="89" spans="2:15" x14ac:dyDescent="0.35">
      <c r="B89" s="3"/>
      <c r="C89" s="3"/>
      <c r="D89" s="2"/>
      <c r="E89" s="122" t="str">
        <f>E85</f>
        <v>&gt;</v>
      </c>
      <c r="F89" s="121">
        <f>F85</f>
        <v>10</v>
      </c>
      <c r="G89" s="36"/>
      <c r="H89" s="120">
        <f>G17</f>
        <v>24.69</v>
      </c>
      <c r="I89" s="892" t="s">
        <v>1638</v>
      </c>
      <c r="J89" s="120">
        <f>G19</f>
        <v>16.860000000000003</v>
      </c>
      <c r="K89" s="892" t="s">
        <v>1604</v>
      </c>
      <c r="L89" s="27">
        <f>H89-J$85</f>
        <v>-1.8200000000000003</v>
      </c>
      <c r="M89" s="61" t="s">
        <v>1667</v>
      </c>
      <c r="N89" s="27">
        <f>J89-J$85</f>
        <v>-9.6499999999999986</v>
      </c>
      <c r="O89" s="61" t="s">
        <v>1668</v>
      </c>
    </row>
    <row r="91" spans="2:15" ht="15" thickBot="1" x14ac:dyDescent="0.4"/>
    <row r="92" spans="2:15" ht="15.5" thickTop="1" thickBot="1" x14ac:dyDescent="0.4">
      <c r="B92" s="119" t="s">
        <v>77</v>
      </c>
      <c r="L92" s="1307" t="s">
        <v>76</v>
      </c>
      <c r="M92" s="1308"/>
      <c r="N92" s="1309"/>
    </row>
    <row r="93" spans="2:15" ht="15.5" thickTop="1" thickBot="1" x14ac:dyDescent="0.4">
      <c r="G93" s="118" t="s">
        <v>42</v>
      </c>
      <c r="H93" s="118" t="s">
        <v>40</v>
      </c>
      <c r="L93" s="30" t="s">
        <v>42</v>
      </c>
      <c r="M93" s="86"/>
      <c r="N93" s="30" t="s">
        <v>40</v>
      </c>
    </row>
    <row r="94" spans="2:15" x14ac:dyDescent="0.35">
      <c r="B94" s="3"/>
      <c r="G94" s="117"/>
      <c r="H94" s="116"/>
      <c r="K94" t="str">
        <f>B83</f>
        <v>Low Tension (LT)</v>
      </c>
      <c r="L94" s="3"/>
      <c r="M94" s="17"/>
      <c r="N94" s="3"/>
    </row>
    <row r="95" spans="2:15" x14ac:dyDescent="0.35">
      <c r="B95" s="3" t="s">
        <v>75</v>
      </c>
      <c r="G95" s="114" t="str">
        <f>CONCATENATE("X + ",L96)</f>
        <v>X + 8.04</v>
      </c>
      <c r="H95" s="115" t="s">
        <v>32</v>
      </c>
      <c r="L95" s="27"/>
      <c r="M95" s="17"/>
      <c r="N95" s="27"/>
    </row>
    <row r="96" spans="2:15" x14ac:dyDescent="0.35">
      <c r="B96" s="3"/>
      <c r="G96" s="114"/>
      <c r="H96" s="113"/>
      <c r="L96" s="27">
        <f>ROUND(L85*(1+$L$74),2)</f>
        <v>8.0399999999999991</v>
      </c>
      <c r="M96" s="61" t="s">
        <v>1669</v>
      </c>
      <c r="N96" s="112"/>
      <c r="O96" s="61" t="s">
        <v>1665</v>
      </c>
    </row>
    <row r="97" spans="2:15" ht="15" thickBot="1" x14ac:dyDescent="0.4">
      <c r="B97" s="3" t="s">
        <v>73</v>
      </c>
      <c r="G97" s="111" t="str">
        <f>CONCATENATE("X + ",L100)</f>
        <v>X + -1.87</v>
      </c>
      <c r="H97" s="110" t="str">
        <f>CONCATENATE("X + ",N100)</f>
        <v>X + -9.93</v>
      </c>
      <c r="L97" s="27"/>
      <c r="M97" s="109"/>
      <c r="N97" s="109"/>
    </row>
    <row r="98" spans="2:15" x14ac:dyDescent="0.35">
      <c r="K98" t="str">
        <f>B87</f>
        <v>High Tension (HT)</v>
      </c>
      <c r="L98" s="3"/>
      <c r="M98" s="109"/>
      <c r="N98" s="3"/>
    </row>
    <row r="99" spans="2:15" x14ac:dyDescent="0.35">
      <c r="L99" s="27"/>
      <c r="N99" s="27"/>
    </row>
    <row r="100" spans="2:15" x14ac:dyDescent="0.35">
      <c r="L100" s="27">
        <f>ROUND(L89*(1+$L$74),2)</f>
        <v>-1.87</v>
      </c>
      <c r="M100" s="61" t="s">
        <v>1670</v>
      </c>
      <c r="N100" s="27">
        <f>ROUND(N89*(1+$L$74),2)</f>
        <v>-9.93</v>
      </c>
      <c r="O100" s="61" t="s">
        <v>1671</v>
      </c>
    </row>
    <row r="101" spans="2:15" x14ac:dyDescent="0.35">
      <c r="L101" s="27"/>
      <c r="M101" s="61"/>
      <c r="N101" s="27"/>
      <c r="O101" s="61"/>
    </row>
    <row r="102" spans="2:15" x14ac:dyDescent="0.35">
      <c r="B102" s="334" t="s">
        <v>70</v>
      </c>
    </row>
    <row r="103" spans="2:15" x14ac:dyDescent="0.35">
      <c r="B103" s="41" t="str">
        <f>$A$4</f>
        <v>SC8 Rate I</v>
      </c>
    </row>
    <row r="104" spans="2:15" ht="15" thickBot="1" x14ac:dyDescent="0.4">
      <c r="B104" s="70" t="s">
        <v>69</v>
      </c>
      <c r="C104" s="70"/>
      <c r="D104" s="70"/>
      <c r="E104" s="3"/>
      <c r="F104" s="3"/>
      <c r="G104" s="3"/>
      <c r="I104" s="69" t="s">
        <v>25</v>
      </c>
      <c r="J104" s="3"/>
      <c r="K104" s="3"/>
    </row>
    <row r="105" spans="2:15" x14ac:dyDescent="0.35">
      <c r="B105" s="3" t="s">
        <v>43</v>
      </c>
      <c r="C105" s="70"/>
      <c r="D105" s="70"/>
      <c r="E105" s="3" t="s">
        <v>42</v>
      </c>
      <c r="F105" s="3"/>
      <c r="G105" s="108" t="str">
        <f>CONCATENATE(D83,E83,F83," kW")</f>
        <v>0-10 kW</v>
      </c>
      <c r="I105" s="72"/>
      <c r="J105" s="36"/>
      <c r="K105" s="74"/>
    </row>
    <row r="106" spans="2:15" x14ac:dyDescent="0.35">
      <c r="B106" s="3" t="s">
        <v>43</v>
      </c>
      <c r="C106" s="3"/>
      <c r="D106" s="3"/>
      <c r="E106" s="3" t="s">
        <v>42</v>
      </c>
      <c r="F106" s="3"/>
      <c r="G106" s="108" t="str">
        <f>CONCATENATE(D85,E85,F85," kW")</f>
        <v>&gt;10 kW</v>
      </c>
      <c r="I106" s="72">
        <f>U7</f>
        <v>1446294</v>
      </c>
      <c r="J106" s="36" t="s">
        <v>39</v>
      </c>
      <c r="K106" s="107" t="str">
        <f>CONCATENATE("[",G95,"]")</f>
        <v>[X + 8.04]</v>
      </c>
      <c r="L106" s="61" t="s">
        <v>1698</v>
      </c>
    </row>
    <row r="107" spans="2:15" x14ac:dyDescent="0.35">
      <c r="B107" s="3" t="s">
        <v>43</v>
      </c>
      <c r="C107" s="3"/>
      <c r="D107" s="3"/>
      <c r="E107" s="3" t="s">
        <v>40</v>
      </c>
      <c r="F107" s="3"/>
      <c r="G107" s="3" t="str">
        <f>G105</f>
        <v>0-10 kW</v>
      </c>
      <c r="I107" s="72"/>
      <c r="J107" s="36"/>
      <c r="K107" s="73"/>
      <c r="L107" s="61"/>
    </row>
    <row r="108" spans="2:15" x14ac:dyDescent="0.35">
      <c r="B108" s="3" t="s">
        <v>43</v>
      </c>
      <c r="C108" s="3"/>
      <c r="D108" s="3"/>
      <c r="E108" s="3" t="s">
        <v>40</v>
      </c>
      <c r="F108" s="3"/>
      <c r="G108" s="3" t="str">
        <f>G106</f>
        <v>&gt;10 kW</v>
      </c>
      <c r="I108" s="72">
        <f>U12</f>
        <v>1945382</v>
      </c>
      <c r="J108" s="36" t="s">
        <v>39</v>
      </c>
      <c r="K108" s="73" t="str">
        <f>CONCATENATE("[",H95,"]")</f>
        <v>[X]</v>
      </c>
      <c r="L108" s="61" t="s">
        <v>1699</v>
      </c>
    </row>
    <row r="109" spans="2:15" x14ac:dyDescent="0.35">
      <c r="B109" s="3" t="s">
        <v>41</v>
      </c>
      <c r="C109" s="3"/>
      <c r="D109" s="3"/>
      <c r="E109" s="3" t="s">
        <v>42</v>
      </c>
      <c r="F109" s="3"/>
      <c r="G109" s="3" t="str">
        <f>G105</f>
        <v>0-10 kW</v>
      </c>
      <c r="I109" s="72"/>
      <c r="J109" s="36"/>
      <c r="K109" s="73"/>
      <c r="L109" s="61"/>
    </row>
    <row r="110" spans="2:15" x14ac:dyDescent="0.35">
      <c r="B110" s="3" t="s">
        <v>41</v>
      </c>
      <c r="C110" s="3"/>
      <c r="D110" s="3"/>
      <c r="E110" s="3" t="s">
        <v>42</v>
      </c>
      <c r="F110" s="3"/>
      <c r="G110" s="3" t="str">
        <f>G106</f>
        <v>&gt;10 kW</v>
      </c>
      <c r="I110" s="72">
        <f>U17</f>
        <v>0</v>
      </c>
      <c r="J110" s="36" t="s">
        <v>39</v>
      </c>
      <c r="K110" s="73" t="str">
        <f>CONCATENATE("[",G97,"]")</f>
        <v>[X + -1.87]</v>
      </c>
      <c r="L110" s="61" t="s">
        <v>1700</v>
      </c>
    </row>
    <row r="111" spans="2:15" x14ac:dyDescent="0.35">
      <c r="B111" s="3" t="s">
        <v>41</v>
      </c>
      <c r="C111" s="3"/>
      <c r="D111" s="3"/>
      <c r="E111" s="3" t="s">
        <v>40</v>
      </c>
      <c r="F111" s="3"/>
      <c r="G111" s="3" t="str">
        <f>G105</f>
        <v>0-10 kW</v>
      </c>
      <c r="I111" s="72"/>
      <c r="J111" s="36"/>
      <c r="K111" s="73"/>
      <c r="L111" s="61"/>
    </row>
    <row r="112" spans="2:15" ht="15" thickBot="1" x14ac:dyDescent="0.4">
      <c r="B112" s="3" t="s">
        <v>41</v>
      </c>
      <c r="C112" s="3"/>
      <c r="D112" s="3"/>
      <c r="E112" s="3" t="s">
        <v>40</v>
      </c>
      <c r="F112" s="3"/>
      <c r="G112" s="3" t="str">
        <f>G106</f>
        <v>&gt;10 kW</v>
      </c>
      <c r="I112" s="351">
        <f>U22</f>
        <v>0</v>
      </c>
      <c r="J112" s="36" t="s">
        <v>39</v>
      </c>
      <c r="K112" s="71" t="str">
        <f>CONCATENATE("[",H97,"]")</f>
        <v>[X + -9.93]</v>
      </c>
      <c r="L112" s="61" t="s">
        <v>1701</v>
      </c>
    </row>
    <row r="113" spans="2:14" x14ac:dyDescent="0.35">
      <c r="I113" s="28">
        <f>SUM(I105:I112)</f>
        <v>3391676</v>
      </c>
      <c r="J113" s="61" t="s">
        <v>1672</v>
      </c>
    </row>
    <row r="115" spans="2:14" x14ac:dyDescent="0.35">
      <c r="B115" s="70" t="s">
        <v>38</v>
      </c>
    </row>
    <row r="116" spans="2:14" x14ac:dyDescent="0.35">
      <c r="B116" s="41" t="str">
        <f>$A$4</f>
        <v>SC8 Rate I</v>
      </c>
      <c r="F116" s="3"/>
      <c r="G116" s="3"/>
      <c r="H116" s="3"/>
      <c r="I116" s="69" t="s">
        <v>25</v>
      </c>
      <c r="J116" s="3"/>
      <c r="K116" s="106"/>
      <c r="L116" s="3"/>
      <c r="M116" s="3"/>
      <c r="N116" s="17"/>
    </row>
    <row r="117" spans="2:14" x14ac:dyDescent="0.35">
      <c r="B117" s="3" t="s">
        <v>727</v>
      </c>
      <c r="C117" s="3"/>
      <c r="F117" s="3"/>
      <c r="G117" s="3"/>
      <c r="H117" s="3"/>
      <c r="I117" s="105"/>
      <c r="J117" s="65"/>
      <c r="K117" s="34"/>
      <c r="L117" s="3"/>
      <c r="M117" s="17"/>
      <c r="N117" s="17"/>
    </row>
    <row r="118" spans="2:14" x14ac:dyDescent="0.35">
      <c r="B118" s="3" t="s">
        <v>37</v>
      </c>
      <c r="C118" s="3"/>
      <c r="F118" s="3"/>
      <c r="G118" s="3"/>
      <c r="H118" s="3"/>
      <c r="I118" s="105">
        <f t="shared" ref="I118:I124" si="0">I106</f>
        <v>1446294</v>
      </c>
      <c r="J118" s="65" t="s">
        <v>63</v>
      </c>
      <c r="K118" s="34">
        <f>ROUND(I118*L96,0)</f>
        <v>11628204</v>
      </c>
      <c r="L118" s="3" t="s">
        <v>62</v>
      </c>
      <c r="M118" s="61" t="s">
        <v>1702</v>
      </c>
      <c r="N118" s="17"/>
    </row>
    <row r="119" spans="2:14" x14ac:dyDescent="0.35">
      <c r="B119" s="3" t="s">
        <v>728</v>
      </c>
      <c r="C119" s="3"/>
      <c r="F119" s="3"/>
      <c r="G119" s="3"/>
      <c r="H119" s="105"/>
      <c r="I119" s="65"/>
      <c r="J119" s="34"/>
      <c r="K119" s="3"/>
      <c r="L119" s="3"/>
      <c r="M119" s="17"/>
      <c r="N119" s="17"/>
    </row>
    <row r="120" spans="2:14" x14ac:dyDescent="0.35">
      <c r="B120" s="3" t="s">
        <v>36</v>
      </c>
      <c r="C120" s="3"/>
      <c r="F120" s="3"/>
      <c r="G120" s="3"/>
      <c r="H120" s="3"/>
      <c r="I120" s="105">
        <f t="shared" si="0"/>
        <v>1945382</v>
      </c>
      <c r="J120" s="65" t="s">
        <v>63</v>
      </c>
      <c r="K120" s="34">
        <f>ROUND(I120*N96,0)</f>
        <v>0</v>
      </c>
      <c r="L120" s="3" t="s">
        <v>62</v>
      </c>
      <c r="M120" s="61" t="s">
        <v>1703</v>
      </c>
      <c r="N120" s="17"/>
    </row>
    <row r="121" spans="2:14" x14ac:dyDescent="0.35">
      <c r="B121" s="3" t="s">
        <v>729</v>
      </c>
      <c r="C121" s="3"/>
      <c r="F121" s="3"/>
      <c r="G121" s="3"/>
      <c r="H121" s="105"/>
      <c r="I121" s="65"/>
      <c r="J121" s="34"/>
      <c r="K121" s="3"/>
      <c r="L121" s="3"/>
      <c r="M121" s="17"/>
      <c r="N121" s="17"/>
    </row>
    <row r="122" spans="2:14" x14ac:dyDescent="0.35">
      <c r="B122" s="3" t="s">
        <v>35</v>
      </c>
      <c r="C122" s="3"/>
      <c r="F122" s="3"/>
      <c r="G122" s="3"/>
      <c r="H122" s="3"/>
      <c r="I122" s="105">
        <f t="shared" si="0"/>
        <v>0</v>
      </c>
      <c r="J122" s="104" t="s">
        <v>63</v>
      </c>
      <c r="K122" s="34">
        <f>ROUND(I122*L100,0)</f>
        <v>0</v>
      </c>
      <c r="L122" s="44" t="s">
        <v>62</v>
      </c>
      <c r="M122" s="61" t="s">
        <v>1704</v>
      </c>
      <c r="N122" s="17"/>
    </row>
    <row r="123" spans="2:14" x14ac:dyDescent="0.35">
      <c r="B123" s="3" t="s">
        <v>730</v>
      </c>
      <c r="C123" s="3"/>
      <c r="F123" s="3"/>
      <c r="G123" s="3"/>
      <c r="H123" s="105"/>
      <c r="I123" s="65"/>
      <c r="J123" s="34"/>
      <c r="K123" s="3"/>
      <c r="L123" s="44"/>
      <c r="M123" s="17"/>
      <c r="N123" s="17"/>
    </row>
    <row r="124" spans="2:14" x14ac:dyDescent="0.35">
      <c r="B124" s="3" t="s">
        <v>34</v>
      </c>
      <c r="C124" s="3"/>
      <c r="F124" s="3"/>
      <c r="G124" s="3"/>
      <c r="H124" s="3"/>
      <c r="I124" s="351">
        <f t="shared" si="0"/>
        <v>0</v>
      </c>
      <c r="J124" s="104" t="s">
        <v>63</v>
      </c>
      <c r="K124" s="37">
        <f>ROUND(I124*N100,0)</f>
        <v>0</v>
      </c>
      <c r="L124" s="44" t="s">
        <v>62</v>
      </c>
      <c r="M124" s="61" t="s">
        <v>1705</v>
      </c>
      <c r="N124" s="17"/>
    </row>
    <row r="125" spans="2:14" x14ac:dyDescent="0.35">
      <c r="B125" s="3" t="s">
        <v>33</v>
      </c>
      <c r="C125" s="3"/>
      <c r="F125" s="66"/>
      <c r="G125" s="66">
        <f>L72</f>
        <v>104175572</v>
      </c>
      <c r="H125" s="63" t="s">
        <v>31</v>
      </c>
      <c r="I125" s="28">
        <f>SUM(I117:I124)</f>
        <v>3391676</v>
      </c>
      <c r="J125" s="65" t="s">
        <v>63</v>
      </c>
      <c r="K125" s="103">
        <f>SUM(K117:K124)</f>
        <v>11628204</v>
      </c>
      <c r="L125" s="3" t="s">
        <v>1673</v>
      </c>
      <c r="M125" s="61" t="s">
        <v>1706</v>
      </c>
      <c r="N125" s="17"/>
    </row>
    <row r="126" spans="2:14" x14ac:dyDescent="0.35">
      <c r="F126" s="3"/>
      <c r="G126" s="3"/>
      <c r="H126" s="3"/>
      <c r="I126" s="3"/>
      <c r="J126" s="3"/>
      <c r="K126" s="3"/>
      <c r="L126" s="3"/>
      <c r="M126" s="61" t="s">
        <v>1675</v>
      </c>
      <c r="N126" s="17"/>
    </row>
    <row r="127" spans="2:14" x14ac:dyDescent="0.35">
      <c r="F127" s="34"/>
      <c r="G127" s="34">
        <f>G125-K125</f>
        <v>92547368</v>
      </c>
      <c r="H127" s="63" t="s">
        <v>31</v>
      </c>
      <c r="I127" s="28">
        <f>I125</f>
        <v>3391676</v>
      </c>
      <c r="J127" s="65" t="s">
        <v>32</v>
      </c>
      <c r="K127" s="3"/>
      <c r="L127" s="3"/>
      <c r="M127" s="61" t="s">
        <v>1676</v>
      </c>
      <c r="N127" s="17"/>
    </row>
    <row r="128" spans="2:14" ht="15" thickBot="1" x14ac:dyDescent="0.4">
      <c r="F128" s="3"/>
      <c r="G128" s="3"/>
      <c r="H128" s="3"/>
      <c r="I128" s="3"/>
      <c r="J128" s="3"/>
      <c r="K128" s="3"/>
      <c r="L128" s="3"/>
      <c r="M128" s="3"/>
      <c r="N128" s="17"/>
    </row>
    <row r="129" spans="2:16" ht="15.5" thickTop="1" thickBot="1" x14ac:dyDescent="0.4">
      <c r="F129" s="101"/>
      <c r="G129" s="101" t="s">
        <v>61</v>
      </c>
      <c r="H129" s="63" t="s">
        <v>31</v>
      </c>
      <c r="I129" s="102">
        <f>ROUND(G127/I127,2)</f>
        <v>27.29</v>
      </c>
      <c r="J129" s="61" t="s">
        <v>1674</v>
      </c>
      <c r="L129" s="17"/>
      <c r="M129" s="61"/>
      <c r="N129" s="17"/>
    </row>
    <row r="130" spans="2:16" ht="15.5" thickTop="1" thickBot="1" x14ac:dyDescent="0.4">
      <c r="F130" s="101"/>
      <c r="G130" s="101"/>
      <c r="H130" s="63"/>
      <c r="I130" s="3"/>
      <c r="J130" s="3"/>
      <c r="N130" s="17"/>
    </row>
    <row r="131" spans="2:16" ht="15.5" thickTop="1" thickBot="1" x14ac:dyDescent="0.4">
      <c r="F131" s="101"/>
      <c r="G131" s="101" t="s">
        <v>1770</v>
      </c>
      <c r="H131" s="63" t="s">
        <v>31</v>
      </c>
      <c r="I131" s="102"/>
      <c r="J131" s="3"/>
      <c r="K131" s="3"/>
      <c r="L131" s="100"/>
      <c r="M131" s="34"/>
      <c r="N131" s="17"/>
    </row>
    <row r="132" spans="2:16" ht="15.5" thickTop="1" thickBot="1" x14ac:dyDescent="0.4">
      <c r="F132" s="64"/>
      <c r="G132" s="64" t="s">
        <v>32</v>
      </c>
      <c r="H132" s="63" t="s">
        <v>31</v>
      </c>
      <c r="I132" s="102">
        <f>I129</f>
        <v>27.29</v>
      </c>
      <c r="J132" s="61" t="s">
        <v>1674</v>
      </c>
      <c r="K132" s="3"/>
      <c r="L132" s="3"/>
      <c r="M132" s="3"/>
      <c r="N132" s="17"/>
    </row>
    <row r="133" spans="2:16" ht="15" thickTop="1" x14ac:dyDescent="0.35"/>
    <row r="135" spans="2:16" x14ac:dyDescent="0.35">
      <c r="B135" s="334" t="str">
        <f>CONCATENATE($A$4," at Proposed Demand Rates")</f>
        <v>SC8 Rate I at Proposed Demand Rates</v>
      </c>
    </row>
    <row r="136" spans="2:16" ht="15" thickBot="1" x14ac:dyDescent="0.4">
      <c r="C136" s="3" t="s">
        <v>5</v>
      </c>
      <c r="D136" s="1319">
        <f>$L$4</f>
        <v>2020</v>
      </c>
      <c r="E136" s="1319"/>
      <c r="F136" s="1319"/>
      <c r="G136" s="3"/>
      <c r="H136" s="3"/>
      <c r="I136" s="3"/>
      <c r="J136" s="3"/>
      <c r="K136" s="3"/>
      <c r="L136" s="3"/>
      <c r="M136" s="3"/>
      <c r="N136" s="17"/>
      <c r="O136" s="3"/>
    </row>
    <row r="137" spans="2:16" ht="15.5" thickTop="1" thickBot="1" x14ac:dyDescent="0.4">
      <c r="C137" s="3"/>
      <c r="D137" s="3"/>
      <c r="E137" s="3"/>
      <c r="F137" s="3"/>
      <c r="G137" s="3"/>
      <c r="H137" s="1307" t="s">
        <v>59</v>
      </c>
      <c r="I137" s="1308"/>
      <c r="J137" s="1309"/>
      <c r="K137" s="3"/>
      <c r="L137" s="3"/>
      <c r="M137" s="3"/>
      <c r="N137" s="3"/>
    </row>
    <row r="138" spans="2:16" ht="15" thickTop="1" x14ac:dyDescent="0.35">
      <c r="C138" s="3"/>
      <c r="D138" s="3"/>
      <c r="E138" s="3"/>
      <c r="F138" s="3"/>
      <c r="G138" s="3"/>
      <c r="H138" s="36" t="s">
        <v>10</v>
      </c>
      <c r="I138" s="3"/>
      <c r="J138" s="36" t="s">
        <v>7</v>
      </c>
      <c r="K138" s="3"/>
      <c r="L138" s="3"/>
      <c r="M138" s="3"/>
      <c r="N138" s="3"/>
    </row>
    <row r="139" spans="2:16" x14ac:dyDescent="0.35">
      <c r="C139" s="3" t="s">
        <v>9</v>
      </c>
      <c r="D139" s="36">
        <f>D83</f>
        <v>0</v>
      </c>
      <c r="E139" s="36" t="str">
        <f>E83</f>
        <v>-</v>
      </c>
      <c r="F139" s="36">
        <f>F83</f>
        <v>10</v>
      </c>
      <c r="G139" s="3"/>
      <c r="H139" s="35">
        <f>G10</f>
        <v>380.53</v>
      </c>
      <c r="I139" s="61" t="s">
        <v>50</v>
      </c>
      <c r="J139" s="35">
        <f>G12</f>
        <v>294.16000000000003</v>
      </c>
      <c r="K139" s="61" t="s">
        <v>48</v>
      </c>
      <c r="L139" s="3"/>
      <c r="M139" s="3"/>
      <c r="N139" s="3"/>
    </row>
    <row r="140" spans="2:16" x14ac:dyDescent="0.35">
      <c r="C140" s="3" t="s">
        <v>8</v>
      </c>
      <c r="D140" s="36">
        <f>D139</f>
        <v>0</v>
      </c>
      <c r="E140" s="36" t="str">
        <f>E139</f>
        <v>-</v>
      </c>
      <c r="F140" s="36">
        <f>F139</f>
        <v>10</v>
      </c>
      <c r="G140" s="3"/>
      <c r="H140" s="35">
        <f>G16</f>
        <v>273.87</v>
      </c>
      <c r="I140" s="61" t="s">
        <v>49</v>
      </c>
      <c r="J140" s="35">
        <f>G18</f>
        <v>187.5</v>
      </c>
      <c r="K140" s="61" t="s">
        <v>47</v>
      </c>
      <c r="L140" s="3"/>
      <c r="M140" s="3"/>
      <c r="N140" s="3"/>
    </row>
    <row r="141" spans="2:16" ht="15" thickBot="1" x14ac:dyDescent="0.4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6" ht="15" thickBot="1" x14ac:dyDescent="0.4">
      <c r="C142" s="60"/>
      <c r="D142" s="59"/>
      <c r="E142" s="59"/>
      <c r="F142" s="59"/>
      <c r="G142" s="59"/>
      <c r="H142" s="59"/>
      <c r="I142" s="59"/>
      <c r="J142" s="59"/>
      <c r="K142" s="59"/>
      <c r="L142" s="98"/>
      <c r="M142" s="3"/>
      <c r="N142" s="3"/>
    </row>
    <row r="143" spans="2:16" ht="15.5" thickTop="1" thickBot="1" x14ac:dyDescent="0.4">
      <c r="C143" s="96"/>
      <c r="D143" s="44"/>
      <c r="E143" s="44"/>
      <c r="F143" s="44"/>
      <c r="G143" s="44"/>
      <c r="H143" s="1313" t="s">
        <v>58</v>
      </c>
      <c r="I143" s="1314"/>
      <c r="J143" s="1315"/>
      <c r="K143" s="44"/>
      <c r="L143" s="94"/>
      <c r="M143" s="1348" t="s">
        <v>57</v>
      </c>
      <c r="N143" s="1349"/>
      <c r="O143" s="1349"/>
      <c r="P143" s="1349"/>
    </row>
    <row r="144" spans="2:16" ht="15" thickTop="1" x14ac:dyDescent="0.35">
      <c r="C144" s="96"/>
      <c r="D144" s="44"/>
      <c r="E144" s="44"/>
      <c r="F144" s="44"/>
      <c r="G144" s="44"/>
      <c r="H144" s="56" t="s">
        <v>10</v>
      </c>
      <c r="I144" s="44"/>
      <c r="J144" s="56" t="s">
        <v>7</v>
      </c>
      <c r="K144" s="44"/>
      <c r="L144" s="94"/>
      <c r="M144" s="36" t="s">
        <v>10</v>
      </c>
      <c r="O144" s="36" t="s">
        <v>7</v>
      </c>
    </row>
    <row r="145" spans="1:16" x14ac:dyDescent="0.35">
      <c r="C145" s="96" t="s">
        <v>9</v>
      </c>
      <c r="D145" s="56">
        <f>D83</f>
        <v>0</v>
      </c>
      <c r="E145" s="56" t="str">
        <f>E83</f>
        <v>-</v>
      </c>
      <c r="F145" s="56">
        <f>F83</f>
        <v>10</v>
      </c>
      <c r="G145" s="44"/>
      <c r="H145" s="1124">
        <f>ROUND(H139*(1+$L$14)*(1+$I$39)+$I$40,2)</f>
        <v>400.92</v>
      </c>
      <c r="I145" s="1001" t="s">
        <v>2199</v>
      </c>
      <c r="J145" s="1124">
        <f>ROUND(J139*(1+$L$14)*(1+$I$39)+$I$40,2)</f>
        <v>312.42</v>
      </c>
      <c r="K145" s="1001" t="s">
        <v>1971</v>
      </c>
      <c r="L145" s="94"/>
      <c r="M145" s="81">
        <f>ROUND(H145/H83-1,4)</f>
        <v>5.3600000000000002E-2</v>
      </c>
      <c r="N145" s="54" t="s">
        <v>1682</v>
      </c>
      <c r="O145" s="81">
        <f>ROUND(J145/J83-1,4)</f>
        <v>6.2100000000000002E-2</v>
      </c>
      <c r="P145" s="54" t="s">
        <v>1686</v>
      </c>
    </row>
    <row r="146" spans="1:16" x14ac:dyDescent="0.35">
      <c r="C146" s="96"/>
      <c r="D146" s="56"/>
      <c r="E146" s="56"/>
      <c r="F146" s="56"/>
      <c r="G146" s="44"/>
      <c r="H146" s="52"/>
      <c r="I146" s="52"/>
      <c r="J146" s="52"/>
      <c r="K146" s="52"/>
      <c r="L146" s="94"/>
      <c r="M146" s="81"/>
      <c r="O146" s="81"/>
    </row>
    <row r="147" spans="1:16" x14ac:dyDescent="0.35">
      <c r="C147" s="96"/>
      <c r="D147" s="44"/>
      <c r="E147" s="56" t="str">
        <f>E85</f>
        <v>&gt;</v>
      </c>
      <c r="F147" s="56">
        <f>F85</f>
        <v>10</v>
      </c>
      <c r="G147" s="44"/>
      <c r="H147" s="737">
        <f>$I$132+L96</f>
        <v>35.33</v>
      </c>
      <c r="I147" s="52" t="s">
        <v>1678</v>
      </c>
      <c r="J147" s="737">
        <f>$I$132+N96</f>
        <v>27.29</v>
      </c>
      <c r="K147" s="52" t="s">
        <v>1681</v>
      </c>
      <c r="L147" s="94"/>
      <c r="M147" s="81">
        <f>ROUND(H147/H85-1,4)</f>
        <v>2.9399999999999999E-2</v>
      </c>
      <c r="N147" s="54" t="s">
        <v>1683</v>
      </c>
      <c r="O147" s="81">
        <f>ROUND(J147/J85-1,4)</f>
        <v>2.9399999999999999E-2</v>
      </c>
      <c r="P147" s="54" t="s">
        <v>1687</v>
      </c>
    </row>
    <row r="148" spans="1:16" ht="14.25" customHeight="1" x14ac:dyDescent="0.35">
      <c r="C148" s="96"/>
      <c r="D148" s="44"/>
      <c r="E148" s="44"/>
      <c r="F148" s="44"/>
      <c r="G148" s="44"/>
      <c r="H148" s="731"/>
      <c r="I148" s="52"/>
      <c r="J148" s="731"/>
      <c r="K148" s="52"/>
      <c r="L148" s="94"/>
      <c r="M148" s="17"/>
    </row>
    <row r="149" spans="1:16" x14ac:dyDescent="0.35">
      <c r="C149" s="96" t="s">
        <v>8</v>
      </c>
      <c r="D149" s="56">
        <f>D145</f>
        <v>0</v>
      </c>
      <c r="E149" s="56" t="str">
        <f>E145</f>
        <v>-</v>
      </c>
      <c r="F149" s="56">
        <f>F145</f>
        <v>10</v>
      </c>
      <c r="G149" s="44"/>
      <c r="H149" s="1124">
        <f>ROUND(H140*(1+$L$14)*(1+$I$39)+$I$40,2)</f>
        <v>291.63</v>
      </c>
      <c r="I149" s="1001" t="s">
        <v>2201</v>
      </c>
      <c r="J149" s="1124">
        <f>ROUND(J140*(1+$L$14)*(1+$I$39)+$I$40,2)</f>
        <v>203.13</v>
      </c>
      <c r="K149" s="1001" t="s">
        <v>1972</v>
      </c>
      <c r="L149" s="94"/>
      <c r="M149" s="81">
        <f>ROUND(H149/H87-1,4)</f>
        <v>6.4799999999999996E-2</v>
      </c>
      <c r="N149" s="54" t="s">
        <v>1684</v>
      </c>
      <c r="O149" s="81">
        <f>ROUND(J149/J87-1,4)</f>
        <v>8.3400000000000002E-2</v>
      </c>
      <c r="P149" s="54" t="s">
        <v>1688</v>
      </c>
    </row>
    <row r="150" spans="1:16" x14ac:dyDescent="0.35">
      <c r="C150" s="96"/>
      <c r="D150" s="56"/>
      <c r="E150" s="56"/>
      <c r="F150" s="56"/>
      <c r="G150" s="44"/>
      <c r="H150" s="52"/>
      <c r="I150" s="52"/>
      <c r="J150" s="52"/>
      <c r="K150" s="52"/>
      <c r="L150" s="94"/>
      <c r="M150" s="81"/>
      <c r="O150" s="81"/>
    </row>
    <row r="151" spans="1:16" x14ac:dyDescent="0.35">
      <c r="C151" s="96"/>
      <c r="D151" s="56"/>
      <c r="E151" s="56" t="str">
        <f>E147</f>
        <v>&gt;</v>
      </c>
      <c r="F151" s="56">
        <f>F147</f>
        <v>10</v>
      </c>
      <c r="G151" s="44"/>
      <c r="H151" s="737">
        <f>$I$132+L100</f>
        <v>25.419999999999998</v>
      </c>
      <c r="I151" s="52" t="s">
        <v>1680</v>
      </c>
      <c r="J151" s="737">
        <f>$I$132+N100</f>
        <v>17.36</v>
      </c>
      <c r="K151" s="52" t="s">
        <v>1679</v>
      </c>
      <c r="L151" s="94"/>
      <c r="M151" s="81">
        <f>ROUND(H151/H89-1,4)</f>
        <v>2.9600000000000001E-2</v>
      </c>
      <c r="N151" s="54" t="s">
        <v>1685</v>
      </c>
      <c r="O151" s="81">
        <f>ROUND(J151/J89-1,4)</f>
        <v>2.9700000000000001E-2</v>
      </c>
      <c r="P151" s="54" t="s">
        <v>1689</v>
      </c>
    </row>
    <row r="152" spans="1:16" ht="15" thickBot="1" x14ac:dyDescent="0.4">
      <c r="C152" s="93"/>
      <c r="D152" s="46"/>
      <c r="E152" s="46"/>
      <c r="F152" s="46"/>
      <c r="G152" s="46"/>
      <c r="H152" s="941"/>
      <c r="I152" s="942"/>
      <c r="J152" s="941"/>
      <c r="K152" s="92"/>
      <c r="L152" s="91"/>
      <c r="M152" s="17"/>
    </row>
    <row r="155" spans="1:16" x14ac:dyDescent="0.35">
      <c r="A155" s="334" t="s">
        <v>56</v>
      </c>
      <c r="B155" s="410"/>
      <c r="C155" s="3"/>
      <c r="D155" s="3"/>
      <c r="E155" s="3"/>
      <c r="F155" s="3"/>
      <c r="G155" s="3"/>
      <c r="H155" s="3"/>
      <c r="I155" s="3"/>
    </row>
    <row r="156" spans="1:16" x14ac:dyDescent="0.35">
      <c r="A156" s="334"/>
      <c r="B156" s="410"/>
      <c r="C156" s="3"/>
      <c r="D156" s="3"/>
      <c r="E156" s="3"/>
      <c r="F156" s="3"/>
      <c r="G156" s="3"/>
      <c r="H156" s="3"/>
      <c r="I156" s="3"/>
    </row>
    <row r="157" spans="1:16" x14ac:dyDescent="0.35">
      <c r="A157" s="334"/>
      <c r="B157" s="334" t="s">
        <v>55</v>
      </c>
      <c r="C157" s="3"/>
      <c r="D157" s="3"/>
      <c r="E157" s="3"/>
      <c r="F157" s="3"/>
      <c r="G157" s="3"/>
      <c r="H157" s="3"/>
      <c r="I157" s="3"/>
    </row>
    <row r="158" spans="1:16" x14ac:dyDescent="0.35">
      <c r="A158" s="42"/>
      <c r="B158" s="41" t="str">
        <f>$A$4</f>
        <v>SC8 Rate I</v>
      </c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3" t="s">
        <v>54</v>
      </c>
      <c r="C159" s="3"/>
      <c r="D159" s="3"/>
      <c r="E159" s="3"/>
      <c r="F159" s="3"/>
      <c r="G159" s="3"/>
      <c r="H159" s="3"/>
      <c r="I159" s="520">
        <f>L21</f>
        <v>26648087</v>
      </c>
      <c r="J159" s="61" t="s">
        <v>1690</v>
      </c>
      <c r="L159" s="3"/>
    </row>
    <row r="160" spans="1:16" x14ac:dyDescent="0.35">
      <c r="A160" s="42"/>
      <c r="B160" s="3" t="str">
        <f>CONCATENATE("Less: ",$L$5," Energy Revenues to Demand at Current Rates Level")</f>
        <v>Less: Shift of 5% Energy Revenues to Demand at Current Rates Level</v>
      </c>
      <c r="C160" s="3"/>
      <c r="D160" s="3"/>
      <c r="E160" s="3"/>
      <c r="F160" s="3"/>
      <c r="G160" s="3"/>
      <c r="H160" s="3"/>
      <c r="I160" s="520">
        <f>L20</f>
        <v>1332404</v>
      </c>
      <c r="J160" s="61" t="s">
        <v>1691</v>
      </c>
      <c r="L160" s="3"/>
    </row>
    <row r="161" spans="1:15" x14ac:dyDescent="0.35">
      <c r="A161" s="42"/>
      <c r="B161" s="3" t="str">
        <f>CONCATENATE("Add: ",B158," Energy Share of Proposed Rate Change")</f>
        <v>Add: SC8 Rate I Energy Share of Proposed Rate Change</v>
      </c>
      <c r="C161" s="3"/>
      <c r="D161" s="3"/>
      <c r="E161" s="3"/>
      <c r="F161" s="3"/>
      <c r="G161" s="3"/>
      <c r="H161" s="3"/>
      <c r="I161" s="520">
        <f>L29</f>
        <v>0</v>
      </c>
      <c r="J161" s="61" t="s">
        <v>1692</v>
      </c>
      <c r="L161" s="3"/>
    </row>
    <row r="162" spans="1:15" x14ac:dyDescent="0.35">
      <c r="A162" s="42"/>
      <c r="B162" s="410"/>
      <c r="C162" s="410"/>
      <c r="D162" s="3"/>
      <c r="E162" s="3"/>
      <c r="F162" s="3"/>
      <c r="G162" s="3"/>
      <c r="H162" s="3"/>
      <c r="I162" s="3"/>
      <c r="J162" s="3"/>
      <c r="L162" s="3"/>
    </row>
    <row r="163" spans="1:15" x14ac:dyDescent="0.35">
      <c r="A163" s="42"/>
      <c r="B163" s="838" t="s">
        <v>52</v>
      </c>
      <c r="C163" s="410"/>
      <c r="D163" s="3"/>
      <c r="E163" s="3"/>
      <c r="F163" s="3"/>
      <c r="G163" s="3"/>
      <c r="H163" s="3"/>
      <c r="I163" s="32">
        <f>I159-I160+I161</f>
        <v>25315683</v>
      </c>
      <c r="J163" s="61" t="s">
        <v>1693</v>
      </c>
      <c r="L163" s="3"/>
    </row>
    <row r="164" spans="1:15" x14ac:dyDescent="0.35">
      <c r="A164" s="42"/>
      <c r="B164" s="410"/>
      <c r="C164" s="410"/>
      <c r="D164" s="3"/>
      <c r="E164" s="3"/>
      <c r="F164" s="3"/>
      <c r="G164" s="3"/>
      <c r="H164" s="3"/>
    </row>
    <row r="165" spans="1:15" x14ac:dyDescent="0.35">
      <c r="A165" s="42"/>
      <c r="B165" s="3"/>
      <c r="C165" s="3"/>
      <c r="D165" s="3"/>
      <c r="E165" s="3"/>
      <c r="F165" s="3"/>
      <c r="G165" s="3"/>
      <c r="H165" s="3"/>
      <c r="I165" s="3"/>
    </row>
    <row r="166" spans="1:15" ht="15" thickBot="1" x14ac:dyDescent="0.4">
      <c r="H166" s="3"/>
      <c r="I166" s="3"/>
    </row>
    <row r="167" spans="1:15" ht="15.5" thickTop="1" thickBot="1" x14ac:dyDescent="0.4">
      <c r="B167" s="41" t="str">
        <f>$A$4</f>
        <v>SC8 Rate I</v>
      </c>
      <c r="H167" s="1307" t="s">
        <v>51</v>
      </c>
      <c r="I167" s="1308"/>
      <c r="J167" s="1309"/>
      <c r="K167" s="3"/>
      <c r="L167" s="1310" t="s">
        <v>1955</v>
      </c>
      <c r="M167" s="1311"/>
      <c r="N167" s="1312"/>
    </row>
    <row r="168" spans="1:15" ht="15" thickTop="1" x14ac:dyDescent="0.35">
      <c r="B168" s="3"/>
      <c r="H168" s="36" t="s">
        <v>10</v>
      </c>
      <c r="I168" s="3"/>
      <c r="J168" s="36" t="s">
        <v>7</v>
      </c>
      <c r="K168" s="3"/>
      <c r="L168" s="30" t="s">
        <v>42</v>
      </c>
      <c r="M168" s="86"/>
      <c r="N168" s="30" t="s">
        <v>40</v>
      </c>
    </row>
    <row r="169" spans="1:15" x14ac:dyDescent="0.35">
      <c r="B169" s="406"/>
      <c r="C169" s="410" t="s">
        <v>9</v>
      </c>
      <c r="L169" s="81"/>
      <c r="M169" s="82"/>
      <c r="N169" s="81"/>
    </row>
    <row r="170" spans="1:15" x14ac:dyDescent="0.35">
      <c r="B170" s="406"/>
      <c r="C170" s="410"/>
      <c r="H170" s="223">
        <f>G8</f>
        <v>1.67E-2</v>
      </c>
      <c r="I170" s="362" t="s">
        <v>1694</v>
      </c>
      <c r="J170" s="223">
        <f>G9</f>
        <v>1.67E-2</v>
      </c>
      <c r="K170" s="61" t="s">
        <v>1696</v>
      </c>
      <c r="L170" s="930">
        <f>ROUND(H170/$J$170,2)</f>
        <v>1</v>
      </c>
      <c r="M170" s="61" t="s">
        <v>2158</v>
      </c>
      <c r="N170" s="929"/>
      <c r="O170" s="61" t="s">
        <v>2094</v>
      </c>
    </row>
    <row r="171" spans="1:15" x14ac:dyDescent="0.35">
      <c r="B171" s="406"/>
      <c r="C171" s="410"/>
      <c r="H171" s="2"/>
      <c r="I171" s="61"/>
      <c r="J171" s="3"/>
      <c r="K171" s="61"/>
      <c r="L171" s="931"/>
      <c r="M171" s="61"/>
      <c r="N171" s="82"/>
      <c r="O171" s="61"/>
    </row>
    <row r="172" spans="1:15" x14ac:dyDescent="0.35">
      <c r="B172" s="406"/>
      <c r="C172" s="410" t="s">
        <v>8</v>
      </c>
      <c r="H172" s="1"/>
      <c r="K172" s="3"/>
      <c r="L172" s="930"/>
      <c r="N172" s="81"/>
      <c r="O172" s="3"/>
    </row>
    <row r="173" spans="1:15" x14ac:dyDescent="0.35">
      <c r="B173" s="406"/>
      <c r="C173" s="410"/>
      <c r="H173" s="223">
        <f>G14</f>
        <v>1.67E-2</v>
      </c>
      <c r="I173" s="61" t="s">
        <v>1695</v>
      </c>
      <c r="J173" s="223">
        <f>G15</f>
        <v>1.67E-2</v>
      </c>
      <c r="K173" s="61" t="s">
        <v>1697</v>
      </c>
      <c r="L173" s="930">
        <f>ROUND(H173/$J$170,2)</f>
        <v>1</v>
      </c>
      <c r="M173" s="61" t="s">
        <v>2159</v>
      </c>
      <c r="N173" s="930">
        <f>ROUND(J173/$J$170,2)</f>
        <v>1</v>
      </c>
      <c r="O173" s="61" t="s">
        <v>2160</v>
      </c>
    </row>
    <row r="174" spans="1:15" x14ac:dyDescent="0.35">
      <c r="B174" s="406"/>
      <c r="C174" s="410"/>
      <c r="H174" s="3"/>
      <c r="I174" s="3"/>
      <c r="J174" s="3"/>
      <c r="K174" s="3"/>
      <c r="L174" s="3"/>
      <c r="M174" s="3"/>
      <c r="N174" s="3"/>
    </row>
    <row r="175" spans="1:15" x14ac:dyDescent="0.35">
      <c r="B175" s="406"/>
      <c r="C175" s="410" t="s">
        <v>9</v>
      </c>
      <c r="H175" s="36"/>
      <c r="I175" s="3"/>
      <c r="J175" s="36"/>
      <c r="K175" s="3"/>
      <c r="L175" s="3"/>
      <c r="M175" s="17"/>
      <c r="N175" s="3"/>
    </row>
    <row r="176" spans="1:15" x14ac:dyDescent="0.35">
      <c r="B176" s="406"/>
      <c r="C176" s="410"/>
      <c r="H176" s="36" t="str">
        <f>IF(L170=1,$J$176,CONCATENATE(L170," * ",$J$176))</f>
        <v>X</v>
      </c>
      <c r="I176" s="3"/>
      <c r="J176" s="80" t="s">
        <v>32</v>
      </c>
      <c r="K176" s="3"/>
      <c r="L176" s="3"/>
      <c r="M176" s="17"/>
      <c r="N176" s="3"/>
    </row>
    <row r="177" spans="1:14" x14ac:dyDescent="0.35">
      <c r="B177" s="406"/>
      <c r="C177" s="410"/>
      <c r="H177" s="3"/>
      <c r="I177" s="3"/>
      <c r="J177" s="3"/>
      <c r="K177" s="3"/>
      <c r="L177" s="3"/>
      <c r="M177" s="3"/>
      <c r="N177" s="3"/>
    </row>
    <row r="178" spans="1:14" x14ac:dyDescent="0.35">
      <c r="B178" s="406"/>
      <c r="C178" s="410" t="s">
        <v>8</v>
      </c>
      <c r="H178" s="36"/>
      <c r="I178" s="3"/>
      <c r="J178" s="36"/>
      <c r="K178" s="3"/>
      <c r="L178" s="3"/>
      <c r="M178" s="17"/>
      <c r="N178" s="3"/>
    </row>
    <row r="179" spans="1:14" x14ac:dyDescent="0.35">
      <c r="B179" s="406"/>
      <c r="C179" s="406"/>
      <c r="H179" s="36" t="str">
        <f>IF(L173=1,$J$176,CONCATENATE(L173," * ",$J$176))</f>
        <v>X</v>
      </c>
      <c r="I179" s="3"/>
      <c r="J179" s="36" t="str">
        <f>IF(N173=1,$J$176,CONCATENATE(N173," * ",$J$176))</f>
        <v>X</v>
      </c>
      <c r="K179" s="3"/>
      <c r="L179" s="3"/>
      <c r="M179" s="17"/>
      <c r="N179" s="3"/>
    </row>
    <row r="180" spans="1:14" x14ac:dyDescent="0.35">
      <c r="B180" s="406"/>
      <c r="C180" s="406"/>
      <c r="H180" s="3"/>
      <c r="I180" s="3"/>
      <c r="J180" s="3"/>
      <c r="K180" s="3"/>
      <c r="L180" s="3"/>
      <c r="M180" s="3"/>
      <c r="N180" s="3"/>
    </row>
    <row r="181" spans="1:14" x14ac:dyDescent="0.35">
      <c r="B181" s="406"/>
      <c r="C181" s="406"/>
      <c r="H181" s="3"/>
      <c r="I181" s="3"/>
      <c r="J181" s="3"/>
      <c r="K181" s="3"/>
      <c r="L181" s="3"/>
      <c r="M181" s="3"/>
      <c r="N181" s="3"/>
    </row>
    <row r="182" spans="1:14" x14ac:dyDescent="0.35">
      <c r="B182" s="334" t="s">
        <v>46</v>
      </c>
      <c r="C182" s="4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B183" s="410"/>
      <c r="C183" s="4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" thickBot="1" x14ac:dyDescent="0.4">
      <c r="B184" s="3"/>
      <c r="C184" s="75"/>
      <c r="E184" s="70" t="s">
        <v>45</v>
      </c>
      <c r="F184" s="70"/>
      <c r="G184" s="70"/>
      <c r="H184" s="3"/>
      <c r="I184" s="69" t="s">
        <v>44</v>
      </c>
      <c r="J184" s="3"/>
      <c r="K184" s="3"/>
      <c r="L184" s="3"/>
    </row>
    <row r="185" spans="1:14" x14ac:dyDescent="0.35">
      <c r="B185" s="3"/>
      <c r="C185" s="3"/>
      <c r="E185" s="3" t="s">
        <v>43</v>
      </c>
      <c r="F185" s="3"/>
      <c r="G185" s="3"/>
      <c r="H185" s="3" t="s">
        <v>42</v>
      </c>
      <c r="I185" s="72">
        <f>$V$6</f>
        <v>602294876</v>
      </c>
      <c r="J185" s="36" t="s">
        <v>39</v>
      </c>
      <c r="K185" s="74" t="str">
        <f>CONCATENATE("[",$H$176,"]")</f>
        <v>[X]</v>
      </c>
      <c r="L185" s="61" t="s">
        <v>1707</v>
      </c>
    </row>
    <row r="186" spans="1:14" x14ac:dyDescent="0.35">
      <c r="B186" s="3"/>
      <c r="C186" s="3"/>
      <c r="E186" s="3" t="s">
        <v>43</v>
      </c>
      <c r="F186" s="3"/>
      <c r="G186" s="3"/>
      <c r="H186" s="3" t="s">
        <v>40</v>
      </c>
      <c r="I186" s="72">
        <f>$V$11</f>
        <v>911800979</v>
      </c>
      <c r="J186" s="36" t="s">
        <v>39</v>
      </c>
      <c r="K186" s="73" t="str">
        <f>CONCATENATE("[",$J$176,"]")</f>
        <v>[X]</v>
      </c>
      <c r="L186" s="61" t="s">
        <v>1707</v>
      </c>
    </row>
    <row r="187" spans="1:14" x14ac:dyDescent="0.35">
      <c r="B187" s="3"/>
      <c r="C187" s="3"/>
      <c r="E187" s="3" t="s">
        <v>41</v>
      </c>
      <c r="F187" s="3"/>
      <c r="G187" s="3"/>
      <c r="H187" s="3" t="s">
        <v>42</v>
      </c>
      <c r="I187" s="72">
        <f>$V$16</f>
        <v>0</v>
      </c>
      <c r="J187" s="36" t="s">
        <v>39</v>
      </c>
      <c r="K187" s="73" t="str">
        <f>CONCATENATE("[",H179,"]")</f>
        <v>[X]</v>
      </c>
      <c r="L187" s="61" t="s">
        <v>1707</v>
      </c>
    </row>
    <row r="188" spans="1:14" ht="15" thickBot="1" x14ac:dyDescent="0.4">
      <c r="B188" s="3"/>
      <c r="C188" s="3"/>
      <c r="E188" s="3" t="s">
        <v>41</v>
      </c>
      <c r="F188" s="3"/>
      <c r="G188" s="3"/>
      <c r="H188" s="3" t="s">
        <v>40</v>
      </c>
      <c r="I188" s="67">
        <f>$V$21</f>
        <v>0</v>
      </c>
      <c r="J188" s="36" t="s">
        <v>39</v>
      </c>
      <c r="K188" s="71" t="str">
        <f>CONCATENATE("[",J179,"]")</f>
        <v>[X]</v>
      </c>
      <c r="L188" s="61" t="s">
        <v>1707</v>
      </c>
    </row>
    <row r="189" spans="1:14" x14ac:dyDescent="0.35">
      <c r="I189" s="28">
        <f>SUM(I185:I188)</f>
        <v>1514095855</v>
      </c>
      <c r="J189" s="61" t="s">
        <v>2161</v>
      </c>
    </row>
    <row r="191" spans="1:14" x14ac:dyDescent="0.35">
      <c r="A191" s="42"/>
      <c r="B191" s="70" t="s">
        <v>472</v>
      </c>
      <c r="C191" s="3"/>
      <c r="D191" s="3"/>
      <c r="E191" s="3"/>
      <c r="F191" s="3"/>
      <c r="G191" s="3"/>
      <c r="H191" s="3"/>
    </row>
    <row r="192" spans="1:14" x14ac:dyDescent="0.35">
      <c r="A192" s="42"/>
      <c r="B192" s="1225" t="str">
        <f>$A$4</f>
        <v>SC8 Rate I</v>
      </c>
      <c r="C192" s="2"/>
      <c r="D192" s="2"/>
      <c r="E192" s="2"/>
      <c r="F192" s="2"/>
      <c r="G192" s="2"/>
      <c r="H192" s="1"/>
      <c r="I192" s="1226" t="s">
        <v>44</v>
      </c>
    </row>
    <row r="193" spans="1:12" x14ac:dyDescent="0.35">
      <c r="A193" s="42"/>
      <c r="B193" s="2" t="s">
        <v>2152</v>
      </c>
      <c r="C193" s="2"/>
      <c r="D193" s="2"/>
      <c r="E193" s="2"/>
      <c r="F193" s="2"/>
      <c r="G193" s="2"/>
      <c r="H193" s="1"/>
      <c r="I193" s="68">
        <f>I185*L170</f>
        <v>602294876</v>
      </c>
      <c r="J193" s="65" t="s">
        <v>32</v>
      </c>
      <c r="K193" s="61" t="s">
        <v>1707</v>
      </c>
    </row>
    <row r="194" spans="1:12" x14ac:dyDescent="0.35">
      <c r="A194" s="334"/>
      <c r="B194" s="2" t="s">
        <v>2153</v>
      </c>
      <c r="C194" s="392"/>
      <c r="D194" s="2"/>
      <c r="E194" s="2"/>
      <c r="F194" s="2"/>
      <c r="G194" s="2"/>
      <c r="H194" s="1"/>
      <c r="I194" s="68">
        <f>I186</f>
        <v>911800979</v>
      </c>
      <c r="J194" s="65" t="s">
        <v>32</v>
      </c>
      <c r="K194" s="61" t="s">
        <v>1707</v>
      </c>
    </row>
    <row r="195" spans="1:12" x14ac:dyDescent="0.35">
      <c r="A195" s="334"/>
      <c r="B195" s="2" t="s">
        <v>2154</v>
      </c>
      <c r="C195" s="392"/>
      <c r="D195" s="2"/>
      <c r="E195" s="2"/>
      <c r="F195" s="2"/>
      <c r="G195" s="2"/>
      <c r="H195" s="1"/>
      <c r="I195" s="68">
        <f>I187*L173</f>
        <v>0</v>
      </c>
      <c r="J195" s="65" t="s">
        <v>32</v>
      </c>
      <c r="K195" s="61" t="s">
        <v>1707</v>
      </c>
    </row>
    <row r="196" spans="1:12" x14ac:dyDescent="0.35">
      <c r="A196" s="334"/>
      <c r="B196" s="2" t="s">
        <v>2155</v>
      </c>
      <c r="C196" s="392"/>
      <c r="D196" s="2"/>
      <c r="E196" s="2"/>
      <c r="F196" s="2"/>
      <c r="G196" s="2"/>
      <c r="H196" s="1"/>
      <c r="I196" s="67">
        <f>I188*N173</f>
        <v>0</v>
      </c>
      <c r="J196" s="65" t="s">
        <v>32</v>
      </c>
      <c r="K196" s="61" t="s">
        <v>1707</v>
      </c>
    </row>
    <row r="197" spans="1:12" x14ac:dyDescent="0.35">
      <c r="A197" s="334"/>
      <c r="B197" s="2" t="s">
        <v>2156</v>
      </c>
      <c r="C197" s="392"/>
      <c r="D197" s="2"/>
      <c r="E197" s="2"/>
      <c r="F197" s="1"/>
      <c r="G197" s="520">
        <f>I163</f>
        <v>25315683</v>
      </c>
      <c r="H197" s="1227" t="s">
        <v>31</v>
      </c>
      <c r="I197" s="220">
        <f>SUM(I193:I196)</f>
        <v>1514095855</v>
      </c>
      <c r="J197" s="65" t="s">
        <v>32</v>
      </c>
      <c r="K197" s="61" t="s">
        <v>1709</v>
      </c>
    </row>
    <row r="198" spans="1:12" x14ac:dyDescent="0.35">
      <c r="A198" s="334"/>
      <c r="B198" s="410"/>
      <c r="C198" s="410"/>
      <c r="D198" s="3"/>
      <c r="E198" s="3"/>
      <c r="G198" s="3"/>
      <c r="H198" s="3"/>
      <c r="I198" s="3"/>
      <c r="J198" s="3"/>
      <c r="K198" s="61"/>
    </row>
    <row r="199" spans="1:12" x14ac:dyDescent="0.35">
      <c r="A199" s="334"/>
      <c r="B199" s="410"/>
      <c r="C199" s="410"/>
      <c r="D199" s="3"/>
      <c r="E199" s="3"/>
      <c r="G199" s="34">
        <f>G197</f>
        <v>25315683</v>
      </c>
      <c r="H199" s="63" t="s">
        <v>31</v>
      </c>
      <c r="I199" s="28">
        <f>I197</f>
        <v>1514095855</v>
      </c>
      <c r="J199" s="65" t="s">
        <v>32</v>
      </c>
      <c r="K199" s="61" t="s">
        <v>2162</v>
      </c>
    </row>
    <row r="200" spans="1:12" ht="15" thickBot="1" x14ac:dyDescent="0.4">
      <c r="A200" s="334"/>
      <c r="B200" s="410"/>
      <c r="C200" s="410"/>
      <c r="D200" s="3"/>
      <c r="E200" s="3"/>
      <c r="G200" s="3"/>
      <c r="H200" s="3"/>
      <c r="I200" s="3"/>
    </row>
    <row r="201" spans="1:12" ht="15.5" thickTop="1" thickBot="1" x14ac:dyDescent="0.4">
      <c r="A201" s="334"/>
      <c r="B201" s="410"/>
      <c r="C201" s="410"/>
      <c r="D201" s="3"/>
      <c r="E201" s="3"/>
      <c r="G201" s="64" t="s">
        <v>32</v>
      </c>
      <c r="H201" s="63" t="s">
        <v>31</v>
      </c>
      <c r="I201" s="62">
        <f>ROUND(G199/I199,4)</f>
        <v>1.67E-2</v>
      </c>
      <c r="J201" s="61" t="s">
        <v>2164</v>
      </c>
      <c r="K201" s="61" t="s">
        <v>2163</v>
      </c>
    </row>
    <row r="202" spans="1:12" ht="15.5" thickTop="1" thickBot="1" x14ac:dyDescent="0.4">
      <c r="A202" s="334"/>
      <c r="B202" s="410"/>
      <c r="C202" s="410"/>
      <c r="D202" s="3"/>
      <c r="E202" s="3"/>
      <c r="F202" s="3"/>
      <c r="G202" s="3"/>
      <c r="H202" s="3"/>
    </row>
    <row r="203" spans="1:12" ht="15" thickBot="1" x14ac:dyDescent="0.4">
      <c r="A203" s="334"/>
      <c r="B203" s="410"/>
      <c r="C203" s="410"/>
      <c r="D203" s="3"/>
      <c r="E203" s="3"/>
      <c r="F203" s="60"/>
      <c r="G203" s="59"/>
      <c r="H203" s="59"/>
      <c r="I203" s="59"/>
      <c r="J203" s="58"/>
      <c r="K203" s="58"/>
      <c r="L203" s="57"/>
    </row>
    <row r="204" spans="1:12" ht="15.5" thickTop="1" thickBot="1" x14ac:dyDescent="0.4">
      <c r="A204" s="406"/>
      <c r="B204" s="406"/>
      <c r="C204" s="406"/>
      <c r="F204" s="50"/>
      <c r="G204" s="44"/>
      <c r="H204" s="44"/>
      <c r="I204" s="1313" t="s">
        <v>29</v>
      </c>
      <c r="J204" s="1314"/>
      <c r="K204" s="1315"/>
      <c r="L204" s="48"/>
    </row>
    <row r="205" spans="1:12" ht="15" thickTop="1" x14ac:dyDescent="0.35">
      <c r="A205" s="406"/>
      <c r="B205" s="406"/>
      <c r="C205" s="406"/>
      <c r="F205" s="50"/>
      <c r="G205" s="44"/>
      <c r="H205" s="44"/>
      <c r="I205" s="56" t="s">
        <v>10</v>
      </c>
      <c r="J205" s="44"/>
      <c r="K205" s="56" t="s">
        <v>7</v>
      </c>
      <c r="L205" s="48"/>
    </row>
    <row r="206" spans="1:12" x14ac:dyDescent="0.35">
      <c r="A206" s="406"/>
      <c r="B206" s="406"/>
      <c r="C206" s="406"/>
      <c r="F206" s="50"/>
      <c r="G206" s="44"/>
      <c r="H206" s="44"/>
      <c r="I206" s="51"/>
      <c r="J206" s="52"/>
      <c r="K206" s="51"/>
      <c r="L206" s="48"/>
    </row>
    <row r="207" spans="1:12" x14ac:dyDescent="0.35">
      <c r="A207" s="406"/>
      <c r="B207" s="406"/>
      <c r="C207" s="406"/>
      <c r="F207" s="50"/>
      <c r="G207" s="44" t="s">
        <v>9</v>
      </c>
      <c r="H207" s="44"/>
      <c r="I207" s="51">
        <f>ROUND($I$201*L170,4)</f>
        <v>1.67E-2</v>
      </c>
      <c r="J207" s="54" t="s">
        <v>2165</v>
      </c>
      <c r="K207" s="51">
        <f>I201</f>
        <v>1.67E-2</v>
      </c>
      <c r="L207" s="359" t="s">
        <v>2166</v>
      </c>
    </row>
    <row r="208" spans="1:12" x14ac:dyDescent="0.35">
      <c r="A208" s="406"/>
      <c r="B208" s="406"/>
      <c r="C208" s="406"/>
      <c r="F208" s="50"/>
      <c r="G208" s="44"/>
      <c r="H208" s="44"/>
      <c r="I208" s="51"/>
      <c r="J208" s="54"/>
      <c r="K208" s="51"/>
      <c r="L208" s="359"/>
    </row>
    <row r="209" spans="1:17" x14ac:dyDescent="0.35">
      <c r="A209" s="406"/>
      <c r="B209" s="406"/>
      <c r="C209" s="406"/>
      <c r="F209" s="50"/>
      <c r="G209" s="44"/>
      <c r="H209" s="44"/>
      <c r="I209" s="51"/>
      <c r="J209" s="52"/>
      <c r="K209" s="51"/>
      <c r="L209" s="359"/>
    </row>
    <row r="210" spans="1:17" x14ac:dyDescent="0.35">
      <c r="A210" s="406"/>
      <c r="B210" s="406"/>
      <c r="C210" s="406"/>
      <c r="F210" s="50"/>
      <c r="G210" s="44" t="s">
        <v>8</v>
      </c>
      <c r="H210" s="44"/>
      <c r="I210" s="51">
        <f>ROUND($I$201*L173,4)</f>
        <v>1.67E-2</v>
      </c>
      <c r="J210" s="54" t="s">
        <v>2167</v>
      </c>
      <c r="K210" s="51">
        <f>ROUND($I$201*N173,4)</f>
        <v>1.67E-2</v>
      </c>
      <c r="L210" s="359" t="s">
        <v>2168</v>
      </c>
    </row>
    <row r="211" spans="1:17" ht="15" thickBot="1" x14ac:dyDescent="0.4">
      <c r="A211" s="406"/>
      <c r="B211" s="406"/>
      <c r="C211" s="406"/>
      <c r="F211" s="47"/>
      <c r="G211" s="46"/>
      <c r="H211" s="46"/>
      <c r="I211" s="46"/>
      <c r="J211" s="46"/>
      <c r="K211" s="46"/>
      <c r="L211" s="45"/>
    </row>
    <row r="212" spans="1:17" x14ac:dyDescent="0.35">
      <c r="A212" s="406"/>
      <c r="B212" s="406"/>
      <c r="C212" s="406"/>
      <c r="F212" s="43"/>
      <c r="G212" s="44"/>
      <c r="H212" s="44"/>
      <c r="I212" s="44"/>
      <c r="J212" s="44"/>
      <c r="K212" s="44"/>
      <c r="L212" s="43"/>
    </row>
    <row r="213" spans="1:17" x14ac:dyDescent="0.35">
      <c r="A213" s="334" t="s">
        <v>28</v>
      </c>
      <c r="B213" s="406"/>
      <c r="C213" s="406"/>
    </row>
    <row r="214" spans="1:17" x14ac:dyDescent="0.35">
      <c r="A214" s="42"/>
    </row>
    <row r="215" spans="1:17" x14ac:dyDescent="0.35">
      <c r="A215" s="42"/>
      <c r="B215" s="41" t="str">
        <f>$A$4</f>
        <v>SC8 Rate I</v>
      </c>
    </row>
    <row r="216" spans="1:17" x14ac:dyDescent="0.35">
      <c r="A216" s="3"/>
      <c r="B216" s="407" t="s">
        <v>5</v>
      </c>
      <c r="C216" s="406"/>
      <c r="D216" s="1304">
        <f>L4</f>
        <v>2020</v>
      </c>
      <c r="E216" s="1304"/>
      <c r="F216" s="3"/>
      <c r="G216" s="3"/>
      <c r="H216" s="3"/>
      <c r="I216" s="3"/>
      <c r="J216" s="3"/>
      <c r="K216" s="3"/>
      <c r="L216" s="3"/>
      <c r="M216" s="17"/>
      <c r="N216" s="3"/>
      <c r="O216" s="3"/>
      <c r="P216" s="2"/>
    </row>
    <row r="217" spans="1:17" x14ac:dyDescent="0.35">
      <c r="A217" s="3"/>
      <c r="B217" s="410"/>
      <c r="C217" s="410"/>
      <c r="D217" s="3"/>
      <c r="E217" s="3"/>
      <c r="F217" s="3"/>
      <c r="G217" s="3"/>
      <c r="H217" s="3"/>
      <c r="I217" s="3"/>
      <c r="K217" s="3"/>
      <c r="L217" s="3"/>
      <c r="M217" s="36" t="s">
        <v>10</v>
      </c>
      <c r="N217" s="3"/>
      <c r="O217" s="3"/>
      <c r="P217" s="2"/>
    </row>
    <row r="218" spans="1:17" x14ac:dyDescent="0.35">
      <c r="A218" s="3"/>
      <c r="B218" s="410"/>
      <c r="C218" s="410"/>
      <c r="D218" s="3"/>
      <c r="E218" s="3"/>
      <c r="F218" s="3"/>
      <c r="G218" s="3"/>
      <c r="H218" s="3"/>
      <c r="I218" s="3"/>
      <c r="K218" s="30" t="s">
        <v>15</v>
      </c>
      <c r="L218" s="3"/>
      <c r="M218" s="30" t="s">
        <v>14</v>
      </c>
      <c r="N218" s="3"/>
      <c r="O218" s="3"/>
      <c r="P218" s="2"/>
    </row>
    <row r="219" spans="1:17" x14ac:dyDescent="0.35">
      <c r="B219" s="406"/>
      <c r="C219" s="835" t="s">
        <v>27</v>
      </c>
      <c r="D219" s="3"/>
      <c r="E219" s="3"/>
      <c r="F219" s="3"/>
      <c r="G219" s="30" t="s">
        <v>26</v>
      </c>
      <c r="H219" s="3"/>
      <c r="I219" s="30" t="s">
        <v>25</v>
      </c>
      <c r="J219" s="3"/>
      <c r="K219" s="30" t="s">
        <v>11</v>
      </c>
      <c r="L219" s="3"/>
      <c r="M219" s="30" t="s">
        <v>6</v>
      </c>
      <c r="N219" s="3"/>
      <c r="O219" s="3"/>
      <c r="P219" s="2"/>
      <c r="Q219" s="2"/>
    </row>
    <row r="220" spans="1:17" x14ac:dyDescent="0.35">
      <c r="B220" s="410"/>
      <c r="C220" s="410" t="s">
        <v>9</v>
      </c>
      <c r="D220" s="36">
        <f>D83</f>
        <v>0</v>
      </c>
      <c r="E220" s="36" t="str">
        <f>E83</f>
        <v>-</v>
      </c>
      <c r="F220" s="36">
        <f>F83</f>
        <v>10</v>
      </c>
      <c r="G220" s="29">
        <f>T6</f>
        <v>74</v>
      </c>
      <c r="H220" s="3"/>
      <c r="I220" s="29">
        <f>U6</f>
        <v>69190</v>
      </c>
      <c r="J220" s="3"/>
      <c r="K220" s="35">
        <f>H145</f>
        <v>400.92</v>
      </c>
      <c r="L220" s="3"/>
      <c r="M220" s="278">
        <f>ROUND(K220*(I220/F220),0)</f>
        <v>2773965</v>
      </c>
      <c r="N220" s="3"/>
      <c r="O220" s="3"/>
      <c r="P220" s="2"/>
      <c r="Q220" s="2"/>
    </row>
    <row r="221" spans="1:17" x14ac:dyDescent="0.35">
      <c r="B221" s="410"/>
      <c r="C221" s="410"/>
      <c r="D221" s="36"/>
      <c r="E221" s="36" t="str">
        <f>E$85</f>
        <v>&gt;</v>
      </c>
      <c r="F221" s="36">
        <f>F$85</f>
        <v>10</v>
      </c>
      <c r="G221" s="29">
        <f>T7</f>
        <v>6845</v>
      </c>
      <c r="H221" s="3"/>
      <c r="I221" s="29">
        <f>U7</f>
        <v>1446294</v>
      </c>
      <c r="J221" s="3"/>
      <c r="K221" s="35">
        <f>H147</f>
        <v>35.33</v>
      </c>
      <c r="L221" s="3"/>
      <c r="M221" s="26">
        <f>ROUND(K221*I221,0)</f>
        <v>51097567</v>
      </c>
      <c r="N221" s="3"/>
      <c r="O221" s="3"/>
      <c r="P221" s="2"/>
      <c r="Q221" s="2"/>
    </row>
    <row r="222" spans="1:17" x14ac:dyDescent="0.35">
      <c r="B222" s="410"/>
      <c r="C222" s="410"/>
      <c r="D222" s="36"/>
      <c r="E222" s="36"/>
      <c r="F222" s="36"/>
      <c r="G222" s="38">
        <f>T8</f>
        <v>0</v>
      </c>
      <c r="H222" s="3"/>
      <c r="I222" s="38">
        <f>U8</f>
        <v>0</v>
      </c>
      <c r="J222" s="3"/>
      <c r="K222" s="35"/>
      <c r="L222" s="3"/>
      <c r="M222" s="37">
        <f>ROUND(K222*I222,0)</f>
        <v>0</v>
      </c>
      <c r="N222" s="3"/>
      <c r="O222" s="3"/>
      <c r="P222" s="2"/>
      <c r="Q222" s="2"/>
    </row>
    <row r="223" spans="1:17" x14ac:dyDescent="0.35">
      <c r="B223" s="410"/>
      <c r="C223" s="410"/>
      <c r="D223" s="36"/>
      <c r="E223" s="36"/>
      <c r="F223" s="36"/>
      <c r="G223" s="28">
        <f>G220+G221+G222</f>
        <v>6919</v>
      </c>
      <c r="H223" s="3"/>
      <c r="I223" s="28">
        <f>I220+I221+I222</f>
        <v>1515484</v>
      </c>
      <c r="J223" s="3"/>
      <c r="K223" s="35"/>
      <c r="L223" s="3"/>
      <c r="M223" s="34">
        <f>M220+M221+M222</f>
        <v>53871532</v>
      </c>
      <c r="N223" s="34"/>
      <c r="O223" s="36" t="s">
        <v>10</v>
      </c>
      <c r="P223" s="2"/>
      <c r="Q223" s="2"/>
    </row>
    <row r="224" spans="1:17" x14ac:dyDescent="0.35">
      <c r="B224" s="410"/>
      <c r="C224" s="410"/>
      <c r="D224" s="36"/>
      <c r="E224" s="36"/>
      <c r="F224" s="36"/>
      <c r="G224" s="28"/>
      <c r="H224" s="3"/>
      <c r="I224" s="28"/>
      <c r="J224" s="3"/>
      <c r="K224" s="35"/>
      <c r="L224" s="33" t="s">
        <v>22</v>
      </c>
      <c r="M224" s="34">
        <f>ROUND(M223*(O224-1),0)</f>
        <v>642149</v>
      </c>
      <c r="N224" s="33" t="s">
        <v>23</v>
      </c>
      <c r="O224" s="40">
        <f>L10</f>
        <v>1.0119199999999999</v>
      </c>
      <c r="P224" s="2"/>
      <c r="Q224" s="2"/>
    </row>
    <row r="225" spans="2:17" x14ac:dyDescent="0.35">
      <c r="B225" s="410"/>
      <c r="C225" s="410"/>
      <c r="D225" s="36"/>
      <c r="E225" s="36"/>
      <c r="F225" s="36"/>
      <c r="G225" s="28"/>
      <c r="H225" s="3"/>
      <c r="I225" s="28"/>
      <c r="J225" s="3"/>
      <c r="K225" s="35"/>
      <c r="L225" s="33" t="s">
        <v>21</v>
      </c>
      <c r="M225" s="32">
        <f>M223+M224</f>
        <v>54513681</v>
      </c>
      <c r="N225" s="8"/>
      <c r="O225" s="3"/>
      <c r="P225" s="2"/>
      <c r="Q225" s="2"/>
    </row>
    <row r="226" spans="2:17" x14ac:dyDescent="0.35">
      <c r="B226" s="410"/>
      <c r="C226" s="4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  <c r="Q226" s="2"/>
    </row>
    <row r="227" spans="2:17" x14ac:dyDescent="0.35">
      <c r="B227" s="410"/>
      <c r="C227" s="410" t="s">
        <v>8</v>
      </c>
      <c r="D227" s="36">
        <f>D220</f>
        <v>0</v>
      </c>
      <c r="E227" s="36" t="str">
        <f>E220</f>
        <v>-</v>
      </c>
      <c r="F227" s="36">
        <f>F220</f>
        <v>10</v>
      </c>
      <c r="G227" s="29">
        <f>T16</f>
        <v>0</v>
      </c>
      <c r="H227" s="3"/>
      <c r="I227" s="29">
        <f>U16</f>
        <v>0</v>
      </c>
      <c r="J227" s="3"/>
      <c r="K227" s="35">
        <f>H149</f>
        <v>291.63</v>
      </c>
      <c r="L227" s="3"/>
      <c r="M227" s="278">
        <f>ROUND(K227*(I227/F227),0)</f>
        <v>0</v>
      </c>
      <c r="N227" s="3"/>
      <c r="O227" s="3"/>
      <c r="P227" s="2"/>
      <c r="Q227" s="2"/>
    </row>
    <row r="228" spans="2:17" x14ac:dyDescent="0.35">
      <c r="B228" s="410"/>
      <c r="C228" s="410"/>
      <c r="D228" s="36"/>
      <c r="E228" s="36" t="str">
        <f>E221</f>
        <v>&gt;</v>
      </c>
      <c r="F228" s="36">
        <f>F221</f>
        <v>10</v>
      </c>
      <c r="G228" s="29">
        <f>T17</f>
        <v>0</v>
      </c>
      <c r="H228" s="3"/>
      <c r="I228" s="29">
        <f>U17</f>
        <v>0</v>
      </c>
      <c r="J228" s="3"/>
      <c r="K228" s="35">
        <f>H151</f>
        <v>25.419999999999998</v>
      </c>
      <c r="L228" s="3"/>
      <c r="M228" s="26">
        <f>ROUND(K228*I228,0)</f>
        <v>0</v>
      </c>
      <c r="N228" s="3"/>
      <c r="O228" s="3"/>
      <c r="P228" s="2"/>
      <c r="Q228" s="2"/>
    </row>
    <row r="229" spans="2:17" x14ac:dyDescent="0.35">
      <c r="B229" s="410"/>
      <c r="C229" s="410"/>
      <c r="D229" s="36"/>
      <c r="E229" s="36"/>
      <c r="F229" s="36"/>
      <c r="G229" s="38">
        <f>T18</f>
        <v>0</v>
      </c>
      <c r="H229" s="3"/>
      <c r="I229" s="38">
        <f>U18</f>
        <v>0</v>
      </c>
      <c r="J229" s="3"/>
      <c r="K229" s="35"/>
      <c r="L229" s="3"/>
      <c r="M229" s="37">
        <f>ROUND(K229*I229,0)</f>
        <v>0</v>
      </c>
      <c r="N229" s="3"/>
      <c r="O229" s="3"/>
      <c r="P229" s="2"/>
      <c r="Q229" s="2"/>
    </row>
    <row r="230" spans="2:17" x14ac:dyDescent="0.35">
      <c r="B230" s="410"/>
      <c r="C230" s="410"/>
      <c r="D230" s="36"/>
      <c r="E230" s="36"/>
      <c r="F230" s="36"/>
      <c r="G230" s="28">
        <f>G227+G228+G229</f>
        <v>0</v>
      </c>
      <c r="H230" s="3"/>
      <c r="I230" s="28">
        <f>I227+I228+I229</f>
        <v>0</v>
      </c>
      <c r="J230" s="3"/>
      <c r="K230" s="35"/>
      <c r="L230" s="3"/>
      <c r="M230" s="34">
        <f>M227+M228+M229</f>
        <v>0</v>
      </c>
      <c r="N230" s="3"/>
      <c r="O230" s="3"/>
      <c r="P230" s="2"/>
      <c r="Q230" s="2"/>
    </row>
    <row r="231" spans="2:17" x14ac:dyDescent="0.35">
      <c r="B231" s="410"/>
      <c r="C231" s="410"/>
      <c r="D231" s="36"/>
      <c r="E231" s="36"/>
      <c r="F231" s="36"/>
      <c r="G231" s="28"/>
      <c r="H231" s="3"/>
      <c r="I231" s="28"/>
      <c r="J231" s="3"/>
      <c r="K231" s="35"/>
      <c r="L231" s="33" t="s">
        <v>22</v>
      </c>
      <c r="M231" s="34">
        <f>ROUND(M230*(O224-1),0)</f>
        <v>0</v>
      </c>
      <c r="N231" s="3"/>
      <c r="O231" s="3"/>
      <c r="P231" s="2"/>
      <c r="Q231" s="2"/>
    </row>
    <row r="232" spans="2:17" x14ac:dyDescent="0.35">
      <c r="B232" s="410"/>
      <c r="C232" s="410"/>
      <c r="D232" s="36"/>
      <c r="E232" s="36"/>
      <c r="F232" s="36"/>
      <c r="G232" s="28"/>
      <c r="H232" s="3"/>
      <c r="I232" s="28"/>
      <c r="J232" s="3"/>
      <c r="K232" s="35"/>
      <c r="L232" s="33" t="s">
        <v>21</v>
      </c>
      <c r="M232" s="32">
        <f>M230+M231</f>
        <v>0</v>
      </c>
      <c r="N232" s="8"/>
      <c r="O232" s="3"/>
      <c r="P232" s="2"/>
      <c r="Q232" s="2"/>
    </row>
    <row r="233" spans="2:17" x14ac:dyDescent="0.35">
      <c r="B233" s="410"/>
      <c r="C233" s="4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"/>
      <c r="Q233" s="2"/>
    </row>
    <row r="234" spans="2:17" x14ac:dyDescent="0.35">
      <c r="B234" s="410"/>
      <c r="C234" s="4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"/>
      <c r="Q234" s="2"/>
    </row>
    <row r="235" spans="2:17" x14ac:dyDescent="0.35">
      <c r="B235" s="410"/>
      <c r="C235" s="410"/>
      <c r="D235" s="3"/>
      <c r="E235" s="3"/>
      <c r="F235" s="3"/>
      <c r="G235" s="3"/>
      <c r="H235" s="3"/>
      <c r="I235" s="3"/>
      <c r="J235" s="3"/>
      <c r="K235" s="3"/>
      <c r="L235" s="3"/>
      <c r="M235" s="36" t="s">
        <v>7</v>
      </c>
      <c r="N235" s="17"/>
      <c r="O235" s="3"/>
      <c r="P235" s="2"/>
      <c r="Q235" s="2"/>
    </row>
    <row r="236" spans="2:17" x14ac:dyDescent="0.35">
      <c r="B236" s="410"/>
      <c r="C236" s="410"/>
      <c r="D236" s="3"/>
      <c r="E236" s="3"/>
      <c r="F236" s="3"/>
      <c r="G236" s="3"/>
      <c r="H236" s="3"/>
      <c r="I236" s="3"/>
      <c r="J236" s="3"/>
      <c r="K236" s="30" t="s">
        <v>15</v>
      </c>
      <c r="L236" s="3"/>
      <c r="M236" s="30" t="s">
        <v>14</v>
      </c>
      <c r="N236" s="17"/>
      <c r="O236" s="3"/>
      <c r="P236" s="2"/>
      <c r="Q236" s="2"/>
    </row>
    <row r="237" spans="2:17" x14ac:dyDescent="0.35">
      <c r="B237" s="406"/>
      <c r="C237" s="835" t="s">
        <v>24</v>
      </c>
      <c r="D237" s="3"/>
      <c r="E237" s="3"/>
      <c r="F237" s="3"/>
      <c r="G237" s="3"/>
      <c r="H237" s="3"/>
      <c r="I237" s="3"/>
      <c r="J237" s="3"/>
      <c r="K237" s="30" t="s">
        <v>11</v>
      </c>
      <c r="L237" s="3"/>
      <c r="M237" s="30" t="s">
        <v>6</v>
      </c>
      <c r="N237" s="17"/>
      <c r="O237" s="3"/>
      <c r="P237" s="2"/>
      <c r="Q237" s="2"/>
    </row>
    <row r="238" spans="2:17" x14ac:dyDescent="0.35">
      <c r="B238" s="410"/>
      <c r="C238" s="410" t="s">
        <v>9</v>
      </c>
      <c r="D238" s="36">
        <f>D220</f>
        <v>0</v>
      </c>
      <c r="E238" s="36" t="str">
        <f>E220</f>
        <v>-</v>
      </c>
      <c r="F238" s="36">
        <f>F220</f>
        <v>10</v>
      </c>
      <c r="G238" s="29">
        <f>T11</f>
        <v>243.00000000000003</v>
      </c>
      <c r="H238" s="3"/>
      <c r="I238" s="29">
        <f>U11</f>
        <v>138280</v>
      </c>
      <c r="J238" s="3"/>
      <c r="K238" s="35">
        <f>J145</f>
        <v>312.42</v>
      </c>
      <c r="L238" s="3"/>
      <c r="M238" s="278">
        <f>ROUND(K238*(I238/F238),0)</f>
        <v>4320144</v>
      </c>
      <c r="N238" s="17"/>
      <c r="O238" s="3"/>
      <c r="P238" s="2"/>
      <c r="Q238" s="2"/>
    </row>
    <row r="239" spans="2:17" x14ac:dyDescent="0.35">
      <c r="B239" s="410"/>
      <c r="C239" s="410"/>
      <c r="D239" s="36"/>
      <c r="E239" s="36" t="str">
        <f>E221</f>
        <v>&gt;</v>
      </c>
      <c r="F239" s="36">
        <f>F221</f>
        <v>10</v>
      </c>
      <c r="G239" s="29">
        <f>T12</f>
        <v>13585</v>
      </c>
      <c r="H239" s="3"/>
      <c r="I239" s="29">
        <f>U12</f>
        <v>1945382</v>
      </c>
      <c r="J239" s="3"/>
      <c r="K239" s="35">
        <f>J147</f>
        <v>27.29</v>
      </c>
      <c r="L239" s="3"/>
      <c r="M239" s="26">
        <f>ROUND(K239*I239,0)</f>
        <v>53089475</v>
      </c>
      <c r="N239" s="17"/>
      <c r="O239" s="3"/>
      <c r="P239" s="2"/>
      <c r="Q239" s="2"/>
    </row>
    <row r="240" spans="2:17" x14ac:dyDescent="0.35">
      <c r="B240" s="410"/>
      <c r="C240" s="410"/>
      <c r="D240" s="36"/>
      <c r="E240" s="36"/>
      <c r="F240" s="36"/>
      <c r="G240" s="38">
        <f>T13</f>
        <v>0</v>
      </c>
      <c r="H240" s="3"/>
      <c r="I240" s="38">
        <f>U13</f>
        <v>0</v>
      </c>
      <c r="J240" s="3"/>
      <c r="K240" s="35"/>
      <c r="L240" s="3"/>
      <c r="M240" s="37">
        <f>ROUND(K240*I240,0)</f>
        <v>0</v>
      </c>
      <c r="N240" s="17"/>
      <c r="O240" s="3"/>
      <c r="P240" s="2"/>
      <c r="Q240" s="2"/>
    </row>
    <row r="241" spans="2:17" x14ac:dyDescent="0.35">
      <c r="B241" s="410"/>
      <c r="C241" s="410"/>
      <c r="D241" s="36"/>
      <c r="E241" s="36"/>
      <c r="F241" s="36"/>
      <c r="G241" s="28">
        <f>G238+G239+G240</f>
        <v>13828</v>
      </c>
      <c r="H241" s="3"/>
      <c r="I241" s="28">
        <f>I238+I239+I240</f>
        <v>2083662</v>
      </c>
      <c r="J241" s="3"/>
      <c r="K241" s="35"/>
      <c r="L241" s="3"/>
      <c r="M241" s="34">
        <f>M238+M239+M240</f>
        <v>57409619</v>
      </c>
      <c r="N241" s="3"/>
      <c r="O241" s="36" t="s">
        <v>7</v>
      </c>
      <c r="P241" s="2"/>
      <c r="Q241" s="2"/>
    </row>
    <row r="242" spans="2:17" x14ac:dyDescent="0.35">
      <c r="B242" s="3"/>
      <c r="C242" s="3"/>
      <c r="D242" s="36"/>
      <c r="E242" s="36"/>
      <c r="F242" s="36"/>
      <c r="G242" s="28"/>
      <c r="H242" s="3"/>
      <c r="I242" s="28"/>
      <c r="J242" s="3"/>
      <c r="K242" s="35"/>
      <c r="L242" s="33" t="s">
        <v>22</v>
      </c>
      <c r="M242" s="34">
        <f>ROUND(M241*(O242-1),0)</f>
        <v>612561</v>
      </c>
      <c r="N242" s="33" t="s">
        <v>23</v>
      </c>
      <c r="O242" s="40">
        <f>L11</f>
        <v>1.01067</v>
      </c>
      <c r="P242" s="2"/>
      <c r="Q242" s="2"/>
    </row>
    <row r="243" spans="2:17" x14ac:dyDescent="0.35">
      <c r="B243" s="3"/>
      <c r="C243" s="3"/>
      <c r="D243" s="36"/>
      <c r="E243" s="36"/>
      <c r="F243" s="36"/>
      <c r="G243" s="28"/>
      <c r="H243" s="3"/>
      <c r="I243" s="28"/>
      <c r="J243" s="3"/>
      <c r="K243" s="35"/>
      <c r="L243" s="33" t="s">
        <v>21</v>
      </c>
      <c r="M243" s="32">
        <f>M241+M242</f>
        <v>58022180</v>
      </c>
      <c r="N243" s="8"/>
      <c r="O243" s="3"/>
      <c r="P243" s="2"/>
      <c r="Q243" s="2"/>
    </row>
    <row r="244" spans="2:17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"/>
      <c r="Q244" s="2"/>
    </row>
    <row r="245" spans="2:17" x14ac:dyDescent="0.35">
      <c r="B245" s="3"/>
      <c r="C245" s="3" t="s">
        <v>8</v>
      </c>
      <c r="D245" s="36">
        <f>D220</f>
        <v>0</v>
      </c>
      <c r="E245" s="36" t="str">
        <f>E220</f>
        <v>-</v>
      </c>
      <c r="F245" s="36">
        <f>F220</f>
        <v>10</v>
      </c>
      <c r="G245" s="29">
        <f>T21</f>
        <v>0</v>
      </c>
      <c r="H245" s="3"/>
      <c r="I245" s="29">
        <f>U21</f>
        <v>0</v>
      </c>
      <c r="J245" s="3"/>
      <c r="K245" s="35">
        <f>J149</f>
        <v>203.13</v>
      </c>
      <c r="L245" s="3"/>
      <c r="M245" s="278">
        <f>ROUND(K245*(I245/F245),0)</f>
        <v>0</v>
      </c>
      <c r="N245" s="17"/>
      <c r="O245" s="3"/>
      <c r="P245" s="2"/>
      <c r="Q245" s="2"/>
    </row>
    <row r="246" spans="2:17" x14ac:dyDescent="0.35">
      <c r="B246" s="3"/>
      <c r="C246" s="3"/>
      <c r="D246" s="36"/>
      <c r="E246" s="36" t="str">
        <f>E221</f>
        <v>&gt;</v>
      </c>
      <c r="F246" s="36">
        <f>F221</f>
        <v>10</v>
      </c>
      <c r="G246" s="29">
        <f>T22</f>
        <v>0</v>
      </c>
      <c r="H246" s="3"/>
      <c r="I246" s="29">
        <f>U22</f>
        <v>0</v>
      </c>
      <c r="J246" s="3"/>
      <c r="K246" s="35">
        <f>J151</f>
        <v>17.36</v>
      </c>
      <c r="L246" s="3"/>
      <c r="M246" s="26">
        <f>ROUND(K246*I246,0)</f>
        <v>0</v>
      </c>
      <c r="N246" s="17"/>
      <c r="O246" s="3"/>
      <c r="P246" s="2"/>
      <c r="Q246" s="2"/>
    </row>
    <row r="247" spans="2:17" x14ac:dyDescent="0.35">
      <c r="B247" s="3"/>
      <c r="C247" s="410"/>
      <c r="D247" s="272"/>
      <c r="E247" s="272"/>
      <c r="F247" s="272"/>
      <c r="G247" s="38">
        <f>T23</f>
        <v>0</v>
      </c>
      <c r="H247" s="3"/>
      <c r="I247" s="38">
        <f>U23</f>
        <v>0</v>
      </c>
      <c r="J247" s="3"/>
      <c r="K247" s="35"/>
      <c r="L247" s="3"/>
      <c r="M247" s="37">
        <f>ROUND(K247*I247,0)</f>
        <v>0</v>
      </c>
      <c r="N247" s="17"/>
      <c r="O247" s="3"/>
      <c r="P247" s="2"/>
      <c r="Q247" s="2"/>
    </row>
    <row r="248" spans="2:17" x14ac:dyDescent="0.35">
      <c r="B248" s="3"/>
      <c r="C248" s="410"/>
      <c r="D248" s="272"/>
      <c r="E248" s="272"/>
      <c r="F248" s="272"/>
      <c r="G248" s="28">
        <f>G245+G246+G247</f>
        <v>0</v>
      </c>
      <c r="H248" s="3"/>
      <c r="I248" s="28">
        <f>I245+I246+I247</f>
        <v>0</v>
      </c>
      <c r="J248" s="3"/>
      <c r="K248" s="35"/>
      <c r="L248" s="3"/>
      <c r="M248" s="34">
        <f>M245+M246+M247</f>
        <v>0</v>
      </c>
      <c r="N248" s="17"/>
      <c r="O248" s="3"/>
      <c r="P248" s="2"/>
      <c r="Q248" s="2"/>
    </row>
    <row r="249" spans="2:17" x14ac:dyDescent="0.35">
      <c r="B249" s="3"/>
      <c r="C249" s="410"/>
      <c r="D249" s="410"/>
      <c r="E249" s="410"/>
      <c r="F249" s="410"/>
      <c r="G249" s="3"/>
      <c r="H249" s="3"/>
      <c r="I249" s="3"/>
      <c r="J249" s="3"/>
      <c r="K249" s="3"/>
      <c r="L249" s="33" t="s">
        <v>22</v>
      </c>
      <c r="M249" s="34">
        <f>ROUND(M248*(O242-1),0)</f>
        <v>0</v>
      </c>
      <c r="N249" s="17"/>
      <c r="O249" s="3"/>
      <c r="P249" s="2"/>
      <c r="Q249" s="2"/>
    </row>
    <row r="250" spans="2:17" x14ac:dyDescent="0.35">
      <c r="B250" s="3"/>
      <c r="C250" s="410"/>
      <c r="D250" s="410"/>
      <c r="E250" s="410"/>
      <c r="F250" s="410"/>
      <c r="G250" s="3"/>
      <c r="H250" s="3"/>
      <c r="I250" s="3"/>
      <c r="J250" s="3"/>
      <c r="K250" s="3"/>
      <c r="L250" s="33" t="s">
        <v>21</v>
      </c>
      <c r="M250" s="32">
        <f>M248+M249</f>
        <v>0</v>
      </c>
      <c r="N250" s="8"/>
      <c r="O250" s="3"/>
      <c r="P250" s="2"/>
      <c r="Q250" s="2"/>
    </row>
    <row r="251" spans="2:17" x14ac:dyDescent="0.35">
      <c r="B251" s="3"/>
      <c r="C251" s="410"/>
      <c r="D251" s="410"/>
      <c r="E251" s="410"/>
      <c r="F251" s="410"/>
      <c r="G251" s="3"/>
      <c r="H251" s="3"/>
      <c r="I251" s="3"/>
      <c r="J251" s="3"/>
      <c r="K251" s="3"/>
      <c r="L251" s="3"/>
      <c r="M251" s="3"/>
      <c r="N251" s="3"/>
      <c r="O251" s="3"/>
      <c r="P251" s="2"/>
      <c r="Q251" s="2"/>
    </row>
    <row r="252" spans="2:17" x14ac:dyDescent="0.35">
      <c r="B252" s="3"/>
      <c r="C252" s="410" t="s">
        <v>20</v>
      </c>
      <c r="D252" s="410"/>
      <c r="E252" s="410"/>
      <c r="F252" s="410"/>
      <c r="G252" s="3"/>
      <c r="H252" s="3"/>
      <c r="I252" s="3"/>
      <c r="J252" s="3"/>
      <c r="K252" s="3"/>
      <c r="L252" s="3"/>
      <c r="M252" s="32">
        <f>M225+M232+M243+M250</f>
        <v>112535861</v>
      </c>
      <c r="N252" s="17"/>
      <c r="O252" s="3"/>
      <c r="P252" s="2"/>
      <c r="Q252" s="2"/>
    </row>
    <row r="253" spans="2:17" x14ac:dyDescent="0.35">
      <c r="B253" s="3"/>
      <c r="C253" s="410" t="s">
        <v>1728</v>
      </c>
      <c r="D253" s="410"/>
      <c r="E253" s="410"/>
      <c r="F253" s="410"/>
      <c r="G253" s="3"/>
      <c r="H253" s="3"/>
      <c r="I253" s="3"/>
      <c r="J253" s="3"/>
      <c r="K253" s="3"/>
      <c r="L253" s="3"/>
      <c r="M253" s="26">
        <f>L22+L23</f>
        <v>0</v>
      </c>
      <c r="N253" s="17"/>
      <c r="O253" s="3"/>
      <c r="P253" s="2"/>
      <c r="Q253" s="2"/>
    </row>
    <row r="254" spans="2:17" x14ac:dyDescent="0.35">
      <c r="B254" s="3"/>
      <c r="C254" s="410" t="s">
        <v>1729</v>
      </c>
      <c r="D254" s="410"/>
      <c r="E254" s="410"/>
      <c r="F254" s="410"/>
      <c r="G254" s="3"/>
      <c r="H254" s="3"/>
      <c r="I254" s="3"/>
      <c r="J254" s="3"/>
      <c r="K254" s="3"/>
      <c r="L254" s="3"/>
      <c r="M254" s="26">
        <f>ROUND((J65+J66)*$L$9,0)</f>
        <v>0</v>
      </c>
      <c r="N254" s="17"/>
      <c r="O254" s="3"/>
      <c r="P254" s="2"/>
      <c r="Q254" s="2"/>
    </row>
    <row r="255" spans="2:17" x14ac:dyDescent="0.35">
      <c r="B255" s="3"/>
      <c r="C255" s="410" t="s">
        <v>1730</v>
      </c>
      <c r="D255" s="410"/>
      <c r="E255" s="410"/>
      <c r="F255" s="410"/>
      <c r="G255" s="3"/>
      <c r="H255" s="3"/>
      <c r="I255" s="3"/>
      <c r="J255" s="3"/>
      <c r="K255" s="3"/>
      <c r="L255" s="3"/>
      <c r="M255" s="26">
        <f>L18</f>
        <v>31054.306616539892</v>
      </c>
      <c r="N255" s="17"/>
      <c r="O255" s="3"/>
      <c r="P255" s="2"/>
      <c r="Q255" s="2"/>
    </row>
    <row r="256" spans="2:17" ht="15" thickBot="1" x14ac:dyDescent="0.4">
      <c r="B256" s="3"/>
      <c r="C256" s="410" t="s">
        <v>1731</v>
      </c>
      <c r="D256" s="410"/>
      <c r="E256" s="410"/>
      <c r="F256" s="410"/>
      <c r="G256" s="3"/>
      <c r="H256" s="3"/>
      <c r="I256" s="3"/>
      <c r="J256" s="3"/>
      <c r="K256" s="3"/>
      <c r="L256" s="3"/>
      <c r="M256" s="26">
        <f>ROUND(J64*$L$9,0)</f>
        <v>784</v>
      </c>
      <c r="N256" s="17"/>
      <c r="O256" s="3"/>
      <c r="P256" s="2"/>
      <c r="Q256" s="2"/>
    </row>
    <row r="257" spans="2:17" ht="15.5" thickTop="1" thickBot="1" x14ac:dyDescent="0.4">
      <c r="B257" s="3"/>
      <c r="C257" s="837" t="str">
        <f>CONCATENATE($A$4," - Total Annual Demand Charge Incl EDB:")</f>
        <v>SC8 Rate I - Total Annual Demand Charge Incl EDB:</v>
      </c>
      <c r="D257" s="410"/>
      <c r="E257" s="410"/>
      <c r="F257" s="410"/>
      <c r="G257" s="3"/>
      <c r="H257" s="3"/>
      <c r="I257" s="3"/>
      <c r="J257" s="3"/>
      <c r="K257" s="3"/>
      <c r="L257" s="3"/>
      <c r="M257" s="925">
        <f>M252+M253+M254+M255+M256</f>
        <v>112567699.30661654</v>
      </c>
      <c r="N257" s="8"/>
      <c r="O257" s="3"/>
      <c r="P257" s="2"/>
      <c r="Q257" s="2"/>
    </row>
    <row r="258" spans="2:17" ht="15" thickTop="1" x14ac:dyDescent="0.35">
      <c r="B258" s="3"/>
      <c r="C258" s="410"/>
      <c r="D258" s="410"/>
      <c r="E258" s="410"/>
      <c r="F258" s="410"/>
      <c r="G258" s="3"/>
      <c r="H258" s="3"/>
      <c r="I258" s="3"/>
      <c r="J258" s="3"/>
      <c r="K258" s="3"/>
      <c r="L258" s="3"/>
      <c r="M258" s="3"/>
      <c r="N258" s="17"/>
      <c r="O258" s="3"/>
      <c r="P258" s="2"/>
      <c r="Q258" s="2"/>
    </row>
    <row r="259" spans="2:17" x14ac:dyDescent="0.35">
      <c r="B259" s="3"/>
      <c r="C259" s="410"/>
      <c r="D259" s="410"/>
      <c r="E259" s="410"/>
      <c r="F259" s="410"/>
      <c r="G259" s="3"/>
      <c r="H259" s="3"/>
      <c r="I259" s="3"/>
      <c r="J259" s="3"/>
      <c r="K259" s="30" t="s">
        <v>15</v>
      </c>
      <c r="L259" s="3"/>
      <c r="M259" s="30" t="s">
        <v>14</v>
      </c>
      <c r="N259" s="17"/>
      <c r="O259" s="3"/>
      <c r="P259" s="2"/>
      <c r="Q259" s="2"/>
    </row>
    <row r="260" spans="2:17" x14ac:dyDescent="0.35">
      <c r="B260" s="3"/>
      <c r="C260" s="835" t="s">
        <v>13</v>
      </c>
      <c r="D260" s="410"/>
      <c r="E260" s="410"/>
      <c r="F260" s="410"/>
      <c r="G260" s="3"/>
      <c r="H260" s="3"/>
      <c r="I260" s="30" t="s">
        <v>44</v>
      </c>
      <c r="J260" s="3"/>
      <c r="K260" s="30" t="s">
        <v>11</v>
      </c>
      <c r="L260" s="3"/>
      <c r="M260" s="30" t="s">
        <v>6</v>
      </c>
      <c r="N260" s="17"/>
      <c r="O260" s="3"/>
      <c r="P260" s="2"/>
      <c r="Q260" s="2"/>
    </row>
    <row r="261" spans="2:17" x14ac:dyDescent="0.35">
      <c r="B261" s="3"/>
      <c r="C261" s="410" t="s">
        <v>9</v>
      </c>
      <c r="D261" s="410" t="s">
        <v>10</v>
      </c>
      <c r="E261" s="410"/>
      <c r="F261" s="410"/>
      <c r="G261" s="3"/>
      <c r="H261" s="3"/>
      <c r="I261" s="29">
        <f>V6</f>
        <v>602294876</v>
      </c>
      <c r="J261" s="3"/>
      <c r="K261" s="27">
        <f>I207</f>
        <v>1.67E-2</v>
      </c>
      <c r="L261" s="3"/>
      <c r="M261" s="26">
        <f>ROUND(I261*K261,0)</f>
        <v>10058324</v>
      </c>
      <c r="N261" s="17"/>
      <c r="O261" s="3"/>
      <c r="P261" s="2"/>
      <c r="Q261" s="2"/>
    </row>
    <row r="262" spans="2:17" x14ac:dyDescent="0.35">
      <c r="B262" s="3"/>
      <c r="C262" s="410"/>
      <c r="D262" s="410"/>
      <c r="E262" s="410"/>
      <c r="F262" s="410"/>
      <c r="G262" s="3"/>
      <c r="H262" s="3"/>
      <c r="I262" s="3"/>
      <c r="J262" s="3"/>
      <c r="K262" s="3"/>
      <c r="L262" s="3"/>
      <c r="M262" s="3"/>
      <c r="N262" s="3"/>
      <c r="O262" s="3"/>
      <c r="P262" s="2"/>
      <c r="Q262" s="2"/>
    </row>
    <row r="263" spans="2:17" x14ac:dyDescent="0.35">
      <c r="B263" s="3"/>
      <c r="C263" s="3" t="s">
        <v>8</v>
      </c>
      <c r="D263" s="3" t="s">
        <v>10</v>
      </c>
      <c r="E263" s="3"/>
      <c r="F263" s="3"/>
      <c r="G263" s="3"/>
      <c r="H263" s="3"/>
      <c r="I263" s="28">
        <f>V16</f>
        <v>0</v>
      </c>
      <c r="J263" s="3"/>
      <c r="K263" s="27">
        <f>I210</f>
        <v>1.67E-2</v>
      </c>
      <c r="L263" s="3"/>
      <c r="M263" s="26">
        <f>ROUND(I263*K263,0)</f>
        <v>0</v>
      </c>
      <c r="N263" s="17"/>
      <c r="O263" s="3"/>
      <c r="P263" s="2"/>
      <c r="Q263" s="2"/>
    </row>
    <row r="264" spans="2:17" x14ac:dyDescent="0.35">
      <c r="B264" s="3"/>
      <c r="C264" s="410"/>
      <c r="D264" s="410"/>
      <c r="E264" s="410"/>
      <c r="F264" s="410"/>
      <c r="G264" s="410"/>
      <c r="H264" s="410"/>
      <c r="I264" s="3"/>
      <c r="J264" s="3"/>
      <c r="K264" s="3"/>
      <c r="L264" s="3"/>
      <c r="M264" s="3"/>
      <c r="N264" s="3"/>
      <c r="O264" s="3"/>
      <c r="P264" s="2"/>
      <c r="Q264" s="2"/>
    </row>
    <row r="265" spans="2:17" x14ac:dyDescent="0.35">
      <c r="B265" s="3"/>
      <c r="C265" s="410" t="s">
        <v>9</v>
      </c>
      <c r="D265" s="410" t="s">
        <v>7</v>
      </c>
      <c r="E265" s="410"/>
      <c r="F265" s="410"/>
      <c r="G265" s="410"/>
      <c r="H265" s="410"/>
      <c r="I265" s="28">
        <f>V11</f>
        <v>911800979</v>
      </c>
      <c r="J265" s="3"/>
      <c r="K265" s="27">
        <f>K207</f>
        <v>1.67E-2</v>
      </c>
      <c r="L265" s="3"/>
      <c r="M265" s="26">
        <f>ROUND(I265*K265,0)</f>
        <v>15227076</v>
      </c>
      <c r="N265" s="17"/>
      <c r="O265" s="3"/>
      <c r="P265" s="2"/>
      <c r="Q265" s="2"/>
    </row>
    <row r="266" spans="2:17" x14ac:dyDescent="0.35">
      <c r="B266" s="3"/>
      <c r="C266" s="410"/>
      <c r="D266" s="410"/>
      <c r="E266" s="410"/>
      <c r="F266" s="410"/>
      <c r="G266" s="410"/>
      <c r="H266" s="410"/>
      <c r="I266" s="3"/>
      <c r="J266" s="3"/>
      <c r="K266" s="3"/>
      <c r="L266" s="3"/>
      <c r="M266" s="3"/>
      <c r="N266" s="3"/>
      <c r="O266" s="3"/>
      <c r="P266" s="2"/>
      <c r="Q266" s="2"/>
    </row>
    <row r="267" spans="2:17" x14ac:dyDescent="0.35">
      <c r="B267" s="3"/>
      <c r="C267" s="410" t="s">
        <v>8</v>
      </c>
      <c r="D267" s="410" t="s">
        <v>7</v>
      </c>
      <c r="E267" s="410"/>
      <c r="F267" s="410"/>
      <c r="G267" s="410"/>
      <c r="H267" s="410"/>
      <c r="I267" s="28">
        <f>V21</f>
        <v>0</v>
      </c>
      <c r="J267" s="3"/>
      <c r="K267" s="27">
        <f>K210</f>
        <v>1.67E-2</v>
      </c>
      <c r="L267" s="3"/>
      <c r="M267" s="26">
        <f>ROUND(I267*K267,0)</f>
        <v>0</v>
      </c>
      <c r="N267" s="17"/>
      <c r="O267" s="3"/>
      <c r="P267" s="2"/>
      <c r="Q267" s="2"/>
    </row>
    <row r="268" spans="2:17" ht="15" thickBot="1" x14ac:dyDescent="0.4">
      <c r="B268" s="3"/>
      <c r="C268" s="410"/>
      <c r="D268" s="410"/>
      <c r="E268" s="410"/>
      <c r="F268" s="410"/>
      <c r="G268" s="410"/>
      <c r="H268" s="410"/>
      <c r="I268" s="3"/>
      <c r="J268" s="3"/>
      <c r="K268" s="3"/>
      <c r="L268" s="3"/>
      <c r="M268" s="3"/>
      <c r="N268" s="17"/>
      <c r="O268" s="3"/>
      <c r="P268" s="2"/>
      <c r="Q268" s="2"/>
    </row>
    <row r="269" spans="2:17" ht="15.5" thickTop="1" thickBot="1" x14ac:dyDescent="0.4">
      <c r="B269" s="3"/>
      <c r="C269" s="837" t="str">
        <f>CONCATENATE($A$4," - Total Annual Energy Charge:")</f>
        <v>SC8 Rate I - Total Annual Energy Charge:</v>
      </c>
      <c r="D269" s="410"/>
      <c r="E269" s="410"/>
      <c r="F269" s="410"/>
      <c r="G269" s="410"/>
      <c r="H269" s="410"/>
      <c r="I269" s="3"/>
      <c r="J269" s="3"/>
      <c r="K269" s="3"/>
      <c r="L269" s="3"/>
      <c r="M269" s="925">
        <f>M261+M263+M265+M267</f>
        <v>25285400</v>
      </c>
      <c r="N269" s="17"/>
      <c r="O269" s="3"/>
      <c r="P269" s="2"/>
      <c r="Q269" s="2"/>
    </row>
    <row r="270" spans="2:17" ht="15.5" thickTop="1" thickBot="1" x14ac:dyDescent="0.4">
      <c r="B270" s="3"/>
      <c r="C270" s="410"/>
      <c r="D270" s="410"/>
      <c r="E270" s="410"/>
      <c r="F270" s="410"/>
      <c r="G270" s="410"/>
      <c r="H270" s="410"/>
      <c r="I270" s="3"/>
      <c r="J270" s="3"/>
      <c r="K270" s="3"/>
      <c r="L270" s="3"/>
      <c r="M270" s="2"/>
      <c r="N270" s="17"/>
      <c r="O270" s="3"/>
      <c r="P270" s="2"/>
      <c r="Q270" s="2"/>
    </row>
    <row r="271" spans="2:17" ht="15.5" thickTop="1" thickBot="1" x14ac:dyDescent="0.4">
      <c r="B271" s="3"/>
      <c r="C271" s="837" t="str">
        <f>CONCATENATE($A$4," - Total Charge Price-Out at Proposed Rates:")</f>
        <v>SC8 Rate I - Total Charge Price-Out at Proposed Rates:</v>
      </c>
      <c r="D271" s="410"/>
      <c r="E271" s="410"/>
      <c r="F271" s="410"/>
      <c r="G271" s="410"/>
      <c r="H271" s="410"/>
      <c r="I271" s="3"/>
      <c r="J271" s="3"/>
      <c r="K271" s="3"/>
      <c r="L271" s="3"/>
      <c r="M271" s="925">
        <f>M257+M269</f>
        <v>137853099.30661654</v>
      </c>
      <c r="N271" s="8"/>
      <c r="O271" s="3"/>
      <c r="P271" s="2"/>
      <c r="Q271" s="2"/>
    </row>
    <row r="272" spans="2:17" ht="15.5" thickTop="1" thickBot="1" x14ac:dyDescent="0.4">
      <c r="B272" s="3"/>
      <c r="C272" s="410"/>
      <c r="D272" s="410"/>
      <c r="E272" s="410"/>
      <c r="F272" s="410"/>
      <c r="G272" s="410"/>
      <c r="H272" s="410"/>
      <c r="I272" s="3"/>
      <c r="J272" s="3"/>
      <c r="K272" s="3"/>
      <c r="L272" s="3"/>
      <c r="M272" s="3"/>
      <c r="N272" s="17"/>
      <c r="P272"/>
      <c r="Q272" s="2"/>
    </row>
    <row r="273" spans="1:17" x14ac:dyDescent="0.35">
      <c r="B273" s="3"/>
      <c r="C273" s="23" t="str">
        <f>$A$4</f>
        <v>SC8 Rate I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1" t="s">
        <v>6</v>
      </c>
      <c r="N273" s="3"/>
      <c r="P273"/>
      <c r="Q273" s="2"/>
    </row>
    <row r="274" spans="1:17" x14ac:dyDescent="0.35">
      <c r="B274" s="3"/>
      <c r="C274" s="11" t="s">
        <v>5</v>
      </c>
      <c r="D274" s="1305">
        <f>L4</f>
        <v>2020</v>
      </c>
      <c r="E274" s="1305"/>
      <c r="F274" s="1305"/>
      <c r="G274" s="10"/>
      <c r="H274" s="10"/>
      <c r="I274" s="10"/>
      <c r="J274" s="10"/>
      <c r="K274" s="10"/>
      <c r="L274" s="10"/>
      <c r="M274" s="13"/>
      <c r="P274"/>
      <c r="Q274" s="3"/>
    </row>
    <row r="275" spans="1:17" x14ac:dyDescent="0.35">
      <c r="B275" s="3"/>
      <c r="C275" s="699" t="s">
        <v>4</v>
      </c>
      <c r="D275" s="814"/>
      <c r="E275" s="814"/>
      <c r="F275" s="814"/>
      <c r="G275" s="10"/>
      <c r="H275" s="10"/>
      <c r="I275" s="10"/>
      <c r="J275" s="10"/>
      <c r="K275" s="10"/>
      <c r="L275" s="10"/>
      <c r="M275" s="12">
        <f>M271</f>
        <v>137853099.30661654</v>
      </c>
      <c r="P275"/>
      <c r="Q275" s="3"/>
    </row>
    <row r="276" spans="1:17" x14ac:dyDescent="0.35">
      <c r="B276" s="3"/>
      <c r="C276" s="699"/>
      <c r="D276" s="814"/>
      <c r="E276" s="814"/>
      <c r="F276" s="814"/>
      <c r="G276" s="10"/>
      <c r="H276" s="10"/>
      <c r="I276" s="10"/>
      <c r="J276" s="10"/>
      <c r="K276" s="10"/>
      <c r="L276" s="10"/>
      <c r="M276" s="18"/>
      <c r="P276"/>
      <c r="Q276" s="3"/>
    </row>
    <row r="277" spans="1:17" x14ac:dyDescent="0.35">
      <c r="B277" s="3"/>
      <c r="C277" s="699" t="s">
        <v>1576</v>
      </c>
      <c r="D277" s="19"/>
      <c r="E277" s="19"/>
      <c r="F277" s="19"/>
      <c r="G277" s="10"/>
      <c r="H277" s="10"/>
      <c r="I277" s="10"/>
      <c r="J277" s="10"/>
      <c r="K277" s="10"/>
      <c r="L277" s="10"/>
      <c r="M277" s="936">
        <f>L27</f>
        <v>14521037</v>
      </c>
      <c r="P277" s="3"/>
      <c r="Q277" s="3"/>
    </row>
    <row r="278" spans="1:17" x14ac:dyDescent="0.35">
      <c r="B278" s="3"/>
      <c r="C278" s="11"/>
      <c r="D278" s="10"/>
      <c r="E278" s="10"/>
      <c r="F278" s="10"/>
      <c r="G278" s="10"/>
      <c r="H278" s="10"/>
      <c r="I278" s="10"/>
      <c r="J278" s="10"/>
      <c r="K278" s="10"/>
      <c r="L278" s="10"/>
      <c r="M278" s="12">
        <f>M275+M276+M277</f>
        <v>152374136.30661654</v>
      </c>
      <c r="P278" s="2"/>
      <c r="Q278" s="2"/>
    </row>
    <row r="279" spans="1:17" x14ac:dyDescent="0.35">
      <c r="B279" s="3"/>
      <c r="C279" s="11"/>
      <c r="D279" s="10"/>
      <c r="E279" s="10"/>
      <c r="F279" s="10"/>
      <c r="G279" s="10"/>
      <c r="H279" s="10"/>
      <c r="I279" s="10"/>
      <c r="J279" s="10"/>
      <c r="K279" s="10"/>
      <c r="L279" s="10"/>
      <c r="M279" s="13"/>
      <c r="P279" s="2"/>
      <c r="Q279" s="2"/>
    </row>
    <row r="280" spans="1:17" x14ac:dyDescent="0.35">
      <c r="B280" s="3"/>
      <c r="C280" s="11"/>
      <c r="D280" s="10" t="s">
        <v>2</v>
      </c>
      <c r="E280" s="10"/>
      <c r="F280" s="10"/>
      <c r="G280" s="10"/>
      <c r="H280" s="10"/>
      <c r="I280" s="10"/>
      <c r="J280" s="10"/>
      <c r="K280" s="10"/>
      <c r="L280" s="10"/>
      <c r="M280" s="12">
        <f>L25</f>
        <v>152299351.30661654</v>
      </c>
      <c r="P280" s="2"/>
      <c r="Q280" s="2"/>
    </row>
    <row r="281" spans="1:17" x14ac:dyDescent="0.35">
      <c r="B281" s="3"/>
      <c r="C281" s="11"/>
      <c r="D281" s="10" t="s">
        <v>1</v>
      </c>
      <c r="E281" s="10"/>
      <c r="F281" s="10"/>
      <c r="G281" s="10"/>
      <c r="H281" s="10"/>
      <c r="I281" s="10"/>
      <c r="J281" s="10"/>
      <c r="K281" s="10"/>
      <c r="L281" s="10"/>
      <c r="M281" s="12">
        <f>M278-M280</f>
        <v>74785</v>
      </c>
      <c r="P281" s="2"/>
      <c r="Q281" s="2"/>
    </row>
    <row r="282" spans="1:17" x14ac:dyDescent="0.35">
      <c r="B282" s="3"/>
      <c r="C282" s="11"/>
      <c r="D282" s="10" t="s">
        <v>0</v>
      </c>
      <c r="E282" s="10"/>
      <c r="F282" s="10"/>
      <c r="G282" s="10"/>
      <c r="H282" s="10"/>
      <c r="I282" s="10"/>
      <c r="J282" s="10"/>
      <c r="K282" s="10"/>
      <c r="L282" s="10"/>
      <c r="M282" s="9">
        <f>M278/M280-1</f>
        <v>4.9103951762363707E-4</v>
      </c>
      <c r="P282" s="2"/>
      <c r="Q282" s="2"/>
    </row>
    <row r="283" spans="1:17" ht="15" thickBot="1" x14ac:dyDescent="0.4">
      <c r="B283" s="3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17"/>
      <c r="O283" s="3"/>
      <c r="P283" s="2"/>
      <c r="Q283" s="2"/>
    </row>
    <row r="284" spans="1:17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"/>
    </row>
    <row r="285" spans="1:17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"/>
    </row>
    <row r="286" spans="1:17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"/>
    </row>
    <row r="287" spans="1:17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"/>
    </row>
    <row r="288" spans="1:17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"/>
    </row>
  </sheetData>
  <mergeCells count="12">
    <mergeCell ref="D136:F136"/>
    <mergeCell ref="H137:J137"/>
    <mergeCell ref="H143:J143"/>
    <mergeCell ref="H81:J81"/>
    <mergeCell ref="L81:N81"/>
    <mergeCell ref="L92:N92"/>
    <mergeCell ref="M143:P143"/>
    <mergeCell ref="H167:J167"/>
    <mergeCell ref="L167:N167"/>
    <mergeCell ref="I204:K204"/>
    <mergeCell ref="D216:E216"/>
    <mergeCell ref="D274:F274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6" max="16383" man="1"/>
    <brk id="154" max="16383" man="1"/>
    <brk id="212" max="16383" man="1"/>
  </rowBreaks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7"/>
  <dimension ref="A1:V288"/>
  <sheetViews>
    <sheetView workbookViewId="0">
      <selection activeCell="A4"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4.453125" customWidth="1"/>
    <col min="11" max="11" width="13.1796875" customWidth="1"/>
    <col min="12" max="12" width="17.453125" customWidth="1"/>
    <col min="13" max="13" width="16.1796875" customWidth="1"/>
    <col min="14" max="14" width="16.26953125" customWidth="1"/>
    <col min="15" max="15" width="16.453125" customWidth="1"/>
    <col min="16" max="16" width="12.7265625" style="1" customWidth="1"/>
    <col min="17" max="17" width="7.453125" style="1" customWidth="1"/>
    <col min="18" max="19" width="7.453125" customWidth="1"/>
    <col min="20" max="20" width="14" customWidth="1"/>
    <col min="21" max="21" width="13.26953125" customWidth="1"/>
    <col min="22" max="22" width="15.1796875" customWidth="1"/>
    <col min="25" max="26" width="11.7265625" customWidth="1"/>
    <col min="27" max="27" width="16.81640625" customWidth="1"/>
  </cols>
  <sheetData>
    <row r="1" spans="1:22" ht="18.5" x14ac:dyDescent="0.45">
      <c r="A1" s="447" t="s">
        <v>689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2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SC9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149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>
        <f>'8A.)HY_ED RevShifting'!G6</f>
        <v>0.05</v>
      </c>
      <c r="B5" s="75" t="s">
        <v>146</v>
      </c>
      <c r="C5" s="3"/>
      <c r="D5" s="3"/>
      <c r="E5" s="3"/>
      <c r="F5" s="3"/>
      <c r="G5" s="3"/>
      <c r="H5" s="3"/>
      <c r="J5" s="3" t="s">
        <v>145</v>
      </c>
      <c r="K5" s="304" t="s">
        <v>1074</v>
      </c>
      <c r="L5" s="687" t="s">
        <v>144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5" t="str">
        <f>'11A.)DemandRateDesignSummary'!D63</f>
        <v>Current(RY1)</v>
      </c>
      <c r="H6" s="10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I)'!$E$121</f>
        <v>5</v>
      </c>
      <c r="T6" s="386">
        <f>'[2]4C.)HY_DemandRatePxOut(Rate I)'!$L$126</f>
        <v>24283.037279249718</v>
      </c>
      <c r="U6" s="386">
        <f>'[2]4C.)HY_DemandRatePxOut(Rate I)'!$N$126</f>
        <v>2575135</v>
      </c>
      <c r="V6" s="386">
        <f>'[2]4B.)HY_EnergyRatePxOut(Rate I)'!$M$212</f>
        <v>5967559052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">
        <v>142</v>
      </c>
      <c r="J7" s="3"/>
      <c r="K7" s="17"/>
      <c r="L7" s="118" t="str">
        <f>A4</f>
        <v>SC9 Rate I</v>
      </c>
      <c r="M7" s="3"/>
      <c r="P7" s="170" t="s">
        <v>114</v>
      </c>
      <c r="Q7" s="159">
        <v>5</v>
      </c>
      <c r="R7" s="158" t="s">
        <v>143</v>
      </c>
      <c r="S7" s="159">
        <f>'[2]4C.)HY_DemandRatePxOut(Rate I)'!$E$122</f>
        <v>100</v>
      </c>
      <c r="T7" s="387">
        <f>'[2]4C.)HY_DemandRatePxOut(Rate I)'!$L$127</f>
        <v>463127.78306230035</v>
      </c>
      <c r="U7" s="387">
        <f>'[2]4C.)HY_DemandRatePxOut(Rate I)'!$N$127</f>
        <v>10355085</v>
      </c>
      <c r="V7" s="816"/>
    </row>
    <row r="8" spans="1:22" ht="15.5" outlineLevel="1" thickTop="1" thickBot="1" x14ac:dyDescent="0.4">
      <c r="A8" s="3" t="s">
        <v>343</v>
      </c>
      <c r="B8" s="3"/>
      <c r="C8" s="3"/>
      <c r="D8" s="3"/>
      <c r="E8" s="3"/>
      <c r="F8" s="3"/>
      <c r="G8" s="309">
        <f>'11A.)DemandRateDesignSummary'!D65</f>
        <v>2.1000000000000001E-2</v>
      </c>
      <c r="H8" s="177">
        <f>I207</f>
        <v>2.1000000000000001E-2</v>
      </c>
      <c r="K8" s="33" t="s">
        <v>1476</v>
      </c>
      <c r="L8" s="688">
        <f>A5</f>
        <v>0.05</v>
      </c>
      <c r="M8" s="3"/>
      <c r="P8" s="168" t="s">
        <v>114</v>
      </c>
      <c r="Q8" s="155"/>
      <c r="R8" s="176" t="s">
        <v>141</v>
      </c>
      <c r="S8" s="711">
        <v>100</v>
      </c>
      <c r="T8" s="388">
        <f>'[2]4C.)HY_DemandRatePxOut(Rate I)'!$L$128</f>
        <v>27616.179658449917</v>
      </c>
      <c r="U8" s="388">
        <f>'[2]4C.)HY_DemandRatePxOut(Rate I)'!$N$128</f>
        <v>4265301</v>
      </c>
      <c r="V8" s="817"/>
    </row>
    <row r="9" spans="1:22" ht="15.5" outlineLevel="1" thickTop="1" thickBot="1" x14ac:dyDescent="0.4">
      <c r="A9" s="3" t="s">
        <v>344</v>
      </c>
      <c r="B9" s="3"/>
      <c r="C9" s="3"/>
      <c r="D9" s="3"/>
      <c r="E9" s="3"/>
      <c r="F9" s="3"/>
      <c r="G9" s="310">
        <f>'11A.)DemandRateDesignSummary'!D66</f>
        <v>2.1000000000000001E-2</v>
      </c>
      <c r="H9" s="169">
        <f>K207</f>
        <v>2.1000000000000001E-2</v>
      </c>
      <c r="K9" s="33" t="s">
        <v>139</v>
      </c>
      <c r="L9" s="689">
        <f>HLOOKUP($L$6,'[1]A1.)RatesInput'!$D$63:$J$83,'[1]A1.)RatesInput'!$A$80,0)</f>
        <v>1.01108</v>
      </c>
      <c r="M9" s="173" t="s">
        <v>138</v>
      </c>
      <c r="S9" s="1"/>
      <c r="T9" s="717">
        <f>SUM(T6:T8)</f>
        <v>515026.99999999994</v>
      </c>
      <c r="U9" s="717">
        <f>SUM(U6:U8)</f>
        <v>17195521</v>
      </c>
      <c r="V9" s="717">
        <f>SUM(V6:V8)</f>
        <v>5967559052</v>
      </c>
    </row>
    <row r="10" spans="1:22" ht="15" outlineLevel="1" thickTop="1" x14ac:dyDescent="0.35">
      <c r="A10" s="3" t="s">
        <v>345</v>
      </c>
      <c r="B10" s="3"/>
      <c r="C10" s="3"/>
      <c r="D10" s="3"/>
      <c r="E10" s="3"/>
      <c r="F10" s="3"/>
      <c r="G10" s="310">
        <f>'11A.)DemandRateDesignSummary'!D67</f>
        <v>176.77</v>
      </c>
      <c r="H10" s="169">
        <f>H145</f>
        <v>189.57</v>
      </c>
      <c r="K10" s="33" t="s">
        <v>137</v>
      </c>
      <c r="L10" s="689">
        <f>HLOOKUP($L$6,'[1]A1.)RatesInput'!$D$63:$J$83,'[1]A1.)RatesInput'!$A$81,0)</f>
        <v>1.0119199999999999</v>
      </c>
      <c r="M10" s="3"/>
      <c r="S10" s="1"/>
      <c r="T10" s="1"/>
      <c r="U10" s="1"/>
      <c r="V10" s="1"/>
    </row>
    <row r="11" spans="1:22" outlineLevel="1" x14ac:dyDescent="0.35">
      <c r="A11" s="3" t="s">
        <v>346</v>
      </c>
      <c r="B11" s="3"/>
      <c r="C11" s="3"/>
      <c r="D11" s="3"/>
      <c r="E11" s="3"/>
      <c r="F11" s="3"/>
      <c r="G11" s="310">
        <f>'11A.)DemandRateDesignSummary'!D68</f>
        <v>25.83</v>
      </c>
      <c r="H11" s="169">
        <f>H147</f>
        <v>26.769999999999996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4">
        <f>$S$6</f>
        <v>5</v>
      </c>
      <c r="T11" s="386">
        <f>'[2]4C.)HY_DemandRatePxOut(Rate I)'!$L$121</f>
        <v>68583.997485784668</v>
      </c>
      <c r="U11" s="386">
        <f>'[2]4C.)HY_DemandRatePxOut(Rate I)'!$N$121</f>
        <v>5147035</v>
      </c>
      <c r="V11" s="386">
        <f>'[2]4B.)HY_EnergyRatePxOut(Rate I)'!$M$207</f>
        <v>10316378373</v>
      </c>
    </row>
    <row r="12" spans="1:22" outlineLevel="1" x14ac:dyDescent="0.35">
      <c r="A12" s="3" t="s">
        <v>347</v>
      </c>
      <c r="B12" s="3"/>
      <c r="C12" s="3"/>
      <c r="D12" s="3"/>
      <c r="E12" s="3"/>
      <c r="F12" s="3"/>
      <c r="G12" s="310">
        <f>'11A.)DemandRateDesignSummary'!D69</f>
        <v>141.21</v>
      </c>
      <c r="H12" s="169">
        <f>J145</f>
        <v>152.77000000000001</v>
      </c>
      <c r="P12" s="160" t="s">
        <v>113</v>
      </c>
      <c r="Q12" s="159">
        <f>$Q$7</f>
        <v>5</v>
      </c>
      <c r="R12" s="158" t="str">
        <f>$R$7</f>
        <v>-</v>
      </c>
      <c r="S12" s="159">
        <f>$S$7</f>
        <v>100</v>
      </c>
      <c r="T12" s="387">
        <f>'[2]4C.)HY_DemandRatePxOut(Rate I)'!$L$122</f>
        <v>914598.30826242268</v>
      </c>
      <c r="U12" s="387">
        <f>'[2]4C.)HY_DemandRatePxOut(Rate I)'!$N$122</f>
        <v>18151598</v>
      </c>
      <c r="V12" s="816"/>
    </row>
    <row r="13" spans="1:22" ht="15" outlineLevel="1" thickBot="1" x14ac:dyDescent="0.4">
      <c r="A13" s="3" t="s">
        <v>348</v>
      </c>
      <c r="B13" s="3"/>
      <c r="C13" s="3"/>
      <c r="D13" s="3"/>
      <c r="E13" s="3"/>
      <c r="F13" s="3"/>
      <c r="G13" s="310">
        <f>'11A.)DemandRateDesignSummary'!D70</f>
        <v>20.399999999999999</v>
      </c>
      <c r="H13" s="169">
        <f>J147</f>
        <v>21.139999999999997</v>
      </c>
      <c r="I13" s="3"/>
      <c r="K13" s="33" t="s">
        <v>1487</v>
      </c>
      <c r="L13" s="690">
        <f>ROUND('[2]6B.)RateChgAllocation'!$E$46/'[2]6A.)RateChange'!$I$46,8)</f>
        <v>3.4929590000000003E-2</v>
      </c>
      <c r="P13" s="155" t="s">
        <v>113</v>
      </c>
      <c r="Q13" s="154">
        <f>$Q$8</f>
        <v>0</v>
      </c>
      <c r="R13" s="154" t="str">
        <f>$R$8</f>
        <v>&gt;</v>
      </c>
      <c r="S13" s="711">
        <f>$S$8</f>
        <v>100</v>
      </c>
      <c r="T13" s="388">
        <f>'[2]4C.)HY_DemandRatePxOut(Rate I)'!$L$123</f>
        <v>46224.694251792644</v>
      </c>
      <c r="U13" s="388">
        <f>'[2]4C.)HY_DemandRatePxOut(Rate I)'!$N$123</f>
        <v>6426438</v>
      </c>
      <c r="V13" s="155"/>
    </row>
    <row r="14" spans="1:22" ht="15.5" outlineLevel="1" thickTop="1" thickBot="1" x14ac:dyDescent="0.4">
      <c r="A14" s="3" t="s">
        <v>349</v>
      </c>
      <c r="B14" s="3"/>
      <c r="C14" s="3"/>
      <c r="D14" s="3"/>
      <c r="E14" s="3"/>
      <c r="F14" s="3"/>
      <c r="G14" s="310">
        <f>'11A.)DemandRateDesignSummary'!D71</f>
        <v>1.95E-2</v>
      </c>
      <c r="H14" s="169">
        <f>I210</f>
        <v>1.95E-2</v>
      </c>
      <c r="I14" s="1"/>
      <c r="J14" s="1"/>
      <c r="K14" s="222" t="s">
        <v>307</v>
      </c>
      <c r="L14" s="688">
        <f>'11B.)Demand_RateDesign_SC5_I'!$L$15</f>
        <v>0</v>
      </c>
      <c r="P14" s="2"/>
      <c r="Q14" s="2"/>
      <c r="R14" s="3"/>
      <c r="S14" s="2"/>
      <c r="T14" s="717">
        <f>SUM(T11:T13)</f>
        <v>1029407</v>
      </c>
      <c r="U14" s="717">
        <f>SUM(U11:U13)</f>
        <v>29725071</v>
      </c>
      <c r="V14" s="717">
        <f>SUM(V11:V13)</f>
        <v>10316378373</v>
      </c>
    </row>
    <row r="15" spans="1:22" ht="15" outlineLevel="1" thickTop="1" x14ac:dyDescent="0.35">
      <c r="A15" s="3" t="s">
        <v>350</v>
      </c>
      <c r="B15" s="3"/>
      <c r="C15" s="3"/>
      <c r="D15" s="3"/>
      <c r="E15" s="3"/>
      <c r="F15" s="3"/>
      <c r="G15" s="310">
        <f>'11A.)DemandRateDesignSummary'!D72</f>
        <v>1.95E-2</v>
      </c>
      <c r="H15" s="169">
        <f>K210</f>
        <v>1.95E-2</v>
      </c>
      <c r="I15" s="1"/>
      <c r="J15" s="464"/>
      <c r="K15" s="1279" t="s">
        <v>2194</v>
      </c>
      <c r="L15" s="809">
        <f>'[2]6A.)RateChange'!$BY$48</f>
        <v>12177146</v>
      </c>
      <c r="M15" s="809">
        <f>ROUND(L15/$L$9,0)</f>
        <v>12043702</v>
      </c>
      <c r="S15" s="1"/>
      <c r="T15" s="1"/>
      <c r="U15" s="1"/>
      <c r="V15" s="1"/>
    </row>
    <row r="16" spans="1:22" outlineLevel="1" x14ac:dyDescent="0.35">
      <c r="A16" s="3" t="s">
        <v>351</v>
      </c>
      <c r="B16" s="3"/>
      <c r="C16" s="3"/>
      <c r="D16" s="3"/>
      <c r="E16" s="3"/>
      <c r="F16" s="3"/>
      <c r="G16" s="310">
        <f>'11A.)DemandRateDesignSummary'!D73</f>
        <v>122.81</v>
      </c>
      <c r="H16" s="169">
        <f>H149</f>
        <v>133.72999999999999</v>
      </c>
      <c r="I16" s="1"/>
      <c r="J16" s="1"/>
      <c r="K16" s="1"/>
      <c r="L16" s="726" t="s">
        <v>135</v>
      </c>
      <c r="M16" s="135" t="s">
        <v>134</v>
      </c>
      <c r="P16" s="165" t="s">
        <v>112</v>
      </c>
      <c r="Q16" s="164">
        <f>$Q$6</f>
        <v>0</v>
      </c>
      <c r="R16" s="163" t="str">
        <f>$R$6</f>
        <v>-</v>
      </c>
      <c r="S16" s="164">
        <f>$S$6</f>
        <v>5</v>
      </c>
      <c r="T16" s="386">
        <f>'[2]4C.)HY_DemandRatePxOut(Rate I)'!$L$146</f>
        <v>0</v>
      </c>
      <c r="U16" s="386">
        <f>'[2]4C.)HY_DemandRatePxOut(Rate I)'!$N$146</f>
        <v>900</v>
      </c>
      <c r="V16" s="386">
        <f>'[2]4B.)HY_EnergyRatePxOut(Rate I)'!$M$252</f>
        <v>18575845</v>
      </c>
    </row>
    <row r="17" spans="1:22" outlineLevel="1" x14ac:dyDescent="0.35">
      <c r="A17" s="3" t="s">
        <v>352</v>
      </c>
      <c r="B17" s="3"/>
      <c r="C17" s="3"/>
      <c r="D17" s="3"/>
      <c r="E17" s="3"/>
      <c r="F17" s="3"/>
      <c r="G17" s="310">
        <f>'11A.)DemandRateDesignSummary'!D74</f>
        <v>18.03</v>
      </c>
      <c r="H17" s="169">
        <f>H151</f>
        <v>18.679999999999996</v>
      </c>
      <c r="K17" s="33" t="s">
        <v>133</v>
      </c>
      <c r="L17" s="245">
        <f>'[2]6B.)RateChgAllocation'!$N$46</f>
        <v>51641009.078025937</v>
      </c>
      <c r="M17" s="701">
        <f>ROUND(L17/$L$9,0)</f>
        <v>51075097</v>
      </c>
      <c r="P17" s="170" t="s">
        <v>112</v>
      </c>
      <c r="Q17" s="159">
        <f>$Q$7</f>
        <v>5</v>
      </c>
      <c r="R17" s="158" t="str">
        <f>$R$7</f>
        <v>-</v>
      </c>
      <c r="S17" s="159">
        <f>$S$7</f>
        <v>100</v>
      </c>
      <c r="T17" s="387">
        <f>'[2]4C.)HY_DemandRatePxOut(Rate I)'!$L$147</f>
        <v>60.319148936170215</v>
      </c>
      <c r="U17" s="387">
        <f>'[2]4C.)HY_DemandRatePxOut(Rate I)'!$N$147</f>
        <v>12963</v>
      </c>
      <c r="V17" s="816"/>
    </row>
    <row r="18" spans="1:22" ht="15" outlineLevel="1" thickBot="1" x14ac:dyDescent="0.4">
      <c r="A18" s="3" t="s">
        <v>353</v>
      </c>
      <c r="B18" s="3"/>
      <c r="C18" s="3"/>
      <c r="D18" s="3"/>
      <c r="E18" s="3"/>
      <c r="F18" s="3"/>
      <c r="G18" s="310">
        <f>'11A.)DemandRateDesignSummary'!D75</f>
        <v>87.300000000000011</v>
      </c>
      <c r="H18" s="169">
        <f>J149</f>
        <v>96.98</v>
      </c>
      <c r="K18" s="33" t="s">
        <v>132</v>
      </c>
      <c r="L18" s="245">
        <f>'[1]F3.)Standby'!$E$28</f>
        <v>701672.37533170404</v>
      </c>
      <c r="M18" s="701">
        <f>ROUND(L18/$L$9,0)</f>
        <v>693983</v>
      </c>
      <c r="P18" s="168" t="s">
        <v>112</v>
      </c>
      <c r="Q18" s="154">
        <f>$Q$8</f>
        <v>0</v>
      </c>
      <c r="R18" s="154" t="str">
        <f>$R$8</f>
        <v>&gt;</v>
      </c>
      <c r="S18" s="711">
        <f>$S$8</f>
        <v>100</v>
      </c>
      <c r="T18" s="388">
        <f>'[2]4C.)HY_DemandRatePxOut(Rate I)'!$L$148</f>
        <v>119.68085106382979</v>
      </c>
      <c r="U18" s="388">
        <f>'[2]4C.)HY_DemandRatePxOut(Rate I)'!$N$148</f>
        <v>36476</v>
      </c>
      <c r="V18" s="817"/>
    </row>
    <row r="19" spans="1:22" ht="15.5" outlineLevel="1" thickTop="1" thickBot="1" x14ac:dyDescent="0.4">
      <c r="A19" s="3" t="s">
        <v>354</v>
      </c>
      <c r="B19" s="3"/>
      <c r="C19" s="3"/>
      <c r="D19" s="3"/>
      <c r="E19" s="3"/>
      <c r="F19" s="3"/>
      <c r="G19" s="311">
        <f>'11A.)DemandRateDesignSummary'!D76</f>
        <v>12.579999999999998</v>
      </c>
      <c r="H19" s="167">
        <f>J151</f>
        <v>13.029999999999998</v>
      </c>
      <c r="K19" s="33" t="s">
        <v>131</v>
      </c>
      <c r="L19" s="245">
        <f>'8A.)HY_ED RevShifting'!$E$63</f>
        <v>1112014517</v>
      </c>
      <c r="M19" s="245">
        <f>'8A.)HY_ED RevShifting'!$D$63</f>
        <v>1099703098</v>
      </c>
      <c r="S19" s="1"/>
      <c r="T19" s="717">
        <f>SUM(T16:T18)</f>
        <v>180</v>
      </c>
      <c r="U19" s="717">
        <f>SUM(U16:U18)</f>
        <v>50339</v>
      </c>
      <c r="V19" s="717">
        <f>SUM(V16:V18)</f>
        <v>18575845</v>
      </c>
    </row>
    <row r="20" spans="1:22" ht="15" outlineLevel="1" thickTop="1" x14ac:dyDescent="0.35">
      <c r="H20" s="1"/>
      <c r="K20" s="33" t="s">
        <v>130</v>
      </c>
      <c r="L20" s="245">
        <f>IF(ISNUMBER(HLOOKUP($K$5,'8A.)HY_ED RevShifting'!$G$56:$L$70,'8A.)HY_ED RevShifting'!$B$65,0)),HLOOKUP($K$5,'8A.)HY_ED RevShifting'!$G$56:$L$70,'8A.)HY_ED RevShifting'!$B$65,0),0)</f>
        <v>18050669</v>
      </c>
      <c r="M20" s="701">
        <f>ROUND(L20/$L$9,0)</f>
        <v>17852859</v>
      </c>
      <c r="S20" s="1"/>
      <c r="T20" s="1"/>
      <c r="U20" s="1"/>
      <c r="V20" s="1"/>
    </row>
    <row r="21" spans="1:22" ht="15" outlineLevel="1" thickBot="1" x14ac:dyDescent="0.4">
      <c r="K21" s="33" t="s">
        <v>129</v>
      </c>
      <c r="L21" s="245">
        <f>'[2]4B.)HY_EnergyRatePxOut(Rate I)'!$T$261</f>
        <v>361013380</v>
      </c>
      <c r="M21" s="245">
        <f>'[2]4B.)HY_EnergyRatePxOut(Rate I)'!$V$261</f>
        <v>361013380</v>
      </c>
      <c r="P21" s="165" t="s">
        <v>111</v>
      </c>
      <c r="Q21" s="164">
        <f>$Q$6</f>
        <v>0</v>
      </c>
      <c r="R21" s="163" t="str">
        <f>$R$6</f>
        <v>-</v>
      </c>
      <c r="S21" s="164">
        <f>$S$6</f>
        <v>5</v>
      </c>
      <c r="T21" s="386">
        <f>'[2]4C.)HY_DemandRatePxOut(Rate I)'!$L$141</f>
        <v>1.9111111111111112</v>
      </c>
      <c r="U21" s="386">
        <f>'[2]4C.)HY_DemandRatePxOut(Rate I)'!$N$141</f>
        <v>1720</v>
      </c>
      <c r="V21" s="386">
        <f>'[2]4B.)HY_EnergyRatePxOut(Rate I)'!$M$247</f>
        <v>36684491</v>
      </c>
    </row>
    <row r="22" spans="1:22" ht="15" outlineLevel="1" thickTop="1" x14ac:dyDescent="0.35">
      <c r="A22" s="1171" t="s">
        <v>2203</v>
      </c>
      <c r="B22" s="1172"/>
      <c r="C22" s="1173"/>
      <c r="D22" s="1"/>
      <c r="E22" s="1"/>
      <c r="F22" s="1"/>
      <c r="G22" s="1177" t="s">
        <v>2193</v>
      </c>
      <c r="K22" s="33" t="s">
        <v>128</v>
      </c>
      <c r="L22" s="245">
        <f>'[1]F2.)MMD_&amp;_BIR'!$D$22</f>
        <v>6193921</v>
      </c>
      <c r="M22" s="701">
        <f>ROUND(L22/$L$9,0)</f>
        <v>6126044</v>
      </c>
      <c r="P22" s="160" t="s">
        <v>111</v>
      </c>
      <c r="Q22" s="159">
        <f>$Q$7</f>
        <v>5</v>
      </c>
      <c r="R22" s="158" t="str">
        <f>$R$7</f>
        <v>-</v>
      </c>
      <c r="S22" s="159">
        <f>$S$7</f>
        <v>100</v>
      </c>
      <c r="T22" s="387">
        <f>'[2]4C.)HY_DemandRatePxOut(Rate I)'!$L$142</f>
        <v>114.66666666666666</v>
      </c>
      <c r="U22" s="387">
        <f>'[2]4C.)HY_DemandRatePxOut(Rate I)'!$N$142</f>
        <v>24758</v>
      </c>
      <c r="V22" s="816"/>
    </row>
    <row r="23" spans="1:22" ht="15" outlineLevel="1" thickBot="1" x14ac:dyDescent="0.4">
      <c r="A23" s="1241" t="s">
        <v>2204</v>
      </c>
      <c r="B23" s="1236"/>
      <c r="C23" s="1237"/>
      <c r="D23" s="1"/>
      <c r="E23" s="1"/>
      <c r="F23" s="1"/>
      <c r="G23" s="1238">
        <f>IF('[2]3A.)Metering_RateSummary'!$D$10="Y",0,'[2]3A.)Metering_RateSummary'!$C$15)</f>
        <v>1.05</v>
      </c>
      <c r="K23" s="33" t="s">
        <v>127</v>
      </c>
      <c r="L23" s="245">
        <f>'[1]F2.)MMD_&amp;_BIR'!$H$22</f>
        <v>-1491703.1284422702</v>
      </c>
      <c r="M23" s="701">
        <f>ROUND(L23/$L$9,0)</f>
        <v>-1475356</v>
      </c>
      <c r="P23" s="155" t="s">
        <v>111</v>
      </c>
      <c r="Q23" s="154">
        <f>$Q$8</f>
        <v>0</v>
      </c>
      <c r="R23" s="154" t="str">
        <f>$R$8</f>
        <v>&gt;</v>
      </c>
      <c r="S23" s="711">
        <f>$S$8</f>
        <v>100</v>
      </c>
      <c r="T23" s="388">
        <f>'[2]4C.)HY_DemandRatePxOut(Rate I)'!$L$143</f>
        <v>227.42222222222222</v>
      </c>
      <c r="U23" s="388">
        <f>'[2]4C.)HY_DemandRatePxOut(Rate I)'!$N$143</f>
        <v>67386</v>
      </c>
      <c r="V23" s="155"/>
    </row>
    <row r="24" spans="1:22" ht="15.5" outlineLevel="1" thickTop="1" thickBot="1" x14ac:dyDescent="0.4">
      <c r="A24" s="1241" t="s">
        <v>2205</v>
      </c>
      <c r="B24" s="1236"/>
      <c r="C24" s="1237"/>
      <c r="D24" s="1"/>
      <c r="E24" s="1"/>
      <c r="F24" s="1"/>
      <c r="G24" s="1238">
        <f>IF('[2]3A.)Metering_RateSummary'!$D$26="Y",0,'[2]3A.)Metering_RateSummary'!$C$31)</f>
        <v>2.4300000000000002</v>
      </c>
      <c r="T24" s="151">
        <f>SUM(T21:T23)</f>
        <v>344</v>
      </c>
      <c r="U24" s="151">
        <f>SUM(U21:U23)</f>
        <v>93864</v>
      </c>
      <c r="V24" s="151">
        <f>SUM(V21:V23)</f>
        <v>36684491</v>
      </c>
    </row>
    <row r="25" spans="1:22" ht="15.5" outlineLevel="1" thickTop="1" thickBot="1" x14ac:dyDescent="0.4">
      <c r="A25" s="1174" t="s">
        <v>2206</v>
      </c>
      <c r="B25" s="1175"/>
      <c r="C25" s="1176"/>
      <c r="D25" s="1"/>
      <c r="E25" s="1"/>
      <c r="F25" s="1"/>
      <c r="G25" s="1239">
        <f>IF('[2]3A.)Metering_RateSummary'!$D$42="Y",0,'[2]3A.)Metering_RateSummary'!$C$47)</f>
        <v>3.15</v>
      </c>
      <c r="K25" s="33" t="str">
        <f>CONCATENATE(A4," - T&amp;D Target:")</f>
        <v>SC9 Rate I - T&amp;D Target:</v>
      </c>
      <c r="L25" s="245">
        <f>'[2]6A.)RateChange'!$BN$48</f>
        <v>1530072796.3249154</v>
      </c>
      <c r="T25" s="150"/>
      <c r="U25" s="150"/>
      <c r="V25" s="150"/>
    </row>
    <row r="26" spans="1:22" ht="15.5" outlineLevel="1" thickTop="1" thickBot="1" x14ac:dyDescent="0.4">
      <c r="A26" s="1174" t="s">
        <v>2228</v>
      </c>
      <c r="B26" s="1175"/>
      <c r="C26" s="1176"/>
      <c r="D26" s="1"/>
      <c r="E26" s="1"/>
      <c r="F26" s="1"/>
      <c r="G26" s="1240">
        <f>G23+G24+G25</f>
        <v>6.6300000000000008</v>
      </c>
      <c r="K26" s="33" t="s">
        <v>126</v>
      </c>
      <c r="L26" s="245">
        <f>'[2]6A.)RateChange'!$BN$49</f>
        <v>129954297.92197406</v>
      </c>
      <c r="O26" s="130"/>
      <c r="T26" s="150"/>
      <c r="U26" s="150"/>
      <c r="V26" s="150"/>
    </row>
    <row r="27" spans="1:22" ht="15" outlineLevel="1" thickTop="1" x14ac:dyDescent="0.35">
      <c r="K27" s="33" t="s">
        <v>125</v>
      </c>
      <c r="L27" s="245">
        <f>'13C.)TODM_RateDesign_SC9_III'!M290</f>
        <v>130210366</v>
      </c>
      <c r="M27" t="s">
        <v>124</v>
      </c>
    </row>
    <row r="28" spans="1:22" outlineLevel="1" x14ac:dyDescent="0.35">
      <c r="L28" s="702"/>
    </row>
    <row r="29" spans="1:22" outlineLevel="1" x14ac:dyDescent="0.35">
      <c r="K29" s="33" t="s">
        <v>123</v>
      </c>
      <c r="L29" s="245">
        <f>'[2]6B.)RateChgAllocation'!$M$46</f>
        <v>0</v>
      </c>
    </row>
    <row r="30" spans="1:22" outlineLevel="1" x14ac:dyDescent="0.35"/>
    <row r="31" spans="1:22" outlineLevel="1" x14ac:dyDescent="0.35"/>
    <row r="32" spans="1:22" s="148" customFormat="1" outlineLevel="1" x14ac:dyDescent="0.35"/>
    <row r="33" spans="1:17" x14ac:dyDescent="0.35">
      <c r="A33" s="407" t="s">
        <v>1651</v>
      </c>
      <c r="B33" s="147"/>
      <c r="C33" s="131"/>
      <c r="D33" s="131"/>
      <c r="E33" s="131"/>
      <c r="F33" s="33" t="s">
        <v>150</v>
      </c>
      <c r="G33" s="595">
        <f>$L$3</f>
        <v>2019</v>
      </c>
    </row>
    <row r="34" spans="1:17" x14ac:dyDescent="0.35">
      <c r="A34" s="407"/>
      <c r="B34" s="131"/>
      <c r="C34" s="131"/>
      <c r="D34" s="131"/>
      <c r="E34" s="131"/>
      <c r="F34" s="33" t="s">
        <v>5</v>
      </c>
      <c r="G34" s="595">
        <f>$L$4</f>
        <v>2020</v>
      </c>
      <c r="H34" t="str">
        <f>$M$4</f>
        <v>RY1</v>
      </c>
    </row>
    <row r="35" spans="1:17" x14ac:dyDescent="0.35">
      <c r="A35" s="406"/>
      <c r="B35" s="41" t="str">
        <f>$A$4</f>
        <v>SC9 Rate I</v>
      </c>
      <c r="C35" s="133" t="s">
        <v>121</v>
      </c>
      <c r="D35" s="133"/>
      <c r="E35" s="133"/>
      <c r="F35" s="133"/>
    </row>
    <row r="36" spans="1:17" x14ac:dyDescent="0.35">
      <c r="A36" s="406"/>
      <c r="C36" s="142" t="s">
        <v>2195</v>
      </c>
      <c r="I36" s="1119">
        <f>L17-L15</f>
        <v>39463863.078025937</v>
      </c>
      <c r="J36" s="892" t="s">
        <v>79</v>
      </c>
      <c r="L36" s="144"/>
      <c r="P36" s="142"/>
      <c r="Q36" s="142"/>
    </row>
    <row r="37" spans="1:17" x14ac:dyDescent="0.35">
      <c r="A37" s="406"/>
      <c r="C37" t="s">
        <v>119</v>
      </c>
      <c r="I37" s="819">
        <f>L19</f>
        <v>1112014517</v>
      </c>
      <c r="J37" s="892" t="s">
        <v>78</v>
      </c>
      <c r="L37" s="144"/>
      <c r="P37"/>
      <c r="Q37" s="142"/>
    </row>
    <row r="38" spans="1:17" x14ac:dyDescent="0.35">
      <c r="A38" s="406"/>
      <c r="C38" t="s">
        <v>118</v>
      </c>
      <c r="I38" s="819">
        <f>L20</f>
        <v>18050669</v>
      </c>
      <c r="J38" s="892" t="s">
        <v>1089</v>
      </c>
      <c r="L38" s="144"/>
      <c r="P38" s="142"/>
      <c r="Q38" s="142"/>
    </row>
    <row r="39" spans="1:17" x14ac:dyDescent="0.35">
      <c r="A39" s="406"/>
      <c r="C39" s="75" t="s">
        <v>117</v>
      </c>
      <c r="D39" s="75"/>
      <c r="E39" s="75"/>
      <c r="F39" s="75"/>
      <c r="I39" s="637">
        <f>ROUND(I36/(I37+I38),8)</f>
        <v>3.4921760000000003E-2</v>
      </c>
      <c r="J39" s="136" t="s">
        <v>1653</v>
      </c>
      <c r="L39" s="143"/>
      <c r="P39" s="142"/>
      <c r="Q39" s="142"/>
    </row>
    <row r="40" spans="1:17" x14ac:dyDescent="0.35">
      <c r="A40" s="406"/>
      <c r="C40" s="409" t="s">
        <v>2196</v>
      </c>
      <c r="I40" s="1120">
        <f>G26</f>
        <v>6.6300000000000008</v>
      </c>
      <c r="J40" s="1121" t="s">
        <v>213</v>
      </c>
      <c r="L40" s="141"/>
    </row>
    <row r="41" spans="1:17" x14ac:dyDescent="0.35">
      <c r="A41" s="406"/>
      <c r="G41" s="135" t="s">
        <v>26</v>
      </c>
      <c r="H41" s="135" t="s">
        <v>116</v>
      </c>
      <c r="I41" s="135" t="s">
        <v>115</v>
      </c>
    </row>
    <row r="42" spans="1:17" x14ac:dyDescent="0.35">
      <c r="A42" s="406"/>
      <c r="B42" s="41" t="str">
        <f>$A$4</f>
        <v>SC9 Rate I</v>
      </c>
      <c r="C42" t="s">
        <v>114</v>
      </c>
      <c r="G42" s="515">
        <f>$T$9</f>
        <v>515026.99999999994</v>
      </c>
      <c r="H42" s="516">
        <f>G10</f>
        <v>176.77</v>
      </c>
      <c r="I42" s="134">
        <f>ROUND(G42*H42,0)</f>
        <v>91041323</v>
      </c>
      <c r="J42" s="61" t="s">
        <v>1654</v>
      </c>
    </row>
    <row r="43" spans="1:17" x14ac:dyDescent="0.35">
      <c r="A43" s="406"/>
      <c r="C43" t="s">
        <v>113</v>
      </c>
      <c r="G43" s="515">
        <f>$T$14</f>
        <v>1029407</v>
      </c>
      <c r="H43" s="516">
        <f>G12</f>
        <v>141.21</v>
      </c>
      <c r="I43" s="134">
        <f>ROUND(G43*H43,0)</f>
        <v>145362562</v>
      </c>
      <c r="J43" s="61" t="s">
        <v>1655</v>
      </c>
    </row>
    <row r="44" spans="1:17" x14ac:dyDescent="0.35">
      <c r="A44" s="406"/>
      <c r="C44" t="s">
        <v>112</v>
      </c>
      <c r="G44" s="515">
        <f>$T$19</f>
        <v>180</v>
      </c>
      <c r="H44" s="516">
        <f>G16</f>
        <v>122.81</v>
      </c>
      <c r="I44" s="134">
        <f>ROUND(G44*H44,0)</f>
        <v>22106</v>
      </c>
      <c r="J44" s="61" t="s">
        <v>1656</v>
      </c>
    </row>
    <row r="45" spans="1:17" x14ac:dyDescent="0.35">
      <c r="A45" s="406"/>
      <c r="C45" t="s">
        <v>111</v>
      </c>
      <c r="G45" s="515">
        <f>$T$24</f>
        <v>344</v>
      </c>
      <c r="H45" s="516">
        <f>G18</f>
        <v>87.300000000000011</v>
      </c>
      <c r="I45" s="134">
        <f>ROUND(G45*H45,0)</f>
        <v>30031</v>
      </c>
      <c r="J45" s="61" t="s">
        <v>1657</v>
      </c>
    </row>
    <row r="46" spans="1:17" x14ac:dyDescent="0.35">
      <c r="A46" s="406"/>
      <c r="C46" t="s">
        <v>110</v>
      </c>
      <c r="I46" s="140">
        <f>SUM(I42:I45)</f>
        <v>236456022</v>
      </c>
      <c r="J46" s="61" t="s">
        <v>1658</v>
      </c>
    </row>
    <row r="47" spans="1:17" ht="15" thickBot="1" x14ac:dyDescent="0.4">
      <c r="A47" s="406"/>
      <c r="B47" s="285"/>
      <c r="C47" t="s">
        <v>308</v>
      </c>
      <c r="I47" s="937">
        <f>L14</f>
        <v>0</v>
      </c>
      <c r="J47" s="597" t="s">
        <v>1111</v>
      </c>
    </row>
    <row r="48" spans="1:17" ht="15.5" thickTop="1" thickBot="1" x14ac:dyDescent="0.4">
      <c r="A48" s="406"/>
      <c r="C48" s="464" t="s">
        <v>107</v>
      </c>
      <c r="D48" s="464"/>
      <c r="E48" s="464"/>
      <c r="F48" s="464"/>
      <c r="G48" s="464"/>
      <c r="H48" s="464"/>
      <c r="I48" s="333">
        <f>ROUND(I46*(1+I47),0)</f>
        <v>236456022</v>
      </c>
      <c r="J48" s="597" t="s">
        <v>1659</v>
      </c>
    </row>
    <row r="49" spans="1:17" ht="15.5" thickTop="1" thickBot="1" x14ac:dyDescent="0.4">
      <c r="A49" s="406"/>
      <c r="C49" s="464" t="s">
        <v>2239</v>
      </c>
      <c r="D49" s="464"/>
      <c r="E49" s="464"/>
      <c r="F49" s="464"/>
      <c r="G49" s="464"/>
      <c r="H49" s="464"/>
      <c r="I49" s="1119">
        <f>I40*SUM(G42:G45)</f>
        <v>10243071.540000001</v>
      </c>
      <c r="J49" s="1123" t="s">
        <v>2197</v>
      </c>
    </row>
    <row r="50" spans="1:17" ht="15.5" thickTop="1" thickBot="1" x14ac:dyDescent="0.4">
      <c r="A50" s="406"/>
      <c r="C50" s="464" t="s">
        <v>2238</v>
      </c>
      <c r="D50" s="464"/>
      <c r="E50" s="464"/>
      <c r="F50" s="464"/>
      <c r="G50" s="464"/>
      <c r="H50" s="464"/>
      <c r="I50" s="1122">
        <f>ROUND(I48*(1+I39),0)+I49</f>
        <v>254956553.53999999</v>
      </c>
      <c r="J50" s="1123" t="s">
        <v>2198</v>
      </c>
    </row>
    <row r="51" spans="1:17" ht="15" thickTop="1" x14ac:dyDescent="0.35">
      <c r="A51" s="406"/>
      <c r="P51"/>
      <c r="Q51"/>
    </row>
    <row r="52" spans="1:17" x14ac:dyDescent="0.35">
      <c r="A52" s="406"/>
    </row>
    <row r="53" spans="1:17" x14ac:dyDescent="0.35">
      <c r="A53" s="407" t="s">
        <v>1652</v>
      </c>
      <c r="P53"/>
      <c r="Q53"/>
    </row>
    <row r="54" spans="1:17" x14ac:dyDescent="0.35">
      <c r="A54" s="406"/>
    </row>
    <row r="55" spans="1:17" x14ac:dyDescent="0.35">
      <c r="A55" s="406"/>
      <c r="B55" s="41" t="str">
        <f>$A$4</f>
        <v>SC9 Rate I</v>
      </c>
      <c r="C55" s="133" t="s">
        <v>103</v>
      </c>
      <c r="D55" s="133"/>
      <c r="E55" s="133"/>
      <c r="F55" s="133"/>
      <c r="L55" s="135"/>
      <c r="P55"/>
      <c r="Q55"/>
    </row>
    <row r="56" spans="1:17" x14ac:dyDescent="0.35">
      <c r="A56" s="406"/>
      <c r="C56" t="s">
        <v>102</v>
      </c>
      <c r="L56" s="819">
        <f>M19</f>
        <v>1099703098</v>
      </c>
      <c r="M56" s="61" t="s">
        <v>165</v>
      </c>
      <c r="P56"/>
      <c r="Q56"/>
    </row>
    <row r="57" spans="1:17" x14ac:dyDescent="0.35">
      <c r="A57" s="406"/>
      <c r="C57" t="s">
        <v>88</v>
      </c>
      <c r="L57" s="819">
        <f>M20</f>
        <v>17852859</v>
      </c>
      <c r="M57" s="61" t="s">
        <v>166</v>
      </c>
      <c r="P57"/>
      <c r="Q57"/>
    </row>
    <row r="58" spans="1:17" ht="15" thickBot="1" x14ac:dyDescent="0.4">
      <c r="A58" s="406"/>
      <c r="C58" t="s">
        <v>99</v>
      </c>
      <c r="K58" s="129"/>
      <c r="L58" s="603">
        <f>I46</f>
        <v>236456022</v>
      </c>
      <c r="M58" s="61" t="s">
        <v>1304</v>
      </c>
      <c r="P58"/>
      <c r="Q58"/>
    </row>
    <row r="59" spans="1:17" ht="15.5" thickTop="1" thickBot="1" x14ac:dyDescent="0.4">
      <c r="A59" s="406"/>
      <c r="C59" s="75" t="s">
        <v>98</v>
      </c>
      <c r="D59" s="75"/>
      <c r="E59" s="75"/>
      <c r="F59" s="75"/>
      <c r="L59" s="740">
        <f>L56+L57-L58</f>
        <v>881099935</v>
      </c>
      <c r="M59" s="61" t="s">
        <v>1660</v>
      </c>
      <c r="P59"/>
      <c r="Q59"/>
    </row>
    <row r="60" spans="1:17" ht="15" thickTop="1" x14ac:dyDescent="0.35">
      <c r="A60" s="406"/>
      <c r="P60"/>
      <c r="Q60"/>
    </row>
    <row r="61" spans="1:17" x14ac:dyDescent="0.35">
      <c r="A61" s="406"/>
      <c r="C61" s="131" t="s">
        <v>97</v>
      </c>
      <c r="D61" s="131"/>
      <c r="E61" s="131"/>
      <c r="F61" s="131"/>
      <c r="K61" s="130">
        <f>M17</f>
        <v>51075097</v>
      </c>
      <c r="M61" s="61" t="s">
        <v>101</v>
      </c>
      <c r="P61"/>
      <c r="Q61"/>
    </row>
    <row r="62" spans="1:17" x14ac:dyDescent="0.35">
      <c r="A62" s="406"/>
      <c r="C62" t="s">
        <v>96</v>
      </c>
      <c r="P62"/>
      <c r="Q62"/>
    </row>
    <row r="63" spans="1:17" x14ac:dyDescent="0.35">
      <c r="A63" s="406"/>
      <c r="C63" s="133" t="s">
        <v>95</v>
      </c>
      <c r="D63" s="133"/>
      <c r="E63" s="133"/>
      <c r="F63" s="133"/>
      <c r="J63" s="926">
        <f>L13</f>
        <v>3.4929590000000003E-2</v>
      </c>
      <c r="K63" s="130"/>
      <c r="M63" s="61" t="s">
        <v>100</v>
      </c>
      <c r="P63"/>
      <c r="Q63"/>
    </row>
    <row r="64" spans="1:17" x14ac:dyDescent="0.35">
      <c r="A64" s="406"/>
      <c r="C64" t="s">
        <v>94</v>
      </c>
      <c r="I64" s="130">
        <f>M18</f>
        <v>693983</v>
      </c>
      <c r="J64" s="130">
        <f>ROUND(I64*J$63,0)</f>
        <v>24241</v>
      </c>
      <c r="M64" s="61" t="s">
        <v>229</v>
      </c>
      <c r="P64"/>
      <c r="Q64"/>
    </row>
    <row r="65" spans="1:17" x14ac:dyDescent="0.35">
      <c r="A65" s="406"/>
      <c r="C65" t="s">
        <v>1524</v>
      </c>
      <c r="I65" s="130">
        <f>M22</f>
        <v>6126044</v>
      </c>
      <c r="J65" s="130">
        <f>ROUND(I65*J$63,0)</f>
        <v>213980</v>
      </c>
      <c r="M65" s="61" t="s">
        <v>1090</v>
      </c>
      <c r="P65"/>
      <c r="Q65"/>
    </row>
    <row r="66" spans="1:17" x14ac:dyDescent="0.35">
      <c r="A66" s="406"/>
      <c r="C66" t="s">
        <v>92</v>
      </c>
      <c r="I66" s="130">
        <f>M23</f>
        <v>-1475356</v>
      </c>
      <c r="J66" s="130">
        <f>ROUND(I66*J$63,0)</f>
        <v>-51534</v>
      </c>
      <c r="K66" s="132">
        <f>J64+J65+J66</f>
        <v>186687</v>
      </c>
      <c r="M66" s="61" t="s">
        <v>1091</v>
      </c>
      <c r="P66"/>
      <c r="Q66"/>
    </row>
    <row r="67" spans="1:17" x14ac:dyDescent="0.35">
      <c r="A67" s="406"/>
      <c r="C67" s="131" t="s">
        <v>91</v>
      </c>
      <c r="D67" s="131"/>
      <c r="E67" s="131"/>
      <c r="F67" s="131"/>
      <c r="K67" s="130">
        <f>K61-K66</f>
        <v>50888410</v>
      </c>
      <c r="M67" s="61" t="s">
        <v>1661</v>
      </c>
      <c r="P67"/>
      <c r="Q67"/>
    </row>
    <row r="68" spans="1:17" x14ac:dyDescent="0.35">
      <c r="A68" s="406"/>
      <c r="J68" s="130"/>
      <c r="P68"/>
      <c r="Q68"/>
    </row>
    <row r="69" spans="1:17" x14ac:dyDescent="0.35">
      <c r="A69" s="406"/>
      <c r="C69" t="s">
        <v>90</v>
      </c>
      <c r="K69" s="129"/>
      <c r="L69" s="130">
        <f>L56+K67</f>
        <v>1150591508</v>
      </c>
      <c r="M69" s="61" t="s">
        <v>1662</v>
      </c>
      <c r="P69"/>
      <c r="Q69"/>
    </row>
    <row r="70" spans="1:17" x14ac:dyDescent="0.35">
      <c r="A70" s="406"/>
      <c r="C70" t="s">
        <v>88</v>
      </c>
      <c r="K70" s="129"/>
      <c r="L70" s="130">
        <f>L57</f>
        <v>17852859</v>
      </c>
      <c r="M70" s="61" t="s">
        <v>166</v>
      </c>
      <c r="P70"/>
      <c r="Q70"/>
    </row>
    <row r="71" spans="1:17" ht="15" thickBot="1" x14ac:dyDescent="0.4">
      <c r="A71" s="406"/>
      <c r="C71" s="3" t="s">
        <v>87</v>
      </c>
      <c r="D71" s="3"/>
      <c r="E71" s="3"/>
      <c r="F71" s="3"/>
      <c r="K71" s="129"/>
      <c r="L71" s="130">
        <f>I50</f>
        <v>254956553.53999999</v>
      </c>
      <c r="M71" s="61" t="s">
        <v>1263</v>
      </c>
      <c r="P71"/>
      <c r="Q71"/>
    </row>
    <row r="72" spans="1:17" ht="15.5" thickTop="1" thickBot="1" x14ac:dyDescent="0.4">
      <c r="A72" s="406"/>
      <c r="C72" s="75" t="s">
        <v>85</v>
      </c>
      <c r="D72" s="75"/>
      <c r="E72" s="75"/>
      <c r="F72" s="75"/>
      <c r="K72" s="129"/>
      <c r="L72" s="635">
        <f>L69+L70-L71</f>
        <v>913487813.46000004</v>
      </c>
      <c r="M72" s="61" t="s">
        <v>1663</v>
      </c>
      <c r="P72"/>
      <c r="Q72"/>
    </row>
    <row r="73" spans="1:17" ht="15" thickTop="1" x14ac:dyDescent="0.35">
      <c r="A73" s="406"/>
      <c r="P73"/>
      <c r="Q73"/>
    </row>
    <row r="74" spans="1:17" x14ac:dyDescent="0.35">
      <c r="A74" s="406"/>
      <c r="C74" s="75" t="s">
        <v>84</v>
      </c>
      <c r="D74" s="75"/>
      <c r="E74" s="75"/>
      <c r="F74" s="75"/>
      <c r="L74" s="637">
        <f>ROUND(L72/L59-1,8)</f>
        <v>3.675846E-2</v>
      </c>
      <c r="M74" s="61" t="s">
        <v>1664</v>
      </c>
      <c r="P74"/>
      <c r="Q74"/>
    </row>
    <row r="75" spans="1:17" x14ac:dyDescent="0.35">
      <c r="A75" s="406"/>
    </row>
    <row r="76" spans="1:17" x14ac:dyDescent="0.35">
      <c r="A76" s="406"/>
    </row>
    <row r="77" spans="1:17" x14ac:dyDescent="0.35">
      <c r="A77" s="407" t="s">
        <v>83</v>
      </c>
      <c r="P77"/>
      <c r="Q77"/>
    </row>
    <row r="78" spans="1:17" x14ac:dyDescent="0.35">
      <c r="A78" s="406"/>
    </row>
    <row r="79" spans="1:17" x14ac:dyDescent="0.35">
      <c r="A79" s="406"/>
    </row>
    <row r="80" spans="1:17" ht="15" thickBot="1" x14ac:dyDescent="0.4">
      <c r="A80" s="406"/>
      <c r="P80"/>
      <c r="Q80"/>
    </row>
    <row r="81" spans="2:17" ht="15.5" thickTop="1" thickBot="1" x14ac:dyDescent="0.4">
      <c r="B81" s="41" t="str">
        <f>$A$4</f>
        <v>SC9 Rate I</v>
      </c>
      <c r="C81" s="3"/>
      <c r="D81" s="3"/>
      <c r="E81" s="3"/>
      <c r="F81" s="3"/>
      <c r="G81" s="3"/>
      <c r="H81" s="1316" t="s">
        <v>82</v>
      </c>
      <c r="I81" s="1317"/>
      <c r="J81" s="1318"/>
      <c r="K81" s="3"/>
      <c r="L81" s="1307" t="s">
        <v>81</v>
      </c>
      <c r="M81" s="1308"/>
      <c r="N81" s="1309"/>
      <c r="P81"/>
      <c r="Q81"/>
    </row>
    <row r="82" spans="2:17" ht="15" thickTop="1" x14ac:dyDescent="0.35">
      <c r="B82" s="3"/>
      <c r="C82" s="3"/>
      <c r="E82" s="30" t="s">
        <v>80</v>
      </c>
      <c r="F82" s="3"/>
      <c r="G82" s="3"/>
      <c r="H82" s="30" t="s">
        <v>42</v>
      </c>
      <c r="I82" s="30"/>
      <c r="J82" s="30" t="s">
        <v>40</v>
      </c>
      <c r="K82" s="3"/>
      <c r="L82" s="30" t="s">
        <v>42</v>
      </c>
      <c r="M82" s="86"/>
      <c r="N82" s="30" t="s">
        <v>40</v>
      </c>
      <c r="P82"/>
      <c r="Q82"/>
    </row>
    <row r="83" spans="2:17" x14ac:dyDescent="0.35">
      <c r="B83" s="3" t="s">
        <v>43</v>
      </c>
      <c r="C83" s="3"/>
      <c r="D83" s="567">
        <f t="shared" ref="D83:F84" si="0">Q6</f>
        <v>0</v>
      </c>
      <c r="E83" s="123" t="str">
        <f t="shared" si="0"/>
        <v>-</v>
      </c>
      <c r="F83" s="567">
        <f t="shared" si="0"/>
        <v>5</v>
      </c>
      <c r="G83" s="943"/>
      <c r="H83" s="939">
        <f>G10</f>
        <v>176.77</v>
      </c>
      <c r="I83" s="892" t="s">
        <v>109</v>
      </c>
      <c r="J83" s="939">
        <f>G12</f>
        <v>141.21</v>
      </c>
      <c r="K83" s="892" t="s">
        <v>1603</v>
      </c>
      <c r="L83" s="3"/>
      <c r="M83" s="17"/>
      <c r="N83" s="3"/>
      <c r="P83"/>
      <c r="Q83"/>
    </row>
    <row r="84" spans="2:17" x14ac:dyDescent="0.35">
      <c r="B84" s="3"/>
      <c r="C84" s="3"/>
      <c r="D84" s="567">
        <f t="shared" si="0"/>
        <v>5</v>
      </c>
      <c r="E84" s="123" t="str">
        <f t="shared" si="0"/>
        <v>-</v>
      </c>
      <c r="F84" s="567">
        <f t="shared" si="0"/>
        <v>100</v>
      </c>
      <c r="G84" s="272"/>
      <c r="H84" s="939">
        <f>G11</f>
        <v>25.83</v>
      </c>
      <c r="I84" s="892" t="s">
        <v>108</v>
      </c>
      <c r="J84" s="939">
        <f>G13</f>
        <v>20.399999999999999</v>
      </c>
      <c r="K84" s="892" t="s">
        <v>1604</v>
      </c>
      <c r="L84" s="27">
        <f>H84-J$85</f>
        <v>5.43</v>
      </c>
      <c r="M84" s="61" t="s">
        <v>1736</v>
      </c>
      <c r="N84" s="27">
        <f>J84-J$85</f>
        <v>0</v>
      </c>
      <c r="O84" s="61" t="s">
        <v>1740</v>
      </c>
      <c r="P84"/>
      <c r="Q84"/>
    </row>
    <row r="85" spans="2:17" x14ac:dyDescent="0.35">
      <c r="B85" s="3"/>
      <c r="C85" s="3"/>
      <c r="D85" s="3"/>
      <c r="E85" s="123" t="str">
        <f>R8</f>
        <v>&gt;</v>
      </c>
      <c r="F85" s="567">
        <f>S8</f>
        <v>100</v>
      </c>
      <c r="G85" s="272"/>
      <c r="H85" s="939">
        <f>G11</f>
        <v>25.83</v>
      </c>
      <c r="I85" s="892" t="s">
        <v>1574</v>
      </c>
      <c r="J85" s="940">
        <f>G13</f>
        <v>20.399999999999999</v>
      </c>
      <c r="K85" s="892" t="s">
        <v>1733</v>
      </c>
      <c r="L85" s="27">
        <f>H85-J$85</f>
        <v>5.43</v>
      </c>
      <c r="M85" s="61" t="s">
        <v>1737</v>
      </c>
      <c r="N85" s="112"/>
      <c r="O85" s="61" t="s">
        <v>1674</v>
      </c>
      <c r="P85"/>
      <c r="Q85"/>
    </row>
    <row r="86" spans="2:17" x14ac:dyDescent="0.35">
      <c r="B86" s="3"/>
      <c r="C86" s="3"/>
      <c r="D86" s="3"/>
      <c r="E86" s="123"/>
      <c r="F86" s="123"/>
      <c r="G86" s="272"/>
      <c r="H86" s="939"/>
      <c r="I86" s="120"/>
      <c r="J86" s="939"/>
      <c r="K86" s="3"/>
      <c r="L86" s="27"/>
      <c r="N86" s="61"/>
      <c r="P86"/>
      <c r="Q86"/>
    </row>
    <row r="87" spans="2:17" x14ac:dyDescent="0.35">
      <c r="B87" s="3" t="s">
        <v>41</v>
      </c>
      <c r="C87" s="3"/>
      <c r="D87" s="121">
        <f t="shared" ref="D87:F88" si="1">D83</f>
        <v>0</v>
      </c>
      <c r="E87" s="122" t="str">
        <f t="shared" si="1"/>
        <v>-</v>
      </c>
      <c r="F87" s="121">
        <f t="shared" si="1"/>
        <v>5</v>
      </c>
      <c r="G87" s="943"/>
      <c r="H87" s="939">
        <f>G16</f>
        <v>122.81</v>
      </c>
      <c r="I87" s="892" t="s">
        <v>1638</v>
      </c>
      <c r="J87" s="939">
        <f>G18</f>
        <v>87.300000000000011</v>
      </c>
      <c r="K87" s="892" t="s">
        <v>1734</v>
      </c>
      <c r="L87" s="3"/>
      <c r="N87" s="3"/>
      <c r="P87"/>
      <c r="Q87"/>
    </row>
    <row r="88" spans="2:17" x14ac:dyDescent="0.35">
      <c r="B88" s="3"/>
      <c r="C88" s="3"/>
      <c r="D88" s="121">
        <f t="shared" si="1"/>
        <v>5</v>
      </c>
      <c r="E88" s="122" t="str">
        <f t="shared" si="1"/>
        <v>-</v>
      </c>
      <c r="F88" s="121">
        <f t="shared" si="1"/>
        <v>100</v>
      </c>
      <c r="G88" s="272"/>
      <c r="H88" s="939">
        <f>G17</f>
        <v>18.03</v>
      </c>
      <c r="I88" s="892" t="s">
        <v>1639</v>
      </c>
      <c r="J88" s="939">
        <f>G19</f>
        <v>12.579999999999998</v>
      </c>
      <c r="K88" s="892" t="s">
        <v>1665</v>
      </c>
      <c r="L88" s="27">
        <f>H88-J$85</f>
        <v>-2.3699999999999974</v>
      </c>
      <c r="M88" s="61" t="s">
        <v>1738</v>
      </c>
      <c r="N88" s="27">
        <f>J88-J$85</f>
        <v>-7.82</v>
      </c>
      <c r="O88" s="61" t="s">
        <v>1741</v>
      </c>
      <c r="P88"/>
      <c r="Q88"/>
    </row>
    <row r="89" spans="2:17" x14ac:dyDescent="0.35">
      <c r="B89" s="3"/>
      <c r="C89" s="3"/>
      <c r="D89" s="2"/>
      <c r="E89" s="122" t="str">
        <f>E85</f>
        <v>&gt;</v>
      </c>
      <c r="F89" s="121">
        <f>F85</f>
        <v>100</v>
      </c>
      <c r="G89" s="272"/>
      <c r="H89" s="939">
        <f>G17</f>
        <v>18.03</v>
      </c>
      <c r="I89" s="892" t="s">
        <v>1640</v>
      </c>
      <c r="J89" s="939">
        <f>G19</f>
        <v>12.579999999999998</v>
      </c>
      <c r="K89" s="892" t="s">
        <v>1735</v>
      </c>
      <c r="L89" s="27">
        <f>H89-J$85</f>
        <v>-2.3699999999999974</v>
      </c>
      <c r="M89" s="61" t="s">
        <v>1739</v>
      </c>
      <c r="N89" s="27">
        <f>J89-J$85</f>
        <v>-7.82</v>
      </c>
      <c r="O89" s="61" t="s">
        <v>1742</v>
      </c>
      <c r="P89"/>
      <c r="Q89"/>
    </row>
    <row r="90" spans="2:17" x14ac:dyDescent="0.35">
      <c r="G90" s="406"/>
      <c r="H90" s="406"/>
    </row>
    <row r="91" spans="2:17" ht="15" thickBot="1" x14ac:dyDescent="0.4">
      <c r="P91"/>
      <c r="Q91"/>
    </row>
    <row r="92" spans="2:17" ht="15.5" thickTop="1" thickBot="1" x14ac:dyDescent="0.4">
      <c r="B92" s="119" t="s">
        <v>77</v>
      </c>
      <c r="L92" s="1307" t="s">
        <v>76</v>
      </c>
      <c r="M92" s="1308"/>
      <c r="N92" s="1309"/>
      <c r="P92"/>
      <c r="Q92"/>
    </row>
    <row r="93" spans="2:17" ht="15.5" thickTop="1" thickBot="1" x14ac:dyDescent="0.4">
      <c r="G93" s="118" t="s">
        <v>42</v>
      </c>
      <c r="H93" s="118" t="s">
        <v>40</v>
      </c>
      <c r="L93" s="30" t="s">
        <v>42</v>
      </c>
      <c r="M93" s="86"/>
      <c r="N93" s="30" t="s">
        <v>40</v>
      </c>
      <c r="P93"/>
      <c r="Q93"/>
    </row>
    <row r="94" spans="2:17" x14ac:dyDescent="0.35">
      <c r="B94" s="3" t="s">
        <v>75</v>
      </c>
      <c r="G94" s="117" t="str">
        <f>CONCATENATE("X + ",L95)</f>
        <v>X + 5.63</v>
      </c>
      <c r="H94" s="116" t="str">
        <f>CONCATENATE("X + ",N95)</f>
        <v>X + 0</v>
      </c>
      <c r="K94" t="str">
        <f>B83</f>
        <v>Low Tension (LT)</v>
      </c>
      <c r="L94" s="3"/>
      <c r="M94" s="17"/>
      <c r="N94" s="3"/>
      <c r="P94"/>
      <c r="Q94"/>
    </row>
    <row r="95" spans="2:17" x14ac:dyDescent="0.35">
      <c r="B95" s="3" t="s">
        <v>156</v>
      </c>
      <c r="G95" s="114" t="str">
        <f>CONCATENATE("X + ",L96)</f>
        <v>X + 5.63</v>
      </c>
      <c r="H95" s="115" t="s">
        <v>32</v>
      </c>
      <c r="L95" s="27">
        <f>ROUND(L84*(1+$L$74),2)</f>
        <v>5.63</v>
      </c>
      <c r="M95" s="61" t="s">
        <v>1749</v>
      </c>
      <c r="N95" s="27">
        <f>ROUND(N84*(1+$L$74),2)</f>
        <v>0</v>
      </c>
      <c r="O95" s="61" t="s">
        <v>1753</v>
      </c>
      <c r="P95"/>
      <c r="Q95"/>
    </row>
    <row r="96" spans="2:17" x14ac:dyDescent="0.35">
      <c r="B96" s="3" t="s">
        <v>73</v>
      </c>
      <c r="G96" s="114" t="str">
        <f>CONCATENATE("X + ",L99)</f>
        <v>X + -2.46</v>
      </c>
      <c r="H96" s="113" t="str">
        <f>CONCATENATE("X + ",N99)</f>
        <v>X + -8.11</v>
      </c>
      <c r="L96" s="27">
        <f>ROUND(L85*(1+$L$74),2)</f>
        <v>5.63</v>
      </c>
      <c r="M96" s="61" t="s">
        <v>1750</v>
      </c>
      <c r="N96" s="112"/>
      <c r="O96" s="61" t="s">
        <v>1674</v>
      </c>
      <c r="P96"/>
      <c r="Q96"/>
    </row>
    <row r="97" spans="2:17" ht="15" thickBot="1" x14ac:dyDescent="0.4">
      <c r="B97" s="3" t="s">
        <v>155</v>
      </c>
      <c r="G97" s="111" t="str">
        <f>CONCATENATE("X + ",L100)</f>
        <v>X + -2.46</v>
      </c>
      <c r="H97" s="110" t="str">
        <f>CONCATENATE("X + ",N100)</f>
        <v>X + -8.11</v>
      </c>
      <c r="L97" s="27"/>
      <c r="N97" s="109"/>
      <c r="P97"/>
      <c r="Q97"/>
    </row>
    <row r="98" spans="2:17" x14ac:dyDescent="0.35">
      <c r="K98" t="str">
        <f>B87</f>
        <v>High Tension (HT)</v>
      </c>
      <c r="L98" s="3"/>
      <c r="N98" s="3"/>
      <c r="P98"/>
      <c r="Q98"/>
    </row>
    <row r="99" spans="2:17" x14ac:dyDescent="0.35">
      <c r="L99" s="27">
        <f>ROUND(L88*(1+$L$74),2)</f>
        <v>-2.46</v>
      </c>
      <c r="M99" s="61" t="s">
        <v>1751</v>
      </c>
      <c r="N99" s="27">
        <f>ROUND(N88*(1+$L$74),2)</f>
        <v>-8.11</v>
      </c>
      <c r="O99" s="61" t="s">
        <v>1754</v>
      </c>
      <c r="P99"/>
      <c r="Q99"/>
    </row>
    <row r="100" spans="2:17" x14ac:dyDescent="0.35">
      <c r="L100" s="27">
        <f>ROUND(L89*(1+$L$74),2)</f>
        <v>-2.46</v>
      </c>
      <c r="M100" s="61" t="s">
        <v>1752</v>
      </c>
      <c r="N100" s="27">
        <f>ROUND(N89*(1+$L$74),2)</f>
        <v>-8.11</v>
      </c>
      <c r="O100" s="61" t="s">
        <v>1755</v>
      </c>
      <c r="P100"/>
      <c r="Q100"/>
    </row>
    <row r="101" spans="2:17" x14ac:dyDescent="0.35">
      <c r="L101" s="27"/>
      <c r="N101" s="27"/>
      <c r="O101" s="61"/>
      <c r="P101"/>
      <c r="Q101"/>
    </row>
    <row r="102" spans="2:17" x14ac:dyDescent="0.35">
      <c r="B102" s="334" t="s">
        <v>70</v>
      </c>
      <c r="P102"/>
      <c r="Q102"/>
    </row>
    <row r="103" spans="2:17" x14ac:dyDescent="0.35">
      <c r="B103" s="41" t="str">
        <f>$A$4</f>
        <v>SC9 Rate I</v>
      </c>
      <c r="P103"/>
      <c r="Q103"/>
    </row>
    <row r="104" spans="2:17" ht="15" thickBot="1" x14ac:dyDescent="0.4">
      <c r="B104" s="70" t="s">
        <v>69</v>
      </c>
      <c r="C104" s="70"/>
      <c r="D104" s="70"/>
      <c r="E104" s="3"/>
      <c r="F104" s="3"/>
      <c r="G104" s="3"/>
      <c r="I104" s="69" t="s">
        <v>25</v>
      </c>
      <c r="J104" s="3"/>
      <c r="K104" s="3"/>
      <c r="P104"/>
      <c r="Q104"/>
    </row>
    <row r="105" spans="2:17" x14ac:dyDescent="0.35">
      <c r="B105" s="3" t="s">
        <v>43</v>
      </c>
      <c r="C105" s="70"/>
      <c r="D105" s="70"/>
      <c r="E105" s="3" t="s">
        <v>42</v>
      </c>
      <c r="F105" s="3"/>
      <c r="G105" s="108" t="str">
        <f>CONCATENATE(D84,E84,F84," kW")</f>
        <v>5-100 kW</v>
      </c>
      <c r="I105" s="72">
        <f>U7</f>
        <v>10355085</v>
      </c>
      <c r="J105" s="36" t="s">
        <v>39</v>
      </c>
      <c r="K105" s="74" t="str">
        <f>CONCATENATE("[",G94,"]")</f>
        <v>[X + 5.63]</v>
      </c>
      <c r="L105" s="61" t="s">
        <v>1743</v>
      </c>
      <c r="P105"/>
      <c r="Q105"/>
    </row>
    <row r="106" spans="2:17" x14ac:dyDescent="0.35">
      <c r="B106" s="3" t="s">
        <v>43</v>
      </c>
      <c r="C106" s="3"/>
      <c r="D106" s="3"/>
      <c r="E106" s="3" t="s">
        <v>42</v>
      </c>
      <c r="F106" s="3"/>
      <c r="G106" s="108" t="str">
        <f>CONCATENATE(D85,E85,F85," kW")</f>
        <v>&gt;100 kW</v>
      </c>
      <c r="I106" s="72">
        <f>U8</f>
        <v>4265301</v>
      </c>
      <c r="J106" s="36" t="s">
        <v>39</v>
      </c>
      <c r="K106" s="107" t="str">
        <f>CONCATENATE("[",G95,"]")</f>
        <v>[X + 5.63]</v>
      </c>
      <c r="L106" s="61" t="s">
        <v>1744</v>
      </c>
      <c r="P106"/>
      <c r="Q106"/>
    </row>
    <row r="107" spans="2:17" x14ac:dyDescent="0.35">
      <c r="B107" s="3" t="s">
        <v>43</v>
      </c>
      <c r="C107" s="3"/>
      <c r="D107" s="3"/>
      <c r="E107" s="3" t="s">
        <v>40</v>
      </c>
      <c r="F107" s="3"/>
      <c r="G107" s="3" t="str">
        <f>G105</f>
        <v>5-100 kW</v>
      </c>
      <c r="I107" s="72">
        <f>U12</f>
        <v>18151598</v>
      </c>
      <c r="J107" s="36" t="s">
        <v>39</v>
      </c>
      <c r="K107" s="73" t="str">
        <f>CONCATENATE("[",H94,"]")</f>
        <v>[X + 0]</v>
      </c>
      <c r="L107" s="61" t="s">
        <v>1759</v>
      </c>
      <c r="P107"/>
      <c r="Q107"/>
    </row>
    <row r="108" spans="2:17" x14ac:dyDescent="0.35">
      <c r="B108" s="3" t="s">
        <v>43</v>
      </c>
      <c r="C108" s="3"/>
      <c r="D108" s="3"/>
      <c r="E108" s="3" t="s">
        <v>40</v>
      </c>
      <c r="F108" s="3"/>
      <c r="G108" s="3" t="str">
        <f>G106</f>
        <v>&gt;100 kW</v>
      </c>
      <c r="I108" s="72">
        <f>U13</f>
        <v>6426438</v>
      </c>
      <c r="J108" s="36" t="s">
        <v>39</v>
      </c>
      <c r="K108" s="73" t="str">
        <f>CONCATENATE("[",H95,"]")</f>
        <v>[X]</v>
      </c>
      <c r="L108" s="61" t="s">
        <v>1746</v>
      </c>
      <c r="P108"/>
      <c r="Q108"/>
    </row>
    <row r="109" spans="2:17" x14ac:dyDescent="0.35">
      <c r="B109" s="3" t="s">
        <v>41</v>
      </c>
      <c r="C109" s="3"/>
      <c r="D109" s="3"/>
      <c r="E109" s="3" t="s">
        <v>42</v>
      </c>
      <c r="F109" s="3"/>
      <c r="G109" s="3" t="str">
        <f>G105</f>
        <v>5-100 kW</v>
      </c>
      <c r="I109" s="72">
        <f>U17</f>
        <v>12963</v>
      </c>
      <c r="J109" s="36" t="s">
        <v>39</v>
      </c>
      <c r="K109" s="73" t="str">
        <f>CONCATENATE("[",G96,"]")</f>
        <v>[X + -2.46]</v>
      </c>
      <c r="L109" s="61" t="s">
        <v>1745</v>
      </c>
      <c r="P109"/>
      <c r="Q109"/>
    </row>
    <row r="110" spans="2:17" x14ac:dyDescent="0.35">
      <c r="B110" s="3" t="s">
        <v>41</v>
      </c>
      <c r="C110" s="3"/>
      <c r="D110" s="3"/>
      <c r="E110" s="3" t="s">
        <v>42</v>
      </c>
      <c r="F110" s="3"/>
      <c r="G110" s="3" t="str">
        <f>G106</f>
        <v>&gt;100 kW</v>
      </c>
      <c r="I110" s="72">
        <f>U18</f>
        <v>36476</v>
      </c>
      <c r="J110" s="36" t="s">
        <v>39</v>
      </c>
      <c r="K110" s="73" t="str">
        <f>CONCATENATE("[",G97,"]")</f>
        <v>[X + -2.46]</v>
      </c>
      <c r="L110" s="61" t="s">
        <v>1760</v>
      </c>
      <c r="P110"/>
      <c r="Q110"/>
    </row>
    <row r="111" spans="2:17" x14ac:dyDescent="0.35">
      <c r="B111" s="3" t="s">
        <v>41</v>
      </c>
      <c r="C111" s="3"/>
      <c r="D111" s="3"/>
      <c r="E111" s="3" t="s">
        <v>40</v>
      </c>
      <c r="F111" s="3"/>
      <c r="G111" s="3" t="str">
        <f>G105</f>
        <v>5-100 kW</v>
      </c>
      <c r="I111" s="72">
        <f>U22</f>
        <v>24758</v>
      </c>
      <c r="J111" s="36" t="s">
        <v>39</v>
      </c>
      <c r="K111" s="73" t="str">
        <f>CONCATENATE("[",H96,"]")</f>
        <v>[X + -8.11]</v>
      </c>
      <c r="L111" s="61" t="s">
        <v>1761</v>
      </c>
      <c r="P111"/>
      <c r="Q111"/>
    </row>
    <row r="112" spans="2:17" ht="15" thickBot="1" x14ac:dyDescent="0.4">
      <c r="B112" s="3" t="s">
        <v>41</v>
      </c>
      <c r="C112" s="3"/>
      <c r="D112" s="3"/>
      <c r="E112" s="3" t="s">
        <v>40</v>
      </c>
      <c r="F112" s="3"/>
      <c r="G112" s="3" t="str">
        <f>G106</f>
        <v>&gt;100 kW</v>
      </c>
      <c r="I112" s="67">
        <f>U23</f>
        <v>67386</v>
      </c>
      <c r="J112" s="36" t="s">
        <v>39</v>
      </c>
      <c r="K112" s="71" t="str">
        <f>CONCATENATE("[",H97,"]")</f>
        <v>[X + -8.11]</v>
      </c>
      <c r="L112" s="61" t="s">
        <v>1762</v>
      </c>
      <c r="P112"/>
      <c r="Q112"/>
    </row>
    <row r="113" spans="2:17" x14ac:dyDescent="0.35">
      <c r="I113" s="28">
        <f>SUM(I105:I112)</f>
        <v>39340005</v>
      </c>
      <c r="J113" s="61" t="s">
        <v>1756</v>
      </c>
    </row>
    <row r="115" spans="2:17" x14ac:dyDescent="0.35">
      <c r="B115" s="70" t="s">
        <v>38</v>
      </c>
      <c r="P115"/>
      <c r="Q115"/>
    </row>
    <row r="116" spans="2:17" x14ac:dyDescent="0.35">
      <c r="B116" s="41" t="str">
        <f>$A$4</f>
        <v>SC9 Rate I</v>
      </c>
      <c r="F116" s="3"/>
      <c r="G116" s="3"/>
      <c r="H116" s="3"/>
      <c r="I116" s="69" t="s">
        <v>25</v>
      </c>
      <c r="J116" s="3"/>
      <c r="K116" s="106"/>
      <c r="L116" s="3"/>
      <c r="M116" s="3"/>
      <c r="N116" s="17"/>
      <c r="P116"/>
      <c r="Q116"/>
    </row>
    <row r="117" spans="2:17" x14ac:dyDescent="0.35">
      <c r="B117" s="3" t="s">
        <v>37</v>
      </c>
      <c r="C117" s="3"/>
      <c r="F117" s="3"/>
      <c r="G117" s="3"/>
      <c r="H117" s="3"/>
      <c r="I117" s="105">
        <f t="shared" ref="I117:I124" si="2">I105</f>
        <v>10355085</v>
      </c>
      <c r="J117" s="65" t="s">
        <v>63</v>
      </c>
      <c r="K117" s="34">
        <f>ROUND(I117*L95,0)</f>
        <v>58299129</v>
      </c>
      <c r="L117" s="3" t="s">
        <v>62</v>
      </c>
      <c r="M117" s="61" t="s">
        <v>1748</v>
      </c>
      <c r="N117" s="17"/>
      <c r="P117"/>
      <c r="Q117"/>
    </row>
    <row r="118" spans="2:17" x14ac:dyDescent="0.35">
      <c r="B118" s="3" t="s">
        <v>67</v>
      </c>
      <c r="C118" s="3"/>
      <c r="F118" s="3"/>
      <c r="G118" s="3"/>
      <c r="H118" s="3"/>
      <c r="I118" s="105">
        <f t="shared" si="2"/>
        <v>4265301</v>
      </c>
      <c r="J118" s="65" t="s">
        <v>63</v>
      </c>
      <c r="K118" s="34">
        <f>ROUND(I118*L96,0)</f>
        <v>24013645</v>
      </c>
      <c r="L118" s="3" t="s">
        <v>62</v>
      </c>
      <c r="M118" s="61" t="s">
        <v>1764</v>
      </c>
      <c r="N118" s="17"/>
      <c r="P118"/>
      <c r="Q118"/>
    </row>
    <row r="119" spans="2:17" x14ac:dyDescent="0.35">
      <c r="B119" s="3" t="s">
        <v>36</v>
      </c>
      <c r="C119" s="3"/>
      <c r="F119" s="3"/>
      <c r="G119" s="3"/>
      <c r="H119" s="3"/>
      <c r="I119" s="105">
        <f t="shared" si="2"/>
        <v>18151598</v>
      </c>
      <c r="J119" s="65" t="s">
        <v>63</v>
      </c>
      <c r="K119" s="34">
        <f>ROUND(I119*N95,0)</f>
        <v>0</v>
      </c>
      <c r="L119" s="3" t="s">
        <v>62</v>
      </c>
      <c r="M119" s="61" t="s">
        <v>1765</v>
      </c>
      <c r="P119"/>
      <c r="Q119"/>
    </row>
    <row r="120" spans="2:17" x14ac:dyDescent="0.35">
      <c r="B120" s="3" t="s">
        <v>66</v>
      </c>
      <c r="C120" s="3"/>
      <c r="F120" s="3"/>
      <c r="G120" s="3"/>
      <c r="H120" s="3"/>
      <c r="I120" s="105">
        <f t="shared" si="2"/>
        <v>6426438</v>
      </c>
      <c r="J120" s="65" t="s">
        <v>63</v>
      </c>
      <c r="K120" s="34">
        <f>ROUND(I120*N96,0)</f>
        <v>0</v>
      </c>
      <c r="L120" s="3" t="s">
        <v>62</v>
      </c>
      <c r="M120" s="61" t="s">
        <v>1763</v>
      </c>
      <c r="P120"/>
      <c r="Q120"/>
    </row>
    <row r="121" spans="2:17" x14ac:dyDescent="0.35">
      <c r="B121" s="3" t="s">
        <v>35</v>
      </c>
      <c r="C121" s="3"/>
      <c r="F121" s="3"/>
      <c r="G121" s="3"/>
      <c r="H121" s="3"/>
      <c r="I121" s="105">
        <f t="shared" si="2"/>
        <v>12963</v>
      </c>
      <c r="J121" s="65" t="s">
        <v>63</v>
      </c>
      <c r="K121" s="34">
        <f>ROUND(I121*L99,0)</f>
        <v>-31889</v>
      </c>
      <c r="L121" s="3" t="s">
        <v>62</v>
      </c>
      <c r="M121" s="61" t="s">
        <v>1766</v>
      </c>
      <c r="N121" s="17"/>
      <c r="P121"/>
      <c r="Q121"/>
    </row>
    <row r="122" spans="2:17" x14ac:dyDescent="0.35">
      <c r="B122" s="3" t="s">
        <v>65</v>
      </c>
      <c r="C122" s="3"/>
      <c r="F122" s="3"/>
      <c r="G122" s="3"/>
      <c r="H122" s="3"/>
      <c r="I122" s="105">
        <f t="shared" si="2"/>
        <v>36476</v>
      </c>
      <c r="J122" s="104" t="s">
        <v>63</v>
      </c>
      <c r="K122" s="34">
        <f>ROUND(I122*L100,0)</f>
        <v>-89731</v>
      </c>
      <c r="L122" s="44" t="s">
        <v>62</v>
      </c>
      <c r="M122" s="61" t="s">
        <v>1767</v>
      </c>
      <c r="N122" s="17"/>
      <c r="P122"/>
      <c r="Q122"/>
    </row>
    <row r="123" spans="2:17" x14ac:dyDescent="0.35">
      <c r="B123" s="3" t="s">
        <v>34</v>
      </c>
      <c r="C123" s="3"/>
      <c r="F123" s="3"/>
      <c r="G123" s="3"/>
      <c r="H123" s="3"/>
      <c r="I123" s="105">
        <f t="shared" si="2"/>
        <v>24758</v>
      </c>
      <c r="J123" s="104" t="s">
        <v>63</v>
      </c>
      <c r="K123" s="34">
        <f>ROUND(I123*N99,0)</f>
        <v>-200787</v>
      </c>
      <c r="L123" s="44" t="s">
        <v>62</v>
      </c>
      <c r="M123" s="61" t="s">
        <v>1768</v>
      </c>
      <c r="N123" s="17"/>
      <c r="P123"/>
      <c r="Q123"/>
    </row>
    <row r="124" spans="2:17" x14ac:dyDescent="0.35">
      <c r="B124" s="3" t="s">
        <v>64</v>
      </c>
      <c r="C124" s="3"/>
      <c r="F124" s="3"/>
      <c r="G124" s="3"/>
      <c r="H124" s="3"/>
      <c r="I124" s="105">
        <f t="shared" si="2"/>
        <v>67386</v>
      </c>
      <c r="J124" s="104" t="s">
        <v>63</v>
      </c>
      <c r="K124" s="37">
        <f>ROUND(I124*N100,0)</f>
        <v>-546500</v>
      </c>
      <c r="L124" s="44" t="s">
        <v>62</v>
      </c>
      <c r="M124" s="61" t="s">
        <v>1769</v>
      </c>
      <c r="N124" s="17"/>
      <c r="P124"/>
      <c r="Q124"/>
    </row>
    <row r="125" spans="2:17" x14ac:dyDescent="0.35">
      <c r="B125" s="3" t="s">
        <v>33</v>
      </c>
      <c r="C125" s="3"/>
      <c r="F125" s="66"/>
      <c r="G125" s="824">
        <f>L72</f>
        <v>913487813.46000004</v>
      </c>
      <c r="H125" s="63" t="s">
        <v>31</v>
      </c>
      <c r="I125" s="28">
        <f>SUM(I117:I124)</f>
        <v>39340005</v>
      </c>
      <c r="J125" s="65" t="s">
        <v>63</v>
      </c>
      <c r="K125" s="103">
        <f>SUM(K117:K124)</f>
        <v>81443867</v>
      </c>
      <c r="L125" s="3" t="s">
        <v>1757</v>
      </c>
      <c r="M125" s="61" t="s">
        <v>1706</v>
      </c>
      <c r="N125" s="17"/>
      <c r="P125"/>
      <c r="Q125"/>
    </row>
    <row r="126" spans="2:17" x14ac:dyDescent="0.35">
      <c r="F126" s="3"/>
      <c r="G126" s="3"/>
      <c r="H126" s="3"/>
      <c r="I126" s="3"/>
      <c r="J126" s="3"/>
      <c r="K126" s="3"/>
      <c r="L126" s="3"/>
      <c r="M126" s="61" t="s">
        <v>1774</v>
      </c>
      <c r="N126" s="17"/>
      <c r="P126"/>
      <c r="Q126"/>
    </row>
    <row r="127" spans="2:17" x14ac:dyDescent="0.35">
      <c r="F127" s="34"/>
      <c r="G127" s="34">
        <f>G125-K125</f>
        <v>832043946.46000004</v>
      </c>
      <c r="H127" s="63" t="s">
        <v>31</v>
      </c>
      <c r="I127" s="28">
        <f>I125</f>
        <v>39340005</v>
      </c>
      <c r="J127" s="65" t="s">
        <v>32</v>
      </c>
      <c r="K127" s="3"/>
      <c r="L127" s="3"/>
      <c r="M127" s="61" t="s">
        <v>1775</v>
      </c>
      <c r="N127" s="17"/>
      <c r="P127"/>
      <c r="Q127"/>
    </row>
    <row r="128" spans="2:17" ht="15" thickBot="1" x14ac:dyDescent="0.4">
      <c r="F128" s="3"/>
      <c r="G128" s="3"/>
      <c r="H128" s="3"/>
      <c r="I128" s="3"/>
      <c r="J128" s="3"/>
      <c r="K128" s="3"/>
      <c r="L128" s="3"/>
      <c r="M128" s="3"/>
      <c r="N128" s="17"/>
      <c r="P128"/>
      <c r="Q128"/>
    </row>
    <row r="129" spans="2:17" ht="15.5" thickTop="1" thickBot="1" x14ac:dyDescent="0.4">
      <c r="F129" s="101"/>
      <c r="G129" s="101" t="s">
        <v>61</v>
      </c>
      <c r="H129" s="63" t="s">
        <v>31</v>
      </c>
      <c r="I129" s="102">
        <f>ROUND(G127/I127,2)</f>
        <v>21.15</v>
      </c>
      <c r="J129" s="61" t="s">
        <v>1758</v>
      </c>
      <c r="K129" s="3"/>
      <c r="L129" s="100" t="s">
        <v>154</v>
      </c>
      <c r="M129" s="34">
        <f>L27-L26</f>
        <v>256068.07802593708</v>
      </c>
      <c r="N129" s="61" t="s">
        <v>1771</v>
      </c>
      <c r="P129"/>
      <c r="Q129"/>
    </row>
    <row r="130" spans="2:17" ht="15.5" thickTop="1" thickBot="1" x14ac:dyDescent="0.4">
      <c r="F130" s="101"/>
      <c r="G130" s="101" t="s">
        <v>1732</v>
      </c>
      <c r="H130" s="63" t="s">
        <v>31</v>
      </c>
      <c r="I130" s="102">
        <f>ROUND(-M130/I127,2)</f>
        <v>-0.01</v>
      </c>
      <c r="J130" s="61" t="s">
        <v>1772</v>
      </c>
      <c r="K130" s="3"/>
      <c r="L130" s="100" t="s">
        <v>153</v>
      </c>
      <c r="M130" s="34">
        <f>ROUND(M129/L9,0)</f>
        <v>253262</v>
      </c>
      <c r="N130" s="61" t="s">
        <v>1771</v>
      </c>
      <c r="P130"/>
      <c r="Q130"/>
    </row>
    <row r="131" spans="2:17" ht="15.5" thickTop="1" thickBot="1" x14ac:dyDescent="0.4">
      <c r="F131" s="101"/>
      <c r="G131" s="101" t="s">
        <v>1770</v>
      </c>
      <c r="H131" s="63" t="s">
        <v>31</v>
      </c>
      <c r="I131" s="102"/>
      <c r="J131" s="252"/>
      <c r="K131" s="3"/>
      <c r="L131" s="100"/>
      <c r="M131" s="34"/>
      <c r="N131" s="17"/>
      <c r="P131"/>
      <c r="Q131"/>
    </row>
    <row r="132" spans="2:17" ht="15.5" thickTop="1" thickBot="1" x14ac:dyDescent="0.4">
      <c r="F132" s="64"/>
      <c r="G132" s="64" t="s">
        <v>32</v>
      </c>
      <c r="H132" s="63" t="s">
        <v>31</v>
      </c>
      <c r="I132" s="99">
        <f>I129+I130+I131</f>
        <v>21.139999999999997</v>
      </c>
      <c r="J132" s="61" t="s">
        <v>1773</v>
      </c>
      <c r="K132" s="3"/>
      <c r="L132" s="3"/>
      <c r="M132" s="3"/>
      <c r="N132" s="17"/>
      <c r="P132"/>
      <c r="Q132"/>
    </row>
    <row r="133" spans="2:17" ht="15" thickTop="1" x14ac:dyDescent="0.35">
      <c r="P133"/>
      <c r="Q133"/>
    </row>
    <row r="134" spans="2:17" x14ac:dyDescent="0.35">
      <c r="B134" s="406"/>
      <c r="C134" s="406"/>
    </row>
    <row r="135" spans="2:17" x14ac:dyDescent="0.35">
      <c r="B135" s="334" t="str">
        <f>CONCATENATE($A$4," at Proposed Demand Rates")</f>
        <v>SC9 Rate I at Proposed Demand Rates</v>
      </c>
      <c r="C135" s="406"/>
      <c r="P135"/>
      <c r="Q135"/>
    </row>
    <row r="136" spans="2:17" ht="15" thickBot="1" x14ac:dyDescent="0.4">
      <c r="B136" s="406"/>
      <c r="C136" s="410" t="s">
        <v>5</v>
      </c>
      <c r="D136" s="1319">
        <f>$L$4</f>
        <v>2020</v>
      </c>
      <c r="E136" s="1319"/>
      <c r="F136" s="1319"/>
      <c r="G136" s="3"/>
      <c r="H136" s="3"/>
      <c r="I136" s="3"/>
      <c r="J136" s="3"/>
      <c r="K136" s="3"/>
      <c r="L136" s="3"/>
      <c r="M136" s="3"/>
      <c r="N136" s="17"/>
      <c r="O136" s="3"/>
      <c r="P136"/>
      <c r="Q136"/>
    </row>
    <row r="137" spans="2:17" ht="15.5" thickTop="1" thickBot="1" x14ac:dyDescent="0.4">
      <c r="B137" s="406"/>
      <c r="C137" s="410"/>
      <c r="D137" s="3"/>
      <c r="E137" s="3"/>
      <c r="F137" s="3"/>
      <c r="G137" s="3"/>
      <c r="H137" s="1307" t="s">
        <v>59</v>
      </c>
      <c r="I137" s="1308"/>
      <c r="J137" s="1309"/>
      <c r="K137" s="3"/>
      <c r="L137" s="3"/>
      <c r="M137" s="3"/>
      <c r="N137" s="3"/>
      <c r="P137"/>
      <c r="Q137"/>
    </row>
    <row r="138" spans="2:17" ht="15" thickTop="1" x14ac:dyDescent="0.35">
      <c r="B138" s="406"/>
      <c r="C138" s="410"/>
      <c r="D138" s="3"/>
      <c r="E138" s="3"/>
      <c r="F138" s="3"/>
      <c r="G138" s="3"/>
      <c r="H138" s="36" t="s">
        <v>10</v>
      </c>
      <c r="I138" s="3"/>
      <c r="J138" s="36" t="s">
        <v>7</v>
      </c>
      <c r="K138" s="3"/>
      <c r="L138" s="3"/>
      <c r="M138" s="3"/>
      <c r="N138" s="3"/>
      <c r="P138"/>
      <c r="Q138"/>
    </row>
    <row r="139" spans="2:17" x14ac:dyDescent="0.35">
      <c r="B139" s="406"/>
      <c r="C139" s="410" t="s">
        <v>9</v>
      </c>
      <c r="D139" s="36">
        <f>D83</f>
        <v>0</v>
      </c>
      <c r="E139" s="36" t="str">
        <f>E83</f>
        <v>-</v>
      </c>
      <c r="F139" s="36">
        <f>F83</f>
        <v>5</v>
      </c>
      <c r="G139" s="3"/>
      <c r="H139" s="35">
        <f>G10</f>
        <v>176.77</v>
      </c>
      <c r="I139" s="61" t="s">
        <v>50</v>
      </c>
      <c r="J139" s="35">
        <f>G12</f>
        <v>141.21</v>
      </c>
      <c r="K139" s="61" t="s">
        <v>48</v>
      </c>
      <c r="L139" s="3"/>
      <c r="M139" s="3"/>
      <c r="N139" s="3"/>
      <c r="P139"/>
      <c r="Q139"/>
    </row>
    <row r="140" spans="2:17" x14ac:dyDescent="0.35">
      <c r="B140" s="406"/>
      <c r="C140" s="410" t="s">
        <v>8</v>
      </c>
      <c r="D140" s="36">
        <f>D139</f>
        <v>0</v>
      </c>
      <c r="E140" s="36" t="str">
        <f>E139</f>
        <v>-</v>
      </c>
      <c r="F140" s="36">
        <f>F139</f>
        <v>5</v>
      </c>
      <c r="G140" s="3"/>
      <c r="H140" s="35">
        <f>G16</f>
        <v>122.81</v>
      </c>
      <c r="I140" s="61" t="s">
        <v>49</v>
      </c>
      <c r="J140" s="35">
        <f>G18</f>
        <v>87.300000000000011</v>
      </c>
      <c r="K140" s="61" t="s">
        <v>47</v>
      </c>
      <c r="L140" s="3"/>
      <c r="M140" s="3"/>
      <c r="N140" s="3"/>
      <c r="P140"/>
      <c r="Q140"/>
    </row>
    <row r="141" spans="2:17" ht="15" thickBot="1" x14ac:dyDescent="0.4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/>
      <c r="Q141"/>
    </row>
    <row r="142" spans="2:17" ht="15" thickBot="1" x14ac:dyDescent="0.4">
      <c r="C142" s="60"/>
      <c r="D142" s="59"/>
      <c r="E142" s="59"/>
      <c r="F142" s="59"/>
      <c r="G142" s="59"/>
      <c r="H142" s="59"/>
      <c r="I142" s="59"/>
      <c r="J142" s="59"/>
      <c r="K142" s="59"/>
      <c r="L142" s="98"/>
      <c r="M142" s="3"/>
      <c r="N142" s="3"/>
      <c r="P142"/>
      <c r="Q142"/>
    </row>
    <row r="143" spans="2:17" ht="15.5" thickTop="1" thickBot="1" x14ac:dyDescent="0.4">
      <c r="C143" s="96"/>
      <c r="D143" s="44"/>
      <c r="E143" s="44"/>
      <c r="F143" s="44"/>
      <c r="G143" s="44"/>
      <c r="H143" s="1313" t="s">
        <v>58</v>
      </c>
      <c r="I143" s="1314"/>
      <c r="J143" s="1315"/>
      <c r="K143" s="44"/>
      <c r="L143" s="94"/>
      <c r="M143" s="1348" t="s">
        <v>57</v>
      </c>
      <c r="N143" s="1349"/>
      <c r="O143" s="1349"/>
      <c r="P143" s="1349"/>
      <c r="Q143"/>
    </row>
    <row r="144" spans="2:17" ht="15" thickTop="1" x14ac:dyDescent="0.35">
      <c r="C144" s="96"/>
      <c r="D144" s="44"/>
      <c r="E144" s="44"/>
      <c r="F144" s="44"/>
      <c r="G144" s="44"/>
      <c r="H144" s="56" t="s">
        <v>10</v>
      </c>
      <c r="I144" s="44"/>
      <c r="J144" s="56" t="s">
        <v>7</v>
      </c>
      <c r="K144" s="44"/>
      <c r="L144" s="94"/>
      <c r="M144" s="36" t="s">
        <v>10</v>
      </c>
      <c r="O144" s="36" t="s">
        <v>7</v>
      </c>
      <c r="P144"/>
      <c r="Q144"/>
    </row>
    <row r="145" spans="1:17" x14ac:dyDescent="0.35">
      <c r="C145" s="96" t="s">
        <v>9</v>
      </c>
      <c r="D145" s="56">
        <f t="shared" ref="D145:F146" si="3">D83</f>
        <v>0</v>
      </c>
      <c r="E145" s="56" t="str">
        <f t="shared" si="3"/>
        <v>-</v>
      </c>
      <c r="F145" s="56">
        <f t="shared" si="3"/>
        <v>5</v>
      </c>
      <c r="G145" s="44"/>
      <c r="H145" s="1124">
        <f>ROUND(H139*(1+$L$14)*(1+$I$39)+$I$40,2)</f>
        <v>189.57</v>
      </c>
      <c r="I145" s="52" t="s">
        <v>2199</v>
      </c>
      <c r="J145" s="1124">
        <f>ROUND(J139*(1+$L$14)*(1+$I$39)+$I$40,2)</f>
        <v>152.77000000000001</v>
      </c>
      <c r="K145" s="52" t="s">
        <v>2200</v>
      </c>
      <c r="L145" s="94"/>
      <c r="M145" s="81">
        <f>ROUND(H145/H83-1,4)</f>
        <v>7.2400000000000006E-2</v>
      </c>
      <c r="O145" s="81">
        <f>ROUND(J145/J83-1,4)</f>
        <v>8.1900000000000001E-2</v>
      </c>
      <c r="P145"/>
      <c r="Q145"/>
    </row>
    <row r="146" spans="1:17" x14ac:dyDescent="0.35">
      <c r="C146" s="96"/>
      <c r="D146" s="56">
        <f t="shared" si="3"/>
        <v>5</v>
      </c>
      <c r="E146" s="56" t="str">
        <f t="shared" si="3"/>
        <v>-</v>
      </c>
      <c r="F146" s="56">
        <f t="shared" si="3"/>
        <v>100</v>
      </c>
      <c r="G146" s="44"/>
      <c r="H146" s="737">
        <f>$I$132+L95</f>
        <v>26.769999999999996</v>
      </c>
      <c r="I146" s="52" t="s">
        <v>1678</v>
      </c>
      <c r="J146" s="737">
        <f>$I$132+N95</f>
        <v>21.139999999999997</v>
      </c>
      <c r="K146" s="52" t="s">
        <v>1681</v>
      </c>
      <c r="L146" s="94"/>
      <c r="M146" s="81">
        <f>ROUND(H146/H84-1,4)</f>
        <v>3.6400000000000002E-2</v>
      </c>
      <c r="O146" s="81">
        <f>ROUND(J146/J84-1,4)</f>
        <v>3.6299999999999999E-2</v>
      </c>
      <c r="P146"/>
      <c r="Q146"/>
    </row>
    <row r="147" spans="1:17" x14ac:dyDescent="0.35">
      <c r="C147" s="96"/>
      <c r="D147" s="44"/>
      <c r="E147" s="56" t="str">
        <f>E85</f>
        <v>&gt;</v>
      </c>
      <c r="F147" s="56">
        <f>F85</f>
        <v>100</v>
      </c>
      <c r="G147" s="44"/>
      <c r="H147" s="737">
        <f>$I$132+L96</f>
        <v>26.769999999999996</v>
      </c>
      <c r="I147" s="52" t="s">
        <v>1678</v>
      </c>
      <c r="J147" s="737">
        <f>$I$132+N96</f>
        <v>21.139999999999997</v>
      </c>
      <c r="K147" s="52" t="s">
        <v>1681</v>
      </c>
      <c r="L147" s="94"/>
      <c r="M147" s="81">
        <f>ROUND(H147/H85-1,4)</f>
        <v>3.6400000000000002E-2</v>
      </c>
      <c r="O147" s="81">
        <f>ROUND(J147/J85-1,4)</f>
        <v>3.6299999999999999E-2</v>
      </c>
      <c r="P147"/>
      <c r="Q147"/>
    </row>
    <row r="148" spans="1:17" ht="14.25" customHeight="1" x14ac:dyDescent="0.35">
      <c r="C148" s="96"/>
      <c r="D148" s="44"/>
      <c r="E148" s="44"/>
      <c r="F148" s="44"/>
      <c r="G148" s="44"/>
      <c r="H148" s="10"/>
      <c r="I148" s="52"/>
      <c r="J148" s="731"/>
      <c r="K148" s="52"/>
      <c r="L148" s="94"/>
      <c r="M148" s="17"/>
      <c r="P148"/>
      <c r="Q148"/>
    </row>
    <row r="149" spans="1:17" x14ac:dyDescent="0.35">
      <c r="C149" s="96" t="s">
        <v>8</v>
      </c>
      <c r="D149" s="56">
        <f t="shared" ref="D149:F150" si="4">D145</f>
        <v>0</v>
      </c>
      <c r="E149" s="56" t="str">
        <f t="shared" si="4"/>
        <v>-</v>
      </c>
      <c r="F149" s="56">
        <f t="shared" si="4"/>
        <v>5</v>
      </c>
      <c r="G149" s="44"/>
      <c r="H149" s="1124">
        <f>ROUND(H140*(1+$L$14)*(1+$I$39)+$I$40,2)</f>
        <v>133.72999999999999</v>
      </c>
      <c r="I149" s="52" t="s">
        <v>2201</v>
      </c>
      <c r="J149" s="1124">
        <f>ROUND(J140*(1+$L$14)*(1+$I$39)+$I$40,2)</f>
        <v>96.98</v>
      </c>
      <c r="K149" s="52" t="s">
        <v>2202</v>
      </c>
      <c r="L149" s="94"/>
      <c r="M149" s="81">
        <f>ROUND(H149/H87-1,4)</f>
        <v>8.8900000000000007E-2</v>
      </c>
      <c r="O149" s="81">
        <f>ROUND(J149/J87-1,4)</f>
        <v>0.1109</v>
      </c>
      <c r="P149"/>
      <c r="Q149"/>
    </row>
    <row r="150" spans="1:17" x14ac:dyDescent="0.35">
      <c r="C150" s="96"/>
      <c r="D150" s="56">
        <f t="shared" si="4"/>
        <v>5</v>
      </c>
      <c r="E150" s="56" t="str">
        <f t="shared" si="4"/>
        <v>-</v>
      </c>
      <c r="F150" s="56">
        <f t="shared" si="4"/>
        <v>100</v>
      </c>
      <c r="G150" s="44"/>
      <c r="H150" s="737">
        <f>$I$132+L99</f>
        <v>18.679999999999996</v>
      </c>
      <c r="I150" s="52" t="s">
        <v>1680</v>
      </c>
      <c r="J150" s="737">
        <f>$I$132+N99</f>
        <v>13.029999999999998</v>
      </c>
      <c r="K150" s="52" t="s">
        <v>1679</v>
      </c>
      <c r="L150" s="94"/>
      <c r="M150" s="81">
        <f>ROUND(H150/H88-1,4)</f>
        <v>3.61E-2</v>
      </c>
      <c r="O150" s="81">
        <f>ROUND(J150/J88-1,4)</f>
        <v>3.5799999999999998E-2</v>
      </c>
      <c r="P150"/>
      <c r="Q150"/>
    </row>
    <row r="151" spans="1:17" x14ac:dyDescent="0.35">
      <c r="C151" s="96"/>
      <c r="D151" s="56"/>
      <c r="E151" s="56" t="str">
        <f>E147</f>
        <v>&gt;</v>
      </c>
      <c r="F151" s="56">
        <f>F147</f>
        <v>100</v>
      </c>
      <c r="G151" s="44"/>
      <c r="H151" s="737">
        <f>$I$132+L100</f>
        <v>18.679999999999996</v>
      </c>
      <c r="I151" s="52" t="s">
        <v>1680</v>
      </c>
      <c r="J151" s="737">
        <f>$I$132+N100</f>
        <v>13.029999999999998</v>
      </c>
      <c r="K151" s="52" t="s">
        <v>1679</v>
      </c>
      <c r="L151" s="94"/>
      <c r="M151" s="81">
        <f>ROUND(H151/H89-1,4)</f>
        <v>3.61E-2</v>
      </c>
      <c r="O151" s="81">
        <f>ROUND(J151/J89-1,4)</f>
        <v>3.5799999999999998E-2</v>
      </c>
      <c r="P151"/>
      <c r="Q151"/>
    </row>
    <row r="152" spans="1:17" ht="15" thickBot="1" x14ac:dyDescent="0.4">
      <c r="C152" s="93"/>
      <c r="D152" s="46"/>
      <c r="E152" s="46"/>
      <c r="F152" s="46"/>
      <c r="G152" s="46"/>
      <c r="H152" s="46"/>
      <c r="I152" s="92"/>
      <c r="J152" s="46"/>
      <c r="K152" s="92"/>
      <c r="L152" s="91"/>
      <c r="M152" s="17"/>
      <c r="P152"/>
      <c r="Q152"/>
    </row>
    <row r="155" spans="1:17" x14ac:dyDescent="0.35">
      <c r="A155" s="334" t="s">
        <v>56</v>
      </c>
      <c r="B155" s="410"/>
      <c r="C155" s="410"/>
      <c r="D155" s="410"/>
      <c r="E155" s="410"/>
      <c r="F155" s="410"/>
      <c r="G155" s="410"/>
      <c r="H155" s="410"/>
      <c r="I155" s="3"/>
      <c r="P155"/>
      <c r="Q155"/>
    </row>
    <row r="156" spans="1:17" x14ac:dyDescent="0.35">
      <c r="A156" s="334"/>
      <c r="B156" s="410"/>
      <c r="C156" s="410"/>
      <c r="D156" s="410"/>
      <c r="E156" s="410"/>
      <c r="F156" s="410"/>
      <c r="G156" s="410"/>
      <c r="H156" s="410"/>
      <c r="I156" s="3"/>
      <c r="P156"/>
      <c r="Q156"/>
    </row>
    <row r="157" spans="1:17" x14ac:dyDescent="0.35">
      <c r="A157" s="334"/>
      <c r="B157" s="334" t="s">
        <v>55</v>
      </c>
      <c r="C157" s="410"/>
      <c r="D157" s="410"/>
      <c r="E157" s="410"/>
      <c r="F157" s="410"/>
      <c r="G157" s="410"/>
      <c r="H157" s="410"/>
      <c r="I157" s="3"/>
      <c r="P157"/>
      <c r="Q157"/>
    </row>
    <row r="158" spans="1:17" x14ac:dyDescent="0.35">
      <c r="A158" s="42"/>
      <c r="B158" s="41" t="str">
        <f>$A$4</f>
        <v>SC9 Rate I</v>
      </c>
      <c r="C158" s="3"/>
      <c r="D158" s="3"/>
      <c r="E158" s="3"/>
      <c r="F158" s="3"/>
      <c r="G158" s="3"/>
      <c r="H158" s="3"/>
      <c r="I158" s="3"/>
      <c r="P158"/>
      <c r="Q158"/>
    </row>
    <row r="159" spans="1:17" x14ac:dyDescent="0.35">
      <c r="A159" s="42"/>
      <c r="B159" s="3" t="s">
        <v>54</v>
      </c>
      <c r="C159" s="3"/>
      <c r="D159" s="3"/>
      <c r="E159" s="3"/>
      <c r="F159" s="3"/>
      <c r="G159" s="3"/>
      <c r="H159" s="3"/>
      <c r="I159" s="520">
        <f>L21</f>
        <v>361013380</v>
      </c>
      <c r="J159" s="61" t="s">
        <v>1690</v>
      </c>
      <c r="L159" s="3"/>
      <c r="P159"/>
      <c r="Q159"/>
    </row>
    <row r="160" spans="1:17" x14ac:dyDescent="0.35">
      <c r="A160" s="42"/>
      <c r="B160" s="3" t="str">
        <f>CONCATENATE("Less: ",$L$5," Energy Revenues to Demand at Current Rates Level")</f>
        <v>Less: Shift of 5% Energy Revenues to Demand at Current Rates Level</v>
      </c>
      <c r="C160" s="3"/>
      <c r="D160" s="3"/>
      <c r="E160" s="3"/>
      <c r="F160" s="3"/>
      <c r="G160" s="3"/>
      <c r="H160" s="3"/>
      <c r="I160" s="520">
        <f>L20</f>
        <v>18050669</v>
      </c>
      <c r="J160" s="61" t="s">
        <v>1691</v>
      </c>
      <c r="L160" s="3"/>
      <c r="P160"/>
      <c r="Q160"/>
    </row>
    <row r="161" spans="1:17" x14ac:dyDescent="0.35">
      <c r="A161" s="42"/>
      <c r="B161" s="3" t="str">
        <f>CONCATENATE("Add: ",B158," Energy Share of Proposed Rate Change")</f>
        <v>Add: SC9 Rate I Energy Share of Proposed Rate Change</v>
      </c>
      <c r="C161" s="3"/>
      <c r="D161" s="3"/>
      <c r="E161" s="3"/>
      <c r="F161" s="3"/>
      <c r="G161" s="3"/>
      <c r="H161" s="3"/>
      <c r="I161" s="520">
        <f>L29</f>
        <v>0</v>
      </c>
      <c r="J161" s="61" t="s">
        <v>1692</v>
      </c>
      <c r="L161" s="3"/>
      <c r="P161"/>
      <c r="Q161"/>
    </row>
    <row r="162" spans="1:17" x14ac:dyDescent="0.35">
      <c r="A162" s="42"/>
      <c r="B162" s="3"/>
      <c r="C162" s="3"/>
      <c r="D162" s="3"/>
      <c r="E162" s="3"/>
      <c r="F162" s="3"/>
      <c r="G162" s="3"/>
      <c r="H162" s="3"/>
      <c r="I162" s="3"/>
      <c r="J162" s="3"/>
      <c r="L162" s="3"/>
      <c r="P162"/>
      <c r="Q162"/>
    </row>
    <row r="163" spans="1:17" x14ac:dyDescent="0.35">
      <c r="A163" s="42"/>
      <c r="B163" s="838" t="s">
        <v>52</v>
      </c>
      <c r="C163" s="3"/>
      <c r="D163" s="3"/>
      <c r="E163" s="3"/>
      <c r="F163" s="3"/>
      <c r="G163" s="3"/>
      <c r="H163" s="3"/>
      <c r="I163" s="32">
        <f>I159-I160+I161</f>
        <v>342962711</v>
      </c>
      <c r="J163" s="61" t="s">
        <v>1693</v>
      </c>
      <c r="L163" s="3"/>
      <c r="P163"/>
      <c r="Q163"/>
    </row>
    <row r="164" spans="1:17" x14ac:dyDescent="0.35">
      <c r="A164" s="42"/>
      <c r="B164" s="3"/>
      <c r="C164" s="3"/>
      <c r="D164" s="3"/>
      <c r="E164" s="3"/>
      <c r="F164" s="3"/>
      <c r="G164" s="3"/>
      <c r="H164" s="3"/>
      <c r="P164"/>
      <c r="Q164"/>
    </row>
    <row r="165" spans="1:17" x14ac:dyDescent="0.35">
      <c r="A165" s="42"/>
      <c r="B165" s="3"/>
      <c r="C165" s="3"/>
      <c r="D165" s="3"/>
      <c r="E165" s="3"/>
      <c r="F165" s="3"/>
      <c r="G165" s="3"/>
      <c r="H165" s="3"/>
      <c r="I165" s="3"/>
      <c r="P165"/>
      <c r="Q165"/>
    </row>
    <row r="166" spans="1:17" ht="15" thickBot="1" x14ac:dyDescent="0.4">
      <c r="H166" s="2" t="s">
        <v>152</v>
      </c>
      <c r="I166" s="1"/>
      <c r="P166"/>
      <c r="Q166"/>
    </row>
    <row r="167" spans="1:17" ht="15.5" thickTop="1" thickBot="1" x14ac:dyDescent="0.4">
      <c r="B167" s="41" t="str">
        <f>$A$4</f>
        <v>SC9 Rate I</v>
      </c>
      <c r="H167" s="1307" t="s">
        <v>51</v>
      </c>
      <c r="I167" s="1308"/>
      <c r="J167" s="1309"/>
      <c r="K167" s="3"/>
      <c r="L167" s="1310" t="s">
        <v>1955</v>
      </c>
      <c r="M167" s="1311"/>
      <c r="N167" s="1312"/>
      <c r="P167"/>
      <c r="Q167"/>
    </row>
    <row r="168" spans="1:17" ht="15" thickTop="1" x14ac:dyDescent="0.35">
      <c r="B168" s="3"/>
      <c r="H168" s="36" t="s">
        <v>10</v>
      </c>
      <c r="I168" s="3"/>
      <c r="J168" s="36" t="s">
        <v>7</v>
      </c>
      <c r="K168" s="3"/>
      <c r="L168" s="30" t="s">
        <v>42</v>
      </c>
      <c r="M168" s="86"/>
      <c r="N168" s="30" t="s">
        <v>40</v>
      </c>
      <c r="P168"/>
      <c r="Q168"/>
    </row>
    <row r="169" spans="1:17" x14ac:dyDescent="0.35">
      <c r="C169" s="3" t="s">
        <v>9</v>
      </c>
      <c r="D169" s="36">
        <f>Q6</f>
        <v>0</v>
      </c>
      <c r="E169" s="123" t="s">
        <v>143</v>
      </c>
      <c r="F169" s="938">
        <v>15000</v>
      </c>
      <c r="H169" s="223">
        <f>G8</f>
        <v>2.1000000000000001E-2</v>
      </c>
      <c r="I169" s="3"/>
      <c r="J169" s="223">
        <f>G9</f>
        <v>2.1000000000000001E-2</v>
      </c>
      <c r="K169" s="3"/>
      <c r="L169" s="930">
        <f>ROUND(H169/$J$170,2)</f>
        <v>1</v>
      </c>
      <c r="M169" s="86"/>
      <c r="N169" s="930">
        <f>ROUND(J169/$J$170,2)</f>
        <v>1</v>
      </c>
      <c r="P169"/>
      <c r="Q169"/>
    </row>
    <row r="170" spans="1:17" x14ac:dyDescent="0.35">
      <c r="C170" s="3"/>
      <c r="D170" s="36"/>
      <c r="E170" s="123" t="s">
        <v>141</v>
      </c>
      <c r="F170" s="28">
        <f>F169</f>
        <v>15000</v>
      </c>
      <c r="H170" s="223">
        <f>G8</f>
        <v>2.1000000000000001E-2</v>
      </c>
      <c r="I170" s="61" t="s">
        <v>1694</v>
      </c>
      <c r="J170" s="223">
        <f>G9</f>
        <v>2.1000000000000001E-2</v>
      </c>
      <c r="K170" s="61" t="s">
        <v>1696</v>
      </c>
      <c r="L170" s="930">
        <f>ROUND(H170/$J$170,2)</f>
        <v>1</v>
      </c>
      <c r="M170" s="61" t="s">
        <v>2158</v>
      </c>
      <c r="N170" s="944"/>
      <c r="O170" s="61" t="s">
        <v>2094</v>
      </c>
      <c r="P170"/>
      <c r="Q170"/>
    </row>
    <row r="171" spans="1:17" x14ac:dyDescent="0.35">
      <c r="C171" s="3"/>
      <c r="D171" s="3"/>
      <c r="E171" s="3"/>
      <c r="F171" s="3"/>
      <c r="H171" s="2"/>
      <c r="I171" s="362"/>
      <c r="J171" s="2"/>
      <c r="K171" s="61"/>
      <c r="L171" s="931"/>
      <c r="M171" s="61"/>
      <c r="N171" s="931"/>
      <c r="O171" s="61"/>
      <c r="P171"/>
      <c r="Q171"/>
    </row>
    <row r="172" spans="1:17" x14ac:dyDescent="0.35">
      <c r="C172" s="3" t="s">
        <v>8</v>
      </c>
      <c r="D172" s="36">
        <f>D$169</f>
        <v>0</v>
      </c>
      <c r="E172" s="36" t="str">
        <f>E$169</f>
        <v>-</v>
      </c>
      <c r="F172" s="183">
        <f>F$169</f>
        <v>15000</v>
      </c>
      <c r="H172" s="223">
        <f>G14</f>
        <v>1.95E-2</v>
      </c>
      <c r="I172" s="2"/>
      <c r="J172" s="223">
        <f>G15</f>
        <v>1.95E-2</v>
      </c>
      <c r="K172" s="3"/>
      <c r="L172" s="930">
        <f>ROUND(H172/$J$170,2)</f>
        <v>0.93</v>
      </c>
      <c r="N172" s="930">
        <f>ROUND(J172/$J$170,2)</f>
        <v>0.93</v>
      </c>
      <c r="O172" s="3"/>
      <c r="P172"/>
      <c r="Q172"/>
    </row>
    <row r="173" spans="1:17" x14ac:dyDescent="0.35">
      <c r="C173" s="3"/>
      <c r="D173" s="36"/>
      <c r="E173" s="123" t="s">
        <v>141</v>
      </c>
      <c r="F173" s="28">
        <f>F172</f>
        <v>15000</v>
      </c>
      <c r="H173" s="223">
        <f>G14</f>
        <v>1.95E-2</v>
      </c>
      <c r="I173" s="61" t="s">
        <v>1695</v>
      </c>
      <c r="J173" s="223">
        <f>G15</f>
        <v>1.95E-2</v>
      </c>
      <c r="K173" s="61" t="s">
        <v>1697</v>
      </c>
      <c r="L173" s="930">
        <f>ROUND(H173/$J$170,2)</f>
        <v>0.93</v>
      </c>
      <c r="M173" s="61" t="s">
        <v>2159</v>
      </c>
      <c r="N173" s="930">
        <f>ROUND(J173/$J$170,2)</f>
        <v>0.93</v>
      </c>
      <c r="O173" s="61" t="s">
        <v>2160</v>
      </c>
      <c r="P173"/>
      <c r="Q173"/>
    </row>
    <row r="174" spans="1:17" x14ac:dyDescent="0.35">
      <c r="C174" s="3"/>
      <c r="D174" s="3"/>
      <c r="E174" s="3"/>
      <c r="F174" s="3"/>
      <c r="H174" s="3"/>
      <c r="I174" s="3"/>
      <c r="J174" s="3"/>
      <c r="K174" s="362"/>
      <c r="L174" s="949"/>
      <c r="M174" s="949"/>
      <c r="N174" s="949"/>
      <c r="P174"/>
      <c r="Q174"/>
    </row>
    <row r="175" spans="1:17" x14ac:dyDescent="0.35">
      <c r="C175" s="3" t="s">
        <v>9</v>
      </c>
      <c r="D175" s="36">
        <f>D$169</f>
        <v>0</v>
      </c>
      <c r="E175" s="36" t="str">
        <f>E$169</f>
        <v>-</v>
      </c>
      <c r="F175" s="183">
        <f>F$169</f>
        <v>15000</v>
      </c>
      <c r="H175" s="36" t="str">
        <f>IF(L169=1,$J$176,CONCATENATE(L169," * ",$J$176))</f>
        <v>X</v>
      </c>
      <c r="I175" s="3"/>
      <c r="J175" s="36" t="str">
        <f>IF(N169=1,$J$176,CONCATENATE(N169," * ",$J$176))</f>
        <v>X</v>
      </c>
      <c r="K175" s="3"/>
      <c r="L175" s="3"/>
      <c r="M175" s="17"/>
      <c r="N175" s="3"/>
      <c r="P175"/>
      <c r="Q175"/>
    </row>
    <row r="176" spans="1:17" x14ac:dyDescent="0.35">
      <c r="C176" s="3"/>
      <c r="D176" s="36"/>
      <c r="E176" s="123" t="s">
        <v>141</v>
      </c>
      <c r="F176" s="28">
        <f>F175</f>
        <v>15000</v>
      </c>
      <c r="H176" s="36" t="str">
        <f>IF(L170=1,$J$176,CONCATENATE(L170," * ",$J$176))</f>
        <v>X</v>
      </c>
      <c r="I176" s="3"/>
      <c r="J176" s="80" t="s">
        <v>32</v>
      </c>
      <c r="K176" s="3"/>
      <c r="L176" s="3"/>
      <c r="M176" s="17"/>
      <c r="N176" s="3"/>
      <c r="P176"/>
      <c r="Q176"/>
    </row>
    <row r="177" spans="1:17" x14ac:dyDescent="0.35"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P177"/>
      <c r="Q177"/>
    </row>
    <row r="178" spans="1:17" x14ac:dyDescent="0.35">
      <c r="C178" s="3" t="s">
        <v>8</v>
      </c>
      <c r="D178" s="36">
        <f>D$169</f>
        <v>0</v>
      </c>
      <c r="E178" s="36" t="str">
        <f>E$169</f>
        <v>-</v>
      </c>
      <c r="F178" s="183">
        <f>F$169</f>
        <v>15000</v>
      </c>
      <c r="H178" s="36" t="str">
        <f>IF(L172=1,$J$176,CONCATENATE(L172," * ",$J$176))</f>
        <v>0.93 * X</v>
      </c>
      <c r="I178" s="3"/>
      <c r="J178" s="36" t="str">
        <f>IF(N172=1,$J$176,CONCATENATE(N172," * ",$J$176))</f>
        <v>0.93 * X</v>
      </c>
      <c r="K178" s="3"/>
      <c r="L178" s="3"/>
      <c r="M178" s="17"/>
      <c r="N178" s="3"/>
      <c r="P178"/>
      <c r="Q178"/>
    </row>
    <row r="179" spans="1:17" x14ac:dyDescent="0.35">
      <c r="D179" s="36"/>
      <c r="E179" s="123" t="s">
        <v>141</v>
      </c>
      <c r="F179" s="28">
        <f>F178</f>
        <v>15000</v>
      </c>
      <c r="H179" s="36" t="str">
        <f>IF(L173=1,$J$176,CONCATENATE(L173," * ",$J$176))</f>
        <v>0.93 * X</v>
      </c>
      <c r="I179" s="3"/>
      <c r="J179" s="36" t="str">
        <f>IF(N173=1,$J$176,CONCATENATE(N173," * ",$J$176))</f>
        <v>0.93 * X</v>
      </c>
      <c r="K179" s="3"/>
      <c r="L179" s="3"/>
      <c r="M179" s="17"/>
      <c r="N179" s="3"/>
      <c r="P179"/>
      <c r="Q179"/>
    </row>
    <row r="180" spans="1:17" x14ac:dyDescent="0.35">
      <c r="H180" s="3"/>
      <c r="I180" s="3"/>
      <c r="J180" s="3"/>
      <c r="K180" s="3"/>
      <c r="L180" s="3"/>
      <c r="M180" s="3"/>
      <c r="N180" s="3"/>
      <c r="P180"/>
      <c r="Q180"/>
    </row>
    <row r="181" spans="1:17" x14ac:dyDescent="0.35">
      <c r="H181" s="3"/>
      <c r="I181" s="3"/>
      <c r="J181" s="3"/>
      <c r="K181" s="3"/>
      <c r="L181" s="3"/>
      <c r="M181" s="3"/>
      <c r="N181" s="3"/>
      <c r="P181"/>
      <c r="Q181"/>
    </row>
    <row r="182" spans="1:17" x14ac:dyDescent="0.35">
      <c r="B182" s="334" t="s">
        <v>46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/>
      <c r="Q182"/>
    </row>
    <row r="183" spans="1:17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/>
      <c r="Q183"/>
    </row>
    <row r="184" spans="1:17" ht="15" thickBot="1" x14ac:dyDescent="0.4">
      <c r="B184" s="3"/>
      <c r="C184" s="75"/>
      <c r="E184" s="70" t="s">
        <v>45</v>
      </c>
      <c r="F184" s="70"/>
      <c r="G184" s="70"/>
      <c r="H184" s="3"/>
      <c r="I184" s="69" t="s">
        <v>44</v>
      </c>
      <c r="J184" s="3"/>
      <c r="K184" s="3"/>
      <c r="L184" s="3"/>
      <c r="P184"/>
      <c r="Q184"/>
    </row>
    <row r="185" spans="1:17" x14ac:dyDescent="0.35">
      <c r="B185" s="3"/>
      <c r="C185" s="3"/>
      <c r="E185" s="3" t="s">
        <v>43</v>
      </c>
      <c r="F185" s="3"/>
      <c r="G185" s="3"/>
      <c r="H185" s="3" t="s">
        <v>42</v>
      </c>
      <c r="I185" s="72">
        <f>$V$6</f>
        <v>5967559052</v>
      </c>
      <c r="J185" s="36" t="s">
        <v>39</v>
      </c>
      <c r="K185" s="74" t="str">
        <f>CONCATENATE("[",$H$175,"]")</f>
        <v>[X]</v>
      </c>
      <c r="L185" s="61" t="s">
        <v>1707</v>
      </c>
      <c r="P185"/>
      <c r="Q185"/>
    </row>
    <row r="186" spans="1:17" x14ac:dyDescent="0.35">
      <c r="B186" s="3"/>
      <c r="C186" s="3"/>
      <c r="E186" s="3" t="s">
        <v>43</v>
      </c>
      <c r="F186" s="3"/>
      <c r="G186" s="3"/>
      <c r="H186" s="3" t="s">
        <v>40</v>
      </c>
      <c r="I186" s="72">
        <f>$V$11</f>
        <v>10316378373</v>
      </c>
      <c r="J186" s="36" t="s">
        <v>39</v>
      </c>
      <c r="K186" s="73" t="str">
        <f>CONCATENATE("[",$J$175,"]")</f>
        <v>[X]</v>
      </c>
      <c r="L186" s="61" t="s">
        <v>1707</v>
      </c>
      <c r="P186"/>
      <c r="Q186"/>
    </row>
    <row r="187" spans="1:17" x14ac:dyDescent="0.35">
      <c r="B187" s="3"/>
      <c r="C187" s="3"/>
      <c r="E187" s="3" t="s">
        <v>41</v>
      </c>
      <c r="F187" s="3"/>
      <c r="G187" s="3"/>
      <c r="H187" s="3" t="s">
        <v>42</v>
      </c>
      <c r="I187" s="72">
        <f>$V$16</f>
        <v>18575845</v>
      </c>
      <c r="J187" s="36" t="s">
        <v>39</v>
      </c>
      <c r="K187" s="73" t="str">
        <f>CONCATENATE("[",H178,"]")</f>
        <v>[0.93 * X]</v>
      </c>
      <c r="L187" s="61" t="s">
        <v>1707</v>
      </c>
      <c r="P187"/>
      <c r="Q187"/>
    </row>
    <row r="188" spans="1:17" ht="15" thickBot="1" x14ac:dyDescent="0.4">
      <c r="B188" s="3"/>
      <c r="C188" s="3"/>
      <c r="E188" s="3" t="s">
        <v>41</v>
      </c>
      <c r="F188" s="3"/>
      <c r="G188" s="3"/>
      <c r="H188" s="3" t="s">
        <v>40</v>
      </c>
      <c r="I188" s="67">
        <f>$V$21</f>
        <v>36684491</v>
      </c>
      <c r="J188" s="36" t="s">
        <v>39</v>
      </c>
      <c r="K188" s="71" t="str">
        <f>CONCATENATE("[",J178,"]")</f>
        <v>[0.93 * X]</v>
      </c>
      <c r="L188" s="61" t="s">
        <v>1707</v>
      </c>
      <c r="P188"/>
      <c r="Q188"/>
    </row>
    <row r="189" spans="1:17" x14ac:dyDescent="0.35">
      <c r="I189" s="28">
        <f>SUM(I185:I188)</f>
        <v>16339197761</v>
      </c>
      <c r="J189" s="61" t="s">
        <v>2161</v>
      </c>
    </row>
    <row r="191" spans="1:17" x14ac:dyDescent="0.35">
      <c r="A191" s="42"/>
      <c r="B191" s="70" t="s">
        <v>472</v>
      </c>
      <c r="C191" s="3"/>
      <c r="D191" s="3"/>
      <c r="E191" s="3"/>
      <c r="F191" s="3"/>
      <c r="G191" s="3"/>
      <c r="H191" s="3"/>
      <c r="P191"/>
      <c r="Q191"/>
    </row>
    <row r="192" spans="1:17" x14ac:dyDescent="0.35">
      <c r="A192" s="42"/>
      <c r="B192" s="1225" t="str">
        <f>$A$4</f>
        <v>SC9 Rate I</v>
      </c>
      <c r="C192" s="2"/>
      <c r="D192" s="3"/>
      <c r="E192" s="3"/>
      <c r="F192" s="3"/>
      <c r="G192" s="3"/>
      <c r="I192" s="69" t="s">
        <v>44</v>
      </c>
      <c r="P192"/>
      <c r="Q192"/>
    </row>
    <row r="193" spans="1:17" x14ac:dyDescent="0.35">
      <c r="A193" s="42"/>
      <c r="B193" s="2" t="s">
        <v>2152</v>
      </c>
      <c r="C193" s="2"/>
      <c r="D193" s="3"/>
      <c r="E193" s="3"/>
      <c r="F193" s="3"/>
      <c r="G193" s="3"/>
      <c r="H193" s="1"/>
      <c r="I193" s="68">
        <f>I185*L169</f>
        <v>5967559052</v>
      </c>
      <c r="J193" s="905" t="s">
        <v>32</v>
      </c>
      <c r="K193" s="61" t="s">
        <v>1707</v>
      </c>
      <c r="P193"/>
      <c r="Q193"/>
    </row>
    <row r="194" spans="1:17" x14ac:dyDescent="0.35">
      <c r="A194" s="42"/>
      <c r="B194" s="2" t="s">
        <v>2153</v>
      </c>
      <c r="C194" s="2"/>
      <c r="D194" s="3"/>
      <c r="E194" s="3"/>
      <c r="F194" s="3"/>
      <c r="G194" s="3"/>
      <c r="H194" s="1"/>
      <c r="I194" s="68">
        <f>I186*N169</f>
        <v>10316378373</v>
      </c>
      <c r="J194" s="905" t="s">
        <v>32</v>
      </c>
      <c r="K194" s="61" t="s">
        <v>1707</v>
      </c>
      <c r="P194"/>
      <c r="Q194"/>
    </row>
    <row r="195" spans="1:17" x14ac:dyDescent="0.35">
      <c r="A195" s="42"/>
      <c r="B195" s="2" t="s">
        <v>2154</v>
      </c>
      <c r="C195" s="2"/>
      <c r="D195" s="3"/>
      <c r="E195" s="3"/>
      <c r="F195" s="3"/>
      <c r="G195" s="3"/>
      <c r="H195" s="1"/>
      <c r="I195" s="68">
        <f>I187*L172</f>
        <v>17275535.850000001</v>
      </c>
      <c r="J195" s="905" t="s">
        <v>32</v>
      </c>
      <c r="K195" s="61" t="s">
        <v>1707</v>
      </c>
      <c r="P195"/>
      <c r="Q195"/>
    </row>
    <row r="196" spans="1:17" x14ac:dyDescent="0.35">
      <c r="A196" s="42"/>
      <c r="B196" s="2" t="s">
        <v>2155</v>
      </c>
      <c r="C196" s="2"/>
      <c r="D196" s="3"/>
      <c r="E196" s="3"/>
      <c r="F196" s="3"/>
      <c r="G196" s="3"/>
      <c r="H196" s="1"/>
      <c r="I196" s="67">
        <f>I188*N172</f>
        <v>34116576.630000003</v>
      </c>
      <c r="J196" s="905" t="s">
        <v>32</v>
      </c>
      <c r="K196" s="61" t="s">
        <v>1707</v>
      </c>
      <c r="P196"/>
      <c r="Q196"/>
    </row>
    <row r="197" spans="1:17" x14ac:dyDescent="0.35">
      <c r="A197" s="42"/>
      <c r="B197" s="2" t="s">
        <v>2156</v>
      </c>
      <c r="C197" s="2"/>
      <c r="D197" s="3"/>
      <c r="E197" s="3"/>
      <c r="G197" s="66">
        <f>I163</f>
        <v>342962711</v>
      </c>
      <c r="H197" s="1227" t="s">
        <v>31</v>
      </c>
      <c r="I197" s="220">
        <f>SUM(I193:I196)</f>
        <v>16335329537.48</v>
      </c>
      <c r="J197" s="905" t="s">
        <v>32</v>
      </c>
      <c r="K197" s="61" t="s">
        <v>1709</v>
      </c>
      <c r="P197"/>
      <c r="Q197"/>
    </row>
    <row r="198" spans="1:17" x14ac:dyDescent="0.35">
      <c r="A198" s="42"/>
      <c r="B198" s="3"/>
      <c r="C198" s="3"/>
      <c r="D198" s="3"/>
      <c r="E198" s="3"/>
      <c r="G198" s="3"/>
      <c r="H198" s="3"/>
      <c r="I198" s="3"/>
      <c r="J198" s="3"/>
      <c r="K198" s="61"/>
      <c r="P198"/>
      <c r="Q198"/>
    </row>
    <row r="199" spans="1:17" x14ac:dyDescent="0.35">
      <c r="A199" s="42"/>
      <c r="B199" s="3"/>
      <c r="C199" s="3"/>
      <c r="D199" s="3"/>
      <c r="E199" s="3"/>
      <c r="G199" s="34">
        <f>G197</f>
        <v>342962711</v>
      </c>
      <c r="H199" s="63" t="s">
        <v>31</v>
      </c>
      <c r="I199" s="28">
        <f>I197</f>
        <v>16335329537.48</v>
      </c>
      <c r="J199" s="65" t="s">
        <v>32</v>
      </c>
      <c r="K199" s="61" t="s">
        <v>2162</v>
      </c>
      <c r="P199"/>
      <c r="Q199"/>
    </row>
    <row r="200" spans="1:17" ht="15" thickBot="1" x14ac:dyDescent="0.4">
      <c r="A200" s="42"/>
      <c r="B200" s="3"/>
      <c r="C200" s="3"/>
      <c r="D200" s="3"/>
      <c r="E200" s="3"/>
      <c r="G200" s="3"/>
      <c r="H200" s="3"/>
      <c r="I200" s="3"/>
      <c r="P200"/>
      <c r="Q200"/>
    </row>
    <row r="201" spans="1:17" ht="15.5" thickTop="1" thickBot="1" x14ac:dyDescent="0.4">
      <c r="A201" s="42"/>
      <c r="B201" s="3"/>
      <c r="C201" s="3"/>
      <c r="D201" s="3"/>
      <c r="E201" s="3"/>
      <c r="G201" s="64" t="s">
        <v>32</v>
      </c>
      <c r="H201" s="63" t="s">
        <v>31</v>
      </c>
      <c r="I201" s="62">
        <f>ROUND(G199/I199,4)</f>
        <v>2.1000000000000001E-2</v>
      </c>
      <c r="J201" s="61" t="s">
        <v>2164</v>
      </c>
      <c r="K201" s="61" t="s">
        <v>2163</v>
      </c>
      <c r="P201"/>
      <c r="Q201"/>
    </row>
    <row r="202" spans="1:17" ht="15.5" thickTop="1" thickBot="1" x14ac:dyDescent="0.4">
      <c r="A202" s="42"/>
      <c r="B202" s="3"/>
      <c r="C202" s="3"/>
      <c r="D202" s="3"/>
      <c r="E202" s="3"/>
      <c r="F202" s="3"/>
      <c r="G202" s="3"/>
      <c r="H202" s="3"/>
      <c r="I202" s="3"/>
      <c r="P202"/>
      <c r="Q202"/>
    </row>
    <row r="203" spans="1:17" ht="15" thickBot="1" x14ac:dyDescent="0.4">
      <c r="A203" s="42"/>
      <c r="B203" s="3"/>
      <c r="C203" s="3"/>
      <c r="D203" s="3"/>
      <c r="E203" s="3"/>
      <c r="F203" s="60"/>
      <c r="G203" s="59"/>
      <c r="H203" s="59"/>
      <c r="I203" s="59"/>
      <c r="J203" s="58"/>
      <c r="K203" s="58"/>
      <c r="L203" s="57"/>
      <c r="P203"/>
      <c r="Q203"/>
    </row>
    <row r="204" spans="1:17" ht="15.5" thickTop="1" thickBot="1" x14ac:dyDescent="0.4">
      <c r="F204" s="50"/>
      <c r="G204" s="44"/>
      <c r="H204" s="44"/>
      <c r="I204" s="1313" t="s">
        <v>29</v>
      </c>
      <c r="J204" s="1314"/>
      <c r="K204" s="1315"/>
      <c r="L204" s="48"/>
      <c r="P204"/>
      <c r="Q204"/>
    </row>
    <row r="205" spans="1:17" ht="15" thickTop="1" x14ac:dyDescent="0.35">
      <c r="F205" s="50"/>
      <c r="G205" s="44"/>
      <c r="H205" s="44"/>
      <c r="I205" s="56" t="s">
        <v>10</v>
      </c>
      <c r="J205" s="44"/>
      <c r="K205" s="56" t="s">
        <v>7</v>
      </c>
      <c r="L205" s="48"/>
      <c r="P205"/>
      <c r="Q205"/>
    </row>
    <row r="206" spans="1:17" x14ac:dyDescent="0.35">
      <c r="F206" s="50"/>
      <c r="G206" s="44" t="s">
        <v>9</v>
      </c>
      <c r="H206" s="44"/>
      <c r="I206" s="49">
        <f>ROUND($I$201*L169,4)</f>
        <v>2.1000000000000001E-2</v>
      </c>
      <c r="J206" s="52"/>
      <c r="K206" s="49">
        <f>ROUND($I$201*N169,4)</f>
        <v>2.1000000000000001E-2</v>
      </c>
      <c r="L206" s="48"/>
      <c r="P206"/>
      <c r="Q206"/>
    </row>
    <row r="207" spans="1:17" x14ac:dyDescent="0.35">
      <c r="F207" s="50"/>
      <c r="G207" s="44"/>
      <c r="H207" s="44"/>
      <c r="I207" s="49">
        <f>ROUND($I$201*L170,4)</f>
        <v>2.1000000000000001E-2</v>
      </c>
      <c r="J207" s="54" t="s">
        <v>2165</v>
      </c>
      <c r="K207" s="55">
        <f>I201</f>
        <v>2.1000000000000001E-2</v>
      </c>
      <c r="L207" s="359" t="s">
        <v>2166</v>
      </c>
      <c r="P207"/>
      <c r="Q207"/>
    </row>
    <row r="208" spans="1:17" x14ac:dyDescent="0.35">
      <c r="F208" s="50"/>
      <c r="G208" s="44"/>
      <c r="H208" s="44"/>
      <c r="I208" s="53"/>
      <c r="J208" s="54"/>
      <c r="K208" s="53"/>
      <c r="L208" s="359"/>
      <c r="P208"/>
      <c r="Q208"/>
    </row>
    <row r="209" spans="1:17" x14ac:dyDescent="0.35">
      <c r="F209" s="50"/>
      <c r="G209" s="44" t="s">
        <v>8</v>
      </c>
      <c r="H209" s="44"/>
      <c r="I209" s="49">
        <f>ROUND($I$201*L172,4)</f>
        <v>1.95E-2</v>
      </c>
      <c r="J209" s="52"/>
      <c r="K209" s="49">
        <f>ROUND($I$201*N172,4)</f>
        <v>1.95E-2</v>
      </c>
      <c r="L209" s="359"/>
      <c r="P209"/>
      <c r="Q209"/>
    </row>
    <row r="210" spans="1:17" x14ac:dyDescent="0.35">
      <c r="F210" s="50"/>
      <c r="G210" s="44"/>
      <c r="H210" s="44"/>
      <c r="I210" s="49">
        <f>ROUND($I$201*L173,4)</f>
        <v>1.95E-2</v>
      </c>
      <c r="J210" s="54" t="s">
        <v>2167</v>
      </c>
      <c r="K210" s="49">
        <f>ROUND($I$201*N173,4)</f>
        <v>1.95E-2</v>
      </c>
      <c r="L210" s="359" t="s">
        <v>2168</v>
      </c>
      <c r="P210"/>
      <c r="Q210"/>
    </row>
    <row r="211" spans="1:17" ht="15" thickBot="1" x14ac:dyDescent="0.4">
      <c r="F211" s="47"/>
      <c r="G211" s="46"/>
      <c r="H211" s="46"/>
      <c r="I211" s="46"/>
      <c r="J211" s="46"/>
      <c r="K211" s="46"/>
      <c r="L211" s="45"/>
    </row>
    <row r="212" spans="1:17" x14ac:dyDescent="0.35">
      <c r="F212" s="43"/>
      <c r="G212" s="44"/>
      <c r="H212" s="44"/>
      <c r="I212" s="44"/>
      <c r="J212" s="44"/>
      <c r="K212" s="44"/>
      <c r="L212" s="43"/>
    </row>
    <row r="213" spans="1:17" x14ac:dyDescent="0.35">
      <c r="A213" s="334" t="s">
        <v>28</v>
      </c>
    </row>
    <row r="214" spans="1:17" x14ac:dyDescent="0.35">
      <c r="A214" s="42"/>
    </row>
    <row r="215" spans="1:17" x14ac:dyDescent="0.35">
      <c r="A215" s="42"/>
      <c r="B215" s="41" t="str">
        <f>$A$4</f>
        <v>SC9 Rate I</v>
      </c>
    </row>
    <row r="216" spans="1:17" x14ac:dyDescent="0.35">
      <c r="A216" s="3"/>
      <c r="B216" s="407" t="s">
        <v>5</v>
      </c>
      <c r="D216" s="1304">
        <f>L4</f>
        <v>2020</v>
      </c>
      <c r="E216" s="1304"/>
      <c r="F216" s="3"/>
      <c r="G216" s="3"/>
      <c r="H216" s="3"/>
      <c r="I216" s="3"/>
      <c r="J216" s="3"/>
      <c r="K216" s="3"/>
      <c r="L216" s="3"/>
      <c r="M216" s="17"/>
      <c r="N216" s="3"/>
      <c r="O216" s="3"/>
      <c r="P216" s="2"/>
    </row>
    <row r="217" spans="1:17" x14ac:dyDescent="0.35">
      <c r="A217" s="3"/>
      <c r="B217" s="3"/>
      <c r="C217" s="3"/>
      <c r="D217" s="3"/>
      <c r="E217" s="3"/>
      <c r="F217" s="3"/>
      <c r="G217" s="3"/>
      <c r="H217" s="3"/>
      <c r="I217" s="3"/>
      <c r="K217" s="3"/>
      <c r="L217" s="3"/>
      <c r="M217" s="36" t="s">
        <v>10</v>
      </c>
      <c r="N217" s="3"/>
      <c r="O217" s="3"/>
      <c r="P217" s="2"/>
    </row>
    <row r="218" spans="1:17" x14ac:dyDescent="0.35">
      <c r="A218" s="3"/>
      <c r="B218" s="3"/>
      <c r="C218" s="3"/>
      <c r="D218" s="3"/>
      <c r="E218" s="3"/>
      <c r="F218" s="3"/>
      <c r="G218" s="3"/>
      <c r="H218" s="3"/>
      <c r="I218" s="3"/>
      <c r="K218" s="30" t="s">
        <v>15</v>
      </c>
      <c r="L218" s="3"/>
      <c r="M218" s="30" t="s">
        <v>14</v>
      </c>
      <c r="N218" s="3"/>
      <c r="O218" s="3"/>
      <c r="P218" s="2"/>
    </row>
    <row r="219" spans="1:17" x14ac:dyDescent="0.35">
      <c r="C219" s="835" t="s">
        <v>27</v>
      </c>
      <c r="D219" s="3"/>
      <c r="E219" s="3"/>
      <c r="F219" s="3"/>
      <c r="G219" s="30" t="s">
        <v>26</v>
      </c>
      <c r="H219" s="3"/>
      <c r="I219" s="30" t="s">
        <v>25</v>
      </c>
      <c r="J219" s="3"/>
      <c r="K219" s="30" t="s">
        <v>11</v>
      </c>
      <c r="L219" s="3"/>
      <c r="M219" s="30" t="s">
        <v>6</v>
      </c>
      <c r="N219" s="3"/>
      <c r="O219" s="3"/>
      <c r="P219" s="2"/>
      <c r="Q219" s="2"/>
    </row>
    <row r="220" spans="1:17" x14ac:dyDescent="0.35">
      <c r="B220" s="3"/>
      <c r="C220" s="3" t="s">
        <v>9</v>
      </c>
      <c r="D220" s="36">
        <f t="shared" ref="D220:F221" si="5">D83</f>
        <v>0</v>
      </c>
      <c r="E220" s="36" t="str">
        <f t="shared" si="5"/>
        <v>-</v>
      </c>
      <c r="F220" s="36">
        <f t="shared" si="5"/>
        <v>5</v>
      </c>
      <c r="G220" s="224">
        <f>T6</f>
        <v>24283.037279249718</v>
      </c>
      <c r="H220" s="2"/>
      <c r="I220" s="224">
        <f>U6</f>
        <v>2575135</v>
      </c>
      <c r="J220" s="3"/>
      <c r="K220" s="228">
        <f>H145</f>
        <v>189.57</v>
      </c>
      <c r="L220" s="2"/>
      <c r="M220" s="278">
        <f>ROUND(K220*(I220/F220),0)</f>
        <v>97633668</v>
      </c>
      <c r="N220" s="3"/>
      <c r="O220" s="3"/>
      <c r="P220" s="2"/>
      <c r="Q220" s="2"/>
    </row>
    <row r="221" spans="1:17" x14ac:dyDescent="0.35">
      <c r="B221" s="3"/>
      <c r="C221" s="3"/>
      <c r="D221" s="36">
        <f t="shared" si="5"/>
        <v>5</v>
      </c>
      <c r="E221" s="36" t="str">
        <f t="shared" si="5"/>
        <v>-</v>
      </c>
      <c r="F221" s="36">
        <f t="shared" si="5"/>
        <v>100</v>
      </c>
      <c r="G221" s="224">
        <f>T7</f>
        <v>463127.78306230035</v>
      </c>
      <c r="H221" s="2"/>
      <c r="I221" s="224">
        <f>U7</f>
        <v>10355085</v>
      </c>
      <c r="J221" s="3"/>
      <c r="K221" s="228">
        <f>H146</f>
        <v>26.769999999999996</v>
      </c>
      <c r="L221" s="2"/>
      <c r="M221" s="278">
        <f>ROUND(K221*I221,0)</f>
        <v>277205625</v>
      </c>
      <c r="N221" s="3"/>
      <c r="O221" s="3"/>
      <c r="P221" s="2"/>
      <c r="Q221" s="2"/>
    </row>
    <row r="222" spans="1:17" x14ac:dyDescent="0.35">
      <c r="B222" s="3"/>
      <c r="C222" s="3"/>
      <c r="D222" s="36"/>
      <c r="E222" s="36" t="str">
        <f>E85</f>
        <v>&gt;</v>
      </c>
      <c r="F222" s="36">
        <f>F85</f>
        <v>100</v>
      </c>
      <c r="G222" s="225">
        <f>T8</f>
        <v>27616.179658449917</v>
      </c>
      <c r="H222" s="2"/>
      <c r="I222" s="225">
        <f>U8</f>
        <v>4265301</v>
      </c>
      <c r="J222" s="3"/>
      <c r="K222" s="228">
        <f>H147</f>
        <v>26.769999999999996</v>
      </c>
      <c r="L222" s="2"/>
      <c r="M222" s="279">
        <f>ROUND(K222*I222,0)</f>
        <v>114182108</v>
      </c>
      <c r="N222" s="3"/>
      <c r="O222" s="3"/>
      <c r="P222" s="2"/>
      <c r="Q222" s="2"/>
    </row>
    <row r="223" spans="1:17" x14ac:dyDescent="0.35">
      <c r="B223" s="3"/>
      <c r="C223" s="3"/>
      <c r="D223" s="36"/>
      <c r="E223" s="36"/>
      <c r="F223" s="36"/>
      <c r="G223" s="220">
        <f>G220+G221+G222</f>
        <v>515026.99999999994</v>
      </c>
      <c r="H223" s="2"/>
      <c r="I223" s="220">
        <f>I220+I221+I222</f>
        <v>17195521</v>
      </c>
      <c r="J223" s="3"/>
      <c r="K223" s="228"/>
      <c r="L223" s="2"/>
      <c r="M223" s="277">
        <f>M220+M221+M222</f>
        <v>489021401</v>
      </c>
      <c r="N223" s="34"/>
      <c r="O223" s="36" t="s">
        <v>10</v>
      </c>
      <c r="P223" s="2"/>
      <c r="Q223" s="2"/>
    </row>
    <row r="224" spans="1:17" x14ac:dyDescent="0.35">
      <c r="B224" s="3"/>
      <c r="C224" s="3"/>
      <c r="D224" s="36"/>
      <c r="E224" s="36"/>
      <c r="F224" s="36"/>
      <c r="G224" s="220"/>
      <c r="H224" s="2"/>
      <c r="I224" s="220"/>
      <c r="J224" s="3"/>
      <c r="K224" s="228"/>
      <c r="L224" s="222" t="s">
        <v>22</v>
      </c>
      <c r="M224" s="277">
        <f>ROUND(M223*(O224-1),0)</f>
        <v>5829135</v>
      </c>
      <c r="N224" s="33" t="s">
        <v>23</v>
      </c>
      <c r="O224" s="40">
        <f>L10</f>
        <v>1.0119199999999999</v>
      </c>
      <c r="P224" s="2"/>
      <c r="Q224" s="2"/>
    </row>
    <row r="225" spans="2:17" x14ac:dyDescent="0.35">
      <c r="B225" s="3"/>
      <c r="C225" s="3"/>
      <c r="D225" s="36"/>
      <c r="E225" s="36"/>
      <c r="F225" s="36"/>
      <c r="G225" s="220"/>
      <c r="H225" s="2"/>
      <c r="I225" s="220"/>
      <c r="J225" s="3"/>
      <c r="K225" s="228"/>
      <c r="L225" s="222" t="s">
        <v>21</v>
      </c>
      <c r="M225" s="599">
        <f>M223+M224</f>
        <v>494850536</v>
      </c>
      <c r="N225" s="8"/>
      <c r="O225" s="3"/>
      <c r="P225" s="2"/>
      <c r="Q225" s="2"/>
    </row>
    <row r="226" spans="2:17" x14ac:dyDescent="0.35">
      <c r="B226" s="3"/>
      <c r="C226" s="3"/>
      <c r="D226" s="3"/>
      <c r="E226" s="3"/>
      <c r="F226" s="3"/>
      <c r="G226" s="2"/>
      <c r="H226" s="2"/>
      <c r="I226" s="2"/>
      <c r="J226" s="3"/>
      <c r="K226" s="2"/>
      <c r="L226" s="2"/>
      <c r="M226" s="2"/>
      <c r="N226" s="3"/>
      <c r="O226" s="3"/>
      <c r="P226" s="2"/>
      <c r="Q226" s="2"/>
    </row>
    <row r="227" spans="2:17" x14ac:dyDescent="0.35">
      <c r="B227" s="3"/>
      <c r="C227" s="3" t="s">
        <v>8</v>
      </c>
      <c r="D227" s="36">
        <f t="shared" ref="D227:F228" si="6">D220</f>
        <v>0</v>
      </c>
      <c r="E227" s="36" t="str">
        <f t="shared" si="6"/>
        <v>-</v>
      </c>
      <c r="F227" s="36">
        <f t="shared" si="6"/>
        <v>5</v>
      </c>
      <c r="G227" s="224">
        <f>T16</f>
        <v>0</v>
      </c>
      <c r="H227" s="2"/>
      <c r="I227" s="224">
        <f>U16</f>
        <v>900</v>
      </c>
      <c r="J227" s="3"/>
      <c r="K227" s="228">
        <f>H149</f>
        <v>133.72999999999999</v>
      </c>
      <c r="L227" s="2"/>
      <c r="M227" s="278">
        <f>ROUND(K227*(I227/F227),0)</f>
        <v>24071</v>
      </c>
      <c r="N227" s="3"/>
      <c r="O227" s="3"/>
      <c r="P227" s="2"/>
      <c r="Q227" s="2"/>
    </row>
    <row r="228" spans="2:17" x14ac:dyDescent="0.35">
      <c r="B228" s="3"/>
      <c r="C228" s="3"/>
      <c r="D228" s="36">
        <f t="shared" si="6"/>
        <v>5</v>
      </c>
      <c r="E228" s="36" t="str">
        <f t="shared" si="6"/>
        <v>-</v>
      </c>
      <c r="F228" s="36">
        <f t="shared" si="6"/>
        <v>100</v>
      </c>
      <c r="G228" s="224">
        <f>T17</f>
        <v>60.319148936170215</v>
      </c>
      <c r="H228" s="2"/>
      <c r="I228" s="224">
        <f>U17</f>
        <v>12963</v>
      </c>
      <c r="J228" s="3"/>
      <c r="K228" s="228">
        <f>H150</f>
        <v>18.679999999999996</v>
      </c>
      <c r="L228" s="2"/>
      <c r="M228" s="278">
        <f>ROUND(K228*I228,0)</f>
        <v>242149</v>
      </c>
      <c r="N228" s="3"/>
      <c r="O228" s="3"/>
      <c r="P228" s="2"/>
      <c r="Q228" s="2"/>
    </row>
    <row r="229" spans="2:17" x14ac:dyDescent="0.35">
      <c r="B229" s="3"/>
      <c r="C229" s="3"/>
      <c r="D229" s="36"/>
      <c r="E229" s="36" t="str">
        <f>E222</f>
        <v>&gt;</v>
      </c>
      <c r="F229" s="36">
        <f>F222</f>
        <v>100</v>
      </c>
      <c r="G229" s="225">
        <f>T18</f>
        <v>119.68085106382979</v>
      </c>
      <c r="H229" s="2"/>
      <c r="I229" s="225">
        <f>U18</f>
        <v>36476</v>
      </c>
      <c r="J229" s="3"/>
      <c r="K229" s="228">
        <f>H151</f>
        <v>18.679999999999996</v>
      </c>
      <c r="L229" s="2"/>
      <c r="M229" s="279">
        <f>ROUND(K229*I229,0)</f>
        <v>681372</v>
      </c>
      <c r="N229" s="3"/>
      <c r="O229" s="3"/>
      <c r="P229" s="2"/>
      <c r="Q229" s="2"/>
    </row>
    <row r="230" spans="2:17" x14ac:dyDescent="0.35">
      <c r="B230" s="3"/>
      <c r="C230" s="3"/>
      <c r="D230" s="36"/>
      <c r="E230" s="36"/>
      <c r="F230" s="36"/>
      <c r="G230" s="220">
        <f>G227+G228+G229</f>
        <v>180</v>
      </c>
      <c r="H230" s="2"/>
      <c r="I230" s="220">
        <f>I227+I228+I229</f>
        <v>50339</v>
      </c>
      <c r="J230" s="3"/>
      <c r="K230" s="228"/>
      <c r="L230" s="2"/>
      <c r="M230" s="277">
        <f>M227+M228+M229</f>
        <v>947592</v>
      </c>
      <c r="N230" s="3"/>
      <c r="O230" s="3"/>
      <c r="P230" s="2"/>
      <c r="Q230" s="2"/>
    </row>
    <row r="231" spans="2:17" x14ac:dyDescent="0.35">
      <c r="B231" s="3"/>
      <c r="C231" s="3"/>
      <c r="D231" s="36"/>
      <c r="E231" s="36"/>
      <c r="F231" s="36"/>
      <c r="G231" s="220"/>
      <c r="H231" s="2"/>
      <c r="I231" s="220"/>
      <c r="J231" s="3"/>
      <c r="K231" s="228"/>
      <c r="L231" s="222" t="s">
        <v>22</v>
      </c>
      <c r="M231" s="277">
        <f>ROUND(M230*(O224-1),0)</f>
        <v>11295</v>
      </c>
      <c r="N231" s="3"/>
      <c r="O231" s="3"/>
      <c r="P231" s="2"/>
      <c r="Q231" s="2"/>
    </row>
    <row r="232" spans="2:17" x14ac:dyDescent="0.35">
      <c r="B232" s="3"/>
      <c r="C232" s="3"/>
      <c r="D232" s="36"/>
      <c r="E232" s="36"/>
      <c r="F232" s="36"/>
      <c r="G232" s="220"/>
      <c r="H232" s="2"/>
      <c r="I232" s="220"/>
      <c r="J232" s="3"/>
      <c r="K232" s="228"/>
      <c r="L232" s="222" t="s">
        <v>21</v>
      </c>
      <c r="M232" s="599">
        <f>M230+M231</f>
        <v>958887</v>
      </c>
      <c r="N232" s="8"/>
      <c r="O232" s="3"/>
      <c r="P232" s="2"/>
      <c r="Q232" s="2"/>
    </row>
    <row r="233" spans="2:17" x14ac:dyDescent="0.35">
      <c r="B233" s="3"/>
      <c r="C233" s="3"/>
      <c r="D233" s="3"/>
      <c r="E233" s="3"/>
      <c r="F233" s="3"/>
      <c r="G233" s="2"/>
      <c r="H233" s="2"/>
      <c r="I233" s="2"/>
      <c r="J233" s="3"/>
      <c r="K233" s="2"/>
      <c r="L233" s="2"/>
      <c r="M233" s="2"/>
      <c r="N233" s="3"/>
      <c r="O233" s="3"/>
      <c r="P233" s="2"/>
      <c r="Q233" s="2"/>
    </row>
    <row r="234" spans="2:17" x14ac:dyDescent="0.35">
      <c r="B234" s="3"/>
      <c r="C234" s="3"/>
      <c r="D234" s="3"/>
      <c r="E234" s="3"/>
      <c r="F234" s="3"/>
      <c r="G234" s="2"/>
      <c r="H234" s="2"/>
      <c r="I234" s="2"/>
      <c r="J234" s="3"/>
      <c r="K234" s="2"/>
      <c r="L234" s="2"/>
      <c r="M234" s="2"/>
      <c r="N234" s="3"/>
      <c r="O234" s="3"/>
      <c r="P234" s="2"/>
      <c r="Q234" s="2"/>
    </row>
    <row r="235" spans="2:17" x14ac:dyDescent="0.35">
      <c r="B235" s="3"/>
      <c r="C235" s="3"/>
      <c r="D235" s="3"/>
      <c r="E235" s="3"/>
      <c r="F235" s="3"/>
      <c r="G235" s="2"/>
      <c r="H235" s="2"/>
      <c r="I235" s="2"/>
      <c r="J235" s="3"/>
      <c r="K235" s="2"/>
      <c r="L235" s="2"/>
      <c r="M235" s="121" t="s">
        <v>7</v>
      </c>
      <c r="N235" s="17"/>
      <c r="O235" s="3"/>
      <c r="P235" s="2"/>
      <c r="Q235" s="2"/>
    </row>
    <row r="236" spans="2:17" x14ac:dyDescent="0.35">
      <c r="B236" s="3"/>
      <c r="C236" s="410"/>
      <c r="D236" s="3"/>
      <c r="E236" s="3"/>
      <c r="F236" s="3"/>
      <c r="G236" s="2"/>
      <c r="H236" s="2"/>
      <c r="I236" s="2"/>
      <c r="J236" s="3"/>
      <c r="K236" s="219" t="s">
        <v>15</v>
      </c>
      <c r="L236" s="2"/>
      <c r="M236" s="219" t="s">
        <v>14</v>
      </c>
      <c r="N236" s="17"/>
      <c r="O236" s="3"/>
      <c r="P236" s="2"/>
      <c r="Q236" s="2"/>
    </row>
    <row r="237" spans="2:17" x14ac:dyDescent="0.35">
      <c r="C237" s="835" t="s">
        <v>24</v>
      </c>
      <c r="D237" s="3"/>
      <c r="E237" s="3"/>
      <c r="F237" s="3"/>
      <c r="G237" s="2"/>
      <c r="H237" s="2"/>
      <c r="I237" s="2"/>
      <c r="J237" s="3"/>
      <c r="K237" s="219" t="s">
        <v>11</v>
      </c>
      <c r="L237" s="2"/>
      <c r="M237" s="219" t="s">
        <v>6</v>
      </c>
      <c r="N237" s="17"/>
      <c r="O237" s="3"/>
      <c r="P237" s="2"/>
      <c r="Q237" s="2"/>
    </row>
    <row r="238" spans="2:17" x14ac:dyDescent="0.35">
      <c r="B238" s="3"/>
      <c r="C238" s="410" t="s">
        <v>9</v>
      </c>
      <c r="D238" s="36">
        <f t="shared" ref="D238:F239" si="7">D220</f>
        <v>0</v>
      </c>
      <c r="E238" s="36" t="str">
        <f t="shared" si="7"/>
        <v>-</v>
      </c>
      <c r="F238" s="36">
        <f t="shared" si="7"/>
        <v>5</v>
      </c>
      <c r="G238" s="224">
        <f>T11</f>
        <v>68583.997485784668</v>
      </c>
      <c r="H238" s="2"/>
      <c r="I238" s="224">
        <f>U11</f>
        <v>5147035</v>
      </c>
      <c r="J238" s="3"/>
      <c r="K238" s="228">
        <f>J145</f>
        <v>152.77000000000001</v>
      </c>
      <c r="L238" s="2"/>
      <c r="M238" s="278">
        <f>ROUND(K238*(I238/F238),0)</f>
        <v>157262507</v>
      </c>
      <c r="N238" s="17"/>
      <c r="O238" s="3"/>
      <c r="P238" s="2"/>
      <c r="Q238" s="2"/>
    </row>
    <row r="239" spans="2:17" x14ac:dyDescent="0.35">
      <c r="B239" s="3"/>
      <c r="C239" s="410"/>
      <c r="D239" s="36">
        <f t="shared" si="7"/>
        <v>5</v>
      </c>
      <c r="E239" s="36" t="str">
        <f t="shared" si="7"/>
        <v>-</v>
      </c>
      <c r="F239" s="36">
        <f t="shared" si="7"/>
        <v>100</v>
      </c>
      <c r="G239" s="224">
        <f>T12</f>
        <v>914598.30826242268</v>
      </c>
      <c r="H239" s="2"/>
      <c r="I239" s="224">
        <f>U12</f>
        <v>18151598</v>
      </c>
      <c r="J239" s="3"/>
      <c r="K239" s="228">
        <f>J146</f>
        <v>21.139999999999997</v>
      </c>
      <c r="L239" s="2"/>
      <c r="M239" s="278">
        <f>ROUND(K239*I239,0)</f>
        <v>383724782</v>
      </c>
      <c r="N239" s="17"/>
      <c r="O239" s="3"/>
      <c r="P239" s="2"/>
      <c r="Q239" s="2"/>
    </row>
    <row r="240" spans="2:17" x14ac:dyDescent="0.35">
      <c r="B240" s="3"/>
      <c r="C240" s="410"/>
      <c r="D240" s="36"/>
      <c r="E240" s="36" t="str">
        <f>E222</f>
        <v>&gt;</v>
      </c>
      <c r="F240" s="36">
        <f>F222</f>
        <v>100</v>
      </c>
      <c r="G240" s="225">
        <f>T13</f>
        <v>46224.694251792644</v>
      </c>
      <c r="H240" s="2"/>
      <c r="I240" s="225">
        <f>U13</f>
        <v>6426438</v>
      </c>
      <c r="J240" s="3"/>
      <c r="K240" s="228">
        <f>J147</f>
        <v>21.139999999999997</v>
      </c>
      <c r="L240" s="2"/>
      <c r="M240" s="279">
        <f>ROUND(K240*I240,0)</f>
        <v>135854899</v>
      </c>
      <c r="N240" s="17"/>
      <c r="O240" s="3"/>
      <c r="P240" s="2"/>
      <c r="Q240" s="2"/>
    </row>
    <row r="241" spans="2:17" x14ac:dyDescent="0.35">
      <c r="B241" s="3"/>
      <c r="C241" s="410"/>
      <c r="D241" s="36"/>
      <c r="E241" s="36"/>
      <c r="F241" s="36"/>
      <c r="G241" s="220">
        <f>G238+G239+G240</f>
        <v>1029407</v>
      </c>
      <c r="H241" s="2"/>
      <c r="I241" s="220">
        <f>I238+I239+I240</f>
        <v>29725071</v>
      </c>
      <c r="J241" s="3"/>
      <c r="K241" s="228"/>
      <c r="L241" s="2"/>
      <c r="M241" s="277">
        <f>M238+M239+M240</f>
        <v>676842188</v>
      </c>
      <c r="N241" s="3"/>
      <c r="O241" s="36" t="s">
        <v>7</v>
      </c>
      <c r="P241" s="2"/>
      <c r="Q241" s="2"/>
    </row>
    <row r="242" spans="2:17" x14ac:dyDescent="0.35">
      <c r="B242" s="3"/>
      <c r="C242" s="3"/>
      <c r="D242" s="36"/>
      <c r="E242" s="36"/>
      <c r="F242" s="36"/>
      <c r="G242" s="220"/>
      <c r="H242" s="2"/>
      <c r="I242" s="220"/>
      <c r="J242" s="3"/>
      <c r="K242" s="228"/>
      <c r="L242" s="222" t="s">
        <v>22</v>
      </c>
      <c r="M242" s="277">
        <f>ROUND(M241*(O242-1),0)</f>
        <v>7221906</v>
      </c>
      <c r="N242" s="33" t="s">
        <v>23</v>
      </c>
      <c r="O242" s="40">
        <f>L11</f>
        <v>1.01067</v>
      </c>
      <c r="P242" s="2"/>
      <c r="Q242" s="2"/>
    </row>
    <row r="243" spans="2:17" x14ac:dyDescent="0.35">
      <c r="B243" s="3"/>
      <c r="C243" s="3"/>
      <c r="D243" s="36"/>
      <c r="E243" s="36"/>
      <c r="F243" s="36"/>
      <c r="G243" s="220"/>
      <c r="H243" s="2"/>
      <c r="I243" s="220"/>
      <c r="J243" s="3"/>
      <c r="K243" s="228"/>
      <c r="L243" s="222" t="s">
        <v>21</v>
      </c>
      <c r="M243" s="599">
        <f>M241+M242</f>
        <v>684064094</v>
      </c>
      <c r="N243" s="8"/>
      <c r="O243" s="3"/>
      <c r="P243" s="2"/>
      <c r="Q243" s="2"/>
    </row>
    <row r="244" spans="2:17" x14ac:dyDescent="0.35">
      <c r="B244" s="3"/>
      <c r="C244" s="3"/>
      <c r="D244" s="3"/>
      <c r="E244" s="3"/>
      <c r="F244" s="3"/>
      <c r="G244" s="2"/>
      <c r="H244" s="2"/>
      <c r="I244" s="2"/>
      <c r="J244" s="3"/>
      <c r="K244" s="2"/>
      <c r="L244" s="2"/>
      <c r="M244" s="2"/>
      <c r="N244" s="3"/>
      <c r="O244" s="3"/>
      <c r="P244" s="2"/>
      <c r="Q244" s="2"/>
    </row>
    <row r="245" spans="2:17" x14ac:dyDescent="0.35">
      <c r="B245" s="3"/>
      <c r="C245" s="3" t="s">
        <v>8</v>
      </c>
      <c r="D245" s="36">
        <f t="shared" ref="D245:F246" si="8">D220</f>
        <v>0</v>
      </c>
      <c r="E245" s="36" t="str">
        <f t="shared" si="8"/>
        <v>-</v>
      </c>
      <c r="F245" s="36">
        <f t="shared" si="8"/>
        <v>5</v>
      </c>
      <c r="G245" s="224">
        <f>T21</f>
        <v>1.9111111111111112</v>
      </c>
      <c r="H245" s="2"/>
      <c r="I245" s="224">
        <f>U21</f>
        <v>1720</v>
      </c>
      <c r="J245" s="3"/>
      <c r="K245" s="228">
        <f>J149</f>
        <v>96.98</v>
      </c>
      <c r="L245" s="2"/>
      <c r="M245" s="278">
        <f>ROUND(K245*(I245/F245),0)</f>
        <v>33361</v>
      </c>
      <c r="N245" s="17"/>
      <c r="O245" s="3"/>
      <c r="P245" s="2"/>
      <c r="Q245" s="2"/>
    </row>
    <row r="246" spans="2:17" x14ac:dyDescent="0.35">
      <c r="B246" s="3"/>
      <c r="C246" s="3"/>
      <c r="D246" s="36">
        <f t="shared" si="8"/>
        <v>5</v>
      </c>
      <c r="E246" s="36" t="str">
        <f t="shared" si="8"/>
        <v>-</v>
      </c>
      <c r="F246" s="36">
        <f t="shared" si="8"/>
        <v>100</v>
      </c>
      <c r="G246" s="29">
        <f>T22</f>
        <v>114.66666666666666</v>
      </c>
      <c r="H246" s="3"/>
      <c r="I246" s="29">
        <f>U22</f>
        <v>24758</v>
      </c>
      <c r="J246" s="3"/>
      <c r="K246" s="228">
        <f>J150</f>
        <v>13.029999999999998</v>
      </c>
      <c r="L246" s="2"/>
      <c r="M246" s="278">
        <f>ROUND(K246*I246,0)</f>
        <v>322597</v>
      </c>
      <c r="N246" s="17"/>
      <c r="O246" s="3"/>
      <c r="P246" s="2"/>
      <c r="Q246" s="2"/>
    </row>
    <row r="247" spans="2:17" x14ac:dyDescent="0.35">
      <c r="B247" s="3"/>
      <c r="C247" s="3"/>
      <c r="D247" s="36"/>
      <c r="E247" s="36" t="str">
        <f>E222</f>
        <v>&gt;</v>
      </c>
      <c r="F247" s="36">
        <f>F222</f>
        <v>100</v>
      </c>
      <c r="G247" s="38">
        <f>T23</f>
        <v>227.42222222222222</v>
      </c>
      <c r="H247" s="3"/>
      <c r="I247" s="38">
        <f>U23</f>
        <v>67386</v>
      </c>
      <c r="J247" s="3"/>
      <c r="K247" s="228">
        <f>J151</f>
        <v>13.029999999999998</v>
      </c>
      <c r="L247" s="2"/>
      <c r="M247" s="279">
        <f>ROUND(K247*I247,0)</f>
        <v>878040</v>
      </c>
      <c r="N247" s="17"/>
      <c r="O247" s="3"/>
      <c r="P247" s="2"/>
      <c r="Q247" s="2"/>
    </row>
    <row r="248" spans="2:17" x14ac:dyDescent="0.35">
      <c r="B248" s="3"/>
      <c r="C248" s="3"/>
      <c r="D248" s="36"/>
      <c r="E248" s="36"/>
      <c r="F248" s="36"/>
      <c r="G248" s="28">
        <f>G245+G246+G247</f>
        <v>344</v>
      </c>
      <c r="H248" s="3"/>
      <c r="I248" s="28">
        <f>I245+I246+I247</f>
        <v>93864</v>
      </c>
      <c r="J248" s="3"/>
      <c r="K248" s="228"/>
      <c r="L248" s="2"/>
      <c r="M248" s="277">
        <f>M245+M246+M247</f>
        <v>1233998</v>
      </c>
      <c r="N248" s="17"/>
      <c r="O248" s="3"/>
      <c r="P248" s="2"/>
      <c r="Q248" s="2"/>
    </row>
    <row r="249" spans="2:17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222" t="s">
        <v>22</v>
      </c>
      <c r="M249" s="277">
        <f>ROUND(M248*(O242-1),0)</f>
        <v>13167</v>
      </c>
      <c r="N249" s="17"/>
      <c r="O249" s="3"/>
      <c r="P249" s="2"/>
      <c r="Q249" s="2"/>
    </row>
    <row r="250" spans="2:17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2"/>
      <c r="L250" s="222" t="s">
        <v>21</v>
      </c>
      <c r="M250" s="599">
        <f>M248+M249</f>
        <v>1247165</v>
      </c>
      <c r="N250" s="8"/>
      <c r="O250" s="3"/>
      <c r="P250" s="2"/>
      <c r="Q250" s="2"/>
    </row>
    <row r="251" spans="2:17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2"/>
      <c r="M251" s="2"/>
      <c r="N251" s="3"/>
      <c r="O251" s="3"/>
      <c r="P251" s="2"/>
      <c r="Q251" s="2"/>
    </row>
    <row r="252" spans="2:17" x14ac:dyDescent="0.35">
      <c r="B252" s="3"/>
      <c r="C252" s="3" t="s">
        <v>20</v>
      </c>
      <c r="D252" s="3"/>
      <c r="E252" s="3"/>
      <c r="F252" s="3"/>
      <c r="G252" s="3"/>
      <c r="H252" s="3"/>
      <c r="I252" s="3"/>
      <c r="J252" s="3"/>
      <c r="K252" s="2"/>
      <c r="L252" s="2"/>
      <c r="M252" s="599">
        <f>M225+M232+M243+M250</f>
        <v>1181120682</v>
      </c>
      <c r="N252" s="2"/>
      <c r="O252" s="3"/>
      <c r="P252" s="2"/>
      <c r="Q252" s="2"/>
    </row>
    <row r="253" spans="2:17" x14ac:dyDescent="0.35">
      <c r="B253" s="3"/>
      <c r="C253" s="3" t="s">
        <v>19</v>
      </c>
      <c r="D253" s="3"/>
      <c r="E253" s="3"/>
      <c r="F253" s="3"/>
      <c r="G253" s="3"/>
      <c r="H253" s="3"/>
      <c r="I253" s="3"/>
      <c r="J253" s="3"/>
      <c r="K253" s="2"/>
      <c r="L253" s="2"/>
      <c r="M253" s="278">
        <f>L22+L23</f>
        <v>4702217.8715577293</v>
      </c>
      <c r="N253" s="2"/>
      <c r="O253" s="3"/>
      <c r="P253" s="2"/>
      <c r="Q253" s="2"/>
    </row>
    <row r="254" spans="2:17" x14ac:dyDescent="0.35">
      <c r="B254" s="3"/>
      <c r="C254" s="3" t="s">
        <v>18</v>
      </c>
      <c r="D254" s="3"/>
      <c r="E254" s="3"/>
      <c r="F254" s="3"/>
      <c r="G254" s="3"/>
      <c r="H254" s="3"/>
      <c r="I254" s="3"/>
      <c r="J254" s="3"/>
      <c r="K254" s="2"/>
      <c r="L254" s="2"/>
      <c r="M254" s="278">
        <f>ROUND((J65+J66)*$L$9,0)</f>
        <v>164246</v>
      </c>
      <c r="N254" s="2"/>
      <c r="O254" s="3"/>
      <c r="P254" s="2"/>
      <c r="Q254" s="2"/>
    </row>
    <row r="255" spans="2:17" x14ac:dyDescent="0.35">
      <c r="B255" s="3"/>
      <c r="C255" s="3" t="s">
        <v>17</v>
      </c>
      <c r="D255" s="3"/>
      <c r="E255" s="3"/>
      <c r="F255" s="3"/>
      <c r="G255" s="3"/>
      <c r="H255" s="3"/>
      <c r="I255" s="3"/>
      <c r="J255" s="3"/>
      <c r="K255" s="2"/>
      <c r="L255" s="2"/>
      <c r="M255" s="278">
        <f>L18</f>
        <v>701672.37533170404</v>
      </c>
      <c r="N255" s="2"/>
      <c r="O255" s="3"/>
      <c r="P255" s="2"/>
      <c r="Q255" s="2"/>
    </row>
    <row r="256" spans="2:17" ht="15" thickBot="1" x14ac:dyDescent="0.4">
      <c r="B256" s="410"/>
      <c r="C256" s="410" t="s">
        <v>1731</v>
      </c>
      <c r="D256" s="410"/>
      <c r="E256" s="410"/>
      <c r="F256" s="410"/>
      <c r="G256" s="410"/>
      <c r="H256" s="3"/>
      <c r="I256" s="3"/>
      <c r="J256" s="3"/>
      <c r="K256" s="2"/>
      <c r="L256" s="2"/>
      <c r="M256" s="278">
        <f>ROUND(J64*$L$9,0)</f>
        <v>24510</v>
      </c>
      <c r="N256" s="2"/>
      <c r="O256" s="3"/>
      <c r="P256" s="2"/>
      <c r="Q256" s="2"/>
    </row>
    <row r="257" spans="2:17" ht="15.5" thickTop="1" thickBot="1" x14ac:dyDescent="0.4">
      <c r="B257" s="410"/>
      <c r="C257" s="837" t="str">
        <f>CONCATENATE($A$4," - Total Annual Demand Charge Incl EDB:")</f>
        <v>SC9 Rate I - Total Annual Demand Charge Incl EDB:</v>
      </c>
      <c r="D257" s="410"/>
      <c r="E257" s="410"/>
      <c r="F257" s="410"/>
      <c r="G257" s="410"/>
      <c r="H257" s="3"/>
      <c r="I257" s="3"/>
      <c r="J257" s="3"/>
      <c r="K257" s="2"/>
      <c r="L257" s="2"/>
      <c r="M257" s="925">
        <f>M252+M253+M254+M255+M256</f>
        <v>1186713328.2468894</v>
      </c>
      <c r="N257" s="2"/>
      <c r="O257" s="3"/>
      <c r="P257" s="2"/>
      <c r="Q257" s="2"/>
    </row>
    <row r="258" spans="2:17" ht="15" thickTop="1" x14ac:dyDescent="0.35">
      <c r="B258" s="410"/>
      <c r="C258" s="410"/>
      <c r="D258" s="410"/>
      <c r="E258" s="410"/>
      <c r="F258" s="410"/>
      <c r="G258" s="410"/>
      <c r="H258" s="3"/>
      <c r="I258" s="3"/>
      <c r="J258" s="3"/>
      <c r="K258" s="3"/>
      <c r="L258" s="3"/>
      <c r="M258" s="3"/>
      <c r="N258" s="2"/>
      <c r="O258" s="3"/>
      <c r="P258" s="2"/>
      <c r="Q258" s="2"/>
    </row>
    <row r="259" spans="2:17" x14ac:dyDescent="0.35">
      <c r="B259" s="410"/>
      <c r="C259" s="410"/>
      <c r="D259" s="410"/>
      <c r="E259" s="410"/>
      <c r="F259" s="410"/>
      <c r="G259" s="410"/>
      <c r="H259" s="3"/>
      <c r="I259" s="3"/>
      <c r="J259" s="3"/>
      <c r="K259" s="30" t="s">
        <v>15</v>
      </c>
      <c r="L259" s="3"/>
      <c r="M259" s="30" t="s">
        <v>14</v>
      </c>
      <c r="N259" s="2"/>
      <c r="O259" s="3"/>
      <c r="P259" s="2"/>
      <c r="Q259" s="2"/>
    </row>
    <row r="260" spans="2:17" x14ac:dyDescent="0.35">
      <c r="B260" s="410"/>
      <c r="C260" s="835" t="s">
        <v>13</v>
      </c>
      <c r="D260" s="410"/>
      <c r="E260" s="410"/>
      <c r="F260" s="410"/>
      <c r="G260" s="410"/>
      <c r="H260" s="3"/>
      <c r="I260" s="30" t="s">
        <v>44</v>
      </c>
      <c r="J260" s="3"/>
      <c r="K260" s="30" t="s">
        <v>11</v>
      </c>
      <c r="L260" s="3"/>
      <c r="M260" s="30" t="s">
        <v>6</v>
      </c>
      <c r="N260" s="2"/>
      <c r="O260" s="3"/>
      <c r="P260" s="2"/>
      <c r="Q260" s="2"/>
    </row>
    <row r="261" spans="2:17" x14ac:dyDescent="0.35">
      <c r="B261" s="410"/>
      <c r="C261" s="410" t="s">
        <v>9</v>
      </c>
      <c r="D261" s="410" t="s">
        <v>10</v>
      </c>
      <c r="E261" s="410"/>
      <c r="F261" s="410"/>
      <c r="G261" s="410"/>
      <c r="H261" s="3"/>
      <c r="I261" s="29">
        <f>V6</f>
        <v>5967559052</v>
      </c>
      <c r="J261" s="3"/>
      <c r="K261" s="27">
        <f>I206</f>
        <v>2.1000000000000001E-2</v>
      </c>
      <c r="L261" s="3"/>
      <c r="M261" s="26">
        <f>ROUND(I261*K261,0)</f>
        <v>125318740</v>
      </c>
      <c r="N261" s="2"/>
      <c r="O261" s="3"/>
      <c r="P261" s="2"/>
      <c r="Q261" s="2"/>
    </row>
    <row r="262" spans="2:17" x14ac:dyDescent="0.35">
      <c r="B262" s="410"/>
      <c r="C262" s="410"/>
      <c r="D262" s="410"/>
      <c r="E262" s="410"/>
      <c r="F262" s="410"/>
      <c r="G262" s="410"/>
      <c r="H262" s="3"/>
      <c r="I262" s="3"/>
      <c r="J262" s="3"/>
      <c r="K262" s="3"/>
      <c r="L262" s="3"/>
      <c r="M262" s="3"/>
      <c r="N262" s="2"/>
      <c r="O262" s="3"/>
      <c r="P262" s="2"/>
      <c r="Q262" s="2"/>
    </row>
    <row r="263" spans="2:17" x14ac:dyDescent="0.35">
      <c r="B263" s="410"/>
      <c r="C263" s="410" t="s">
        <v>8</v>
      </c>
      <c r="D263" s="410" t="s">
        <v>10</v>
      </c>
      <c r="E263" s="410"/>
      <c r="F263" s="410"/>
      <c r="G263" s="410"/>
      <c r="H263" s="3"/>
      <c r="I263" s="28">
        <f>V16</f>
        <v>18575845</v>
      </c>
      <c r="J263" s="3"/>
      <c r="K263" s="27">
        <f>I209</f>
        <v>1.95E-2</v>
      </c>
      <c r="L263" s="3"/>
      <c r="M263" s="26">
        <f>ROUND(I263*K263,0)</f>
        <v>362229</v>
      </c>
      <c r="N263" s="2"/>
      <c r="O263" s="3"/>
      <c r="P263" s="2"/>
      <c r="Q263" s="2"/>
    </row>
    <row r="264" spans="2:17" x14ac:dyDescent="0.35">
      <c r="B264" s="410"/>
      <c r="C264" s="410"/>
      <c r="D264" s="410"/>
      <c r="E264" s="410"/>
      <c r="F264" s="410"/>
      <c r="G264" s="410"/>
      <c r="H264" s="3"/>
      <c r="I264" s="3"/>
      <c r="J264" s="3"/>
      <c r="K264" s="3"/>
      <c r="L264" s="3"/>
      <c r="M264" s="3"/>
      <c r="N264" s="2"/>
      <c r="O264" s="3"/>
      <c r="P264" s="2"/>
      <c r="Q264" s="2"/>
    </row>
    <row r="265" spans="2:17" x14ac:dyDescent="0.35">
      <c r="B265" s="410"/>
      <c r="C265" s="410" t="s">
        <v>9</v>
      </c>
      <c r="D265" s="410" t="s">
        <v>7</v>
      </c>
      <c r="E265" s="410"/>
      <c r="F265" s="410"/>
      <c r="G265" s="410"/>
      <c r="H265" s="3"/>
      <c r="I265" s="28">
        <f>V11</f>
        <v>10316378373</v>
      </c>
      <c r="J265" s="3"/>
      <c r="K265" s="27">
        <f>K206</f>
        <v>2.1000000000000001E-2</v>
      </c>
      <c r="L265" s="3"/>
      <c r="M265" s="26">
        <f>ROUND(I265*K265,0)</f>
        <v>216643946</v>
      </c>
      <c r="N265" s="2"/>
      <c r="O265" s="3"/>
      <c r="P265" s="2"/>
      <c r="Q265" s="2"/>
    </row>
    <row r="266" spans="2:17" x14ac:dyDescent="0.35">
      <c r="B266" s="410"/>
      <c r="C266" s="410"/>
      <c r="D266" s="410"/>
      <c r="E266" s="410"/>
      <c r="F266" s="410"/>
      <c r="G266" s="410"/>
      <c r="H266" s="3"/>
      <c r="I266" s="3"/>
      <c r="J266" s="3"/>
      <c r="K266" s="3"/>
      <c r="L266" s="3"/>
      <c r="M266" s="2"/>
      <c r="N266" s="2"/>
      <c r="O266" s="3"/>
      <c r="P266" s="2"/>
      <c r="Q266" s="2"/>
    </row>
    <row r="267" spans="2:17" x14ac:dyDescent="0.35">
      <c r="B267" s="410"/>
      <c r="C267" s="410" t="s">
        <v>8</v>
      </c>
      <c r="D267" s="410" t="s">
        <v>7</v>
      </c>
      <c r="E267" s="410"/>
      <c r="F267" s="410"/>
      <c r="G267" s="410"/>
      <c r="H267" s="3"/>
      <c r="I267" s="28">
        <f>V21</f>
        <v>36684491</v>
      </c>
      <c r="J267" s="3"/>
      <c r="K267" s="27">
        <f>K209</f>
        <v>1.95E-2</v>
      </c>
      <c r="L267" s="3"/>
      <c r="M267" s="278">
        <f>ROUND(I267*K267,0)</f>
        <v>715348</v>
      </c>
      <c r="N267" s="2"/>
      <c r="O267" s="3"/>
      <c r="P267" s="2"/>
      <c r="Q267" s="2"/>
    </row>
    <row r="268" spans="2:17" ht="15" thickBot="1" x14ac:dyDescent="0.4">
      <c r="B268" s="410"/>
      <c r="C268" s="410"/>
      <c r="D268" s="410"/>
      <c r="E268" s="410"/>
      <c r="F268" s="410"/>
      <c r="G268" s="410"/>
      <c r="H268" s="3"/>
      <c r="I268" s="3"/>
      <c r="J268" s="3"/>
      <c r="K268" s="3"/>
      <c r="L268" s="3"/>
      <c r="M268" s="2"/>
      <c r="N268" s="2"/>
      <c r="O268" s="3"/>
      <c r="P268" s="2"/>
      <c r="Q268" s="2"/>
    </row>
    <row r="269" spans="2:17" ht="15.5" thickTop="1" thickBot="1" x14ac:dyDescent="0.4">
      <c r="B269" s="410"/>
      <c r="C269" s="837" t="str">
        <f>CONCATENATE($A$4," - Total Annual Energy Charge:")</f>
        <v>SC9 Rate I - Total Annual Energy Charge:</v>
      </c>
      <c r="D269" s="410"/>
      <c r="E269" s="410"/>
      <c r="F269" s="410"/>
      <c r="G269" s="410"/>
      <c r="H269" s="3"/>
      <c r="I269" s="3"/>
      <c r="J269" s="3"/>
      <c r="K269" s="3"/>
      <c r="L269" s="3"/>
      <c r="M269" s="925">
        <f>M261+M263+M265+M267</f>
        <v>343040263</v>
      </c>
      <c r="N269" s="2"/>
      <c r="O269" s="3"/>
      <c r="P269" s="2"/>
      <c r="Q269" s="2"/>
    </row>
    <row r="270" spans="2:17" ht="15.5" thickTop="1" thickBot="1" x14ac:dyDescent="0.4">
      <c r="B270" s="410"/>
      <c r="C270" s="410"/>
      <c r="D270" s="410"/>
      <c r="E270" s="410"/>
      <c r="F270" s="410"/>
      <c r="G270" s="410"/>
      <c r="H270" s="3"/>
      <c r="I270" s="3"/>
      <c r="J270" s="3"/>
      <c r="K270" s="3"/>
      <c r="L270" s="3"/>
      <c r="M270" s="2"/>
      <c r="N270" s="2"/>
      <c r="O270" s="3"/>
      <c r="P270" s="2"/>
      <c r="Q270" s="2"/>
    </row>
    <row r="271" spans="2:17" ht="15.5" thickTop="1" thickBot="1" x14ac:dyDescent="0.4">
      <c r="B271" s="410"/>
      <c r="C271" s="837" t="str">
        <f>CONCATENATE($A$4," - Total Charge Price-Out at Proposed Rates:")</f>
        <v>SC9 Rate I - Total Charge Price-Out at Proposed Rates:</v>
      </c>
      <c r="D271" s="410"/>
      <c r="E271" s="410"/>
      <c r="F271" s="410"/>
      <c r="G271" s="410"/>
      <c r="H271" s="3"/>
      <c r="I271" s="3"/>
      <c r="J271" s="3"/>
      <c r="K271" s="3"/>
      <c r="L271" s="3"/>
      <c r="M271" s="925">
        <f>M257+M269</f>
        <v>1529753591.2468894</v>
      </c>
      <c r="N271" s="2"/>
      <c r="O271" s="3"/>
      <c r="P271" s="2"/>
      <c r="Q271" s="2"/>
    </row>
    <row r="272" spans="2:17" ht="15.5" thickTop="1" thickBot="1" x14ac:dyDescent="0.4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2"/>
      <c r="N272" s="17"/>
      <c r="O272" s="3"/>
      <c r="P272" s="2"/>
      <c r="Q272" s="2"/>
    </row>
    <row r="273" spans="1:17" x14ac:dyDescent="0.35">
      <c r="B273" s="3"/>
      <c r="C273" s="23" t="str">
        <f>$A$4</f>
        <v>SC9 Rate I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1" t="s">
        <v>6</v>
      </c>
      <c r="N273" s="3"/>
      <c r="O273" s="2"/>
      <c r="P273" s="2"/>
      <c r="Q273" s="2"/>
    </row>
    <row r="274" spans="1:17" x14ac:dyDescent="0.35">
      <c r="B274" s="3"/>
      <c r="C274" s="11" t="s">
        <v>5</v>
      </c>
      <c r="D274" s="1350">
        <f>L4</f>
        <v>2020</v>
      </c>
      <c r="E274" s="1350"/>
      <c r="F274" s="1350"/>
      <c r="G274" s="10"/>
      <c r="H274" s="10"/>
      <c r="I274" s="10"/>
      <c r="J274" s="10"/>
      <c r="K274" s="10"/>
      <c r="L274" s="10"/>
      <c r="M274" s="13"/>
      <c r="N274" s="2"/>
      <c r="O274" s="2"/>
      <c r="P274" s="2"/>
      <c r="Q274" s="2"/>
    </row>
    <row r="275" spans="1:17" x14ac:dyDescent="0.35">
      <c r="B275" s="3"/>
      <c r="C275" s="699" t="s">
        <v>4</v>
      </c>
      <c r="D275" s="883"/>
      <c r="E275" s="883"/>
      <c r="F275" s="883"/>
      <c r="G275" s="884"/>
      <c r="H275" s="884"/>
      <c r="I275" s="884"/>
      <c r="J275" s="10"/>
      <c r="K275" s="10"/>
      <c r="L275" s="10"/>
      <c r="M275" s="12">
        <f>M271</f>
        <v>1529753591.2468894</v>
      </c>
      <c r="N275" s="2"/>
      <c r="O275" s="2"/>
      <c r="P275" s="2"/>
      <c r="Q275" s="2"/>
    </row>
    <row r="276" spans="1:17" x14ac:dyDescent="0.35">
      <c r="B276" s="3"/>
      <c r="C276" s="699"/>
      <c r="D276" s="883"/>
      <c r="E276" s="883"/>
      <c r="F276" s="883"/>
      <c r="G276" s="884"/>
      <c r="H276" s="884"/>
      <c r="I276" s="884"/>
      <c r="J276" s="10"/>
      <c r="K276" s="10"/>
      <c r="L276" s="10"/>
      <c r="M276" s="18"/>
      <c r="N276" s="2"/>
      <c r="O276" s="2"/>
      <c r="P276" s="2"/>
      <c r="Q276" s="2"/>
    </row>
    <row r="277" spans="1:17" x14ac:dyDescent="0.35">
      <c r="B277" s="3"/>
      <c r="C277" s="699" t="s">
        <v>1576</v>
      </c>
      <c r="D277" s="883"/>
      <c r="E277" s="883"/>
      <c r="F277" s="883"/>
      <c r="G277" s="884"/>
      <c r="H277" s="884"/>
      <c r="I277" s="884"/>
      <c r="J277" s="10"/>
      <c r="K277" s="10"/>
      <c r="L277" s="10"/>
      <c r="M277" s="14">
        <f>L27</f>
        <v>130210366</v>
      </c>
      <c r="N277" s="2"/>
      <c r="O277" s="2"/>
      <c r="P277" s="2"/>
      <c r="Q277" s="2"/>
    </row>
    <row r="278" spans="1:17" x14ac:dyDescent="0.35">
      <c r="B278" s="3"/>
      <c r="C278" s="11"/>
      <c r="D278" s="10"/>
      <c r="E278" s="10"/>
      <c r="F278" s="10"/>
      <c r="G278" s="10"/>
      <c r="H278" s="10"/>
      <c r="I278" s="10"/>
      <c r="J278" s="10"/>
      <c r="K278" s="10"/>
      <c r="L278" s="10"/>
      <c r="M278" s="12">
        <f>M275+M276+M277</f>
        <v>1659963957.2468894</v>
      </c>
      <c r="N278" s="2"/>
      <c r="O278" s="2"/>
      <c r="P278" s="2"/>
      <c r="Q278" s="2"/>
    </row>
    <row r="279" spans="1:17" x14ac:dyDescent="0.35">
      <c r="B279" s="3"/>
      <c r="C279" s="11"/>
      <c r="D279" s="10"/>
      <c r="E279" s="10"/>
      <c r="F279" s="10"/>
      <c r="G279" s="10"/>
      <c r="H279" s="10"/>
      <c r="I279" s="10"/>
      <c r="J279" s="10"/>
      <c r="K279" s="10"/>
      <c r="L279" s="10"/>
      <c r="M279" s="13"/>
      <c r="N279" s="2"/>
      <c r="O279" s="2"/>
      <c r="P279" s="2"/>
      <c r="Q279" s="2"/>
    </row>
    <row r="280" spans="1:17" x14ac:dyDescent="0.35">
      <c r="B280" s="3"/>
      <c r="C280" s="11"/>
      <c r="D280" s="10" t="s">
        <v>2</v>
      </c>
      <c r="E280" s="10"/>
      <c r="F280" s="10"/>
      <c r="G280" s="10"/>
      <c r="H280" s="10"/>
      <c r="I280" s="10"/>
      <c r="J280" s="10"/>
      <c r="K280" s="10"/>
      <c r="L280" s="10"/>
      <c r="M280" s="12">
        <f>L25+L26</f>
        <v>1660027094.2468896</v>
      </c>
      <c r="N280" s="2"/>
      <c r="O280" s="2"/>
      <c r="P280" s="2"/>
      <c r="Q280" s="2"/>
    </row>
    <row r="281" spans="1:17" x14ac:dyDescent="0.35">
      <c r="B281" s="3"/>
      <c r="C281" s="11"/>
      <c r="D281" s="10" t="s">
        <v>1</v>
      </c>
      <c r="E281" s="10"/>
      <c r="F281" s="10"/>
      <c r="G281" s="10"/>
      <c r="H281" s="10"/>
      <c r="I281" s="10"/>
      <c r="J281" s="10"/>
      <c r="K281" s="10"/>
      <c r="L281" s="10"/>
      <c r="M281" s="12">
        <f>M278-M280</f>
        <v>-63137.000000238419</v>
      </c>
      <c r="N281" s="2"/>
      <c r="O281" s="2"/>
      <c r="P281" s="2"/>
      <c r="Q281" s="2"/>
    </row>
    <row r="282" spans="1:17" x14ac:dyDescent="0.35">
      <c r="B282" s="3"/>
      <c r="C282" s="11"/>
      <c r="D282" s="10" t="s">
        <v>0</v>
      </c>
      <c r="E282" s="10"/>
      <c r="F282" s="10"/>
      <c r="G282" s="10"/>
      <c r="H282" s="10"/>
      <c r="I282" s="10"/>
      <c r="J282" s="10"/>
      <c r="K282" s="10"/>
      <c r="L282" s="10"/>
      <c r="M282" s="9">
        <f>M278/M280-1</f>
        <v>-3.8033716569518816E-5</v>
      </c>
      <c r="N282" s="2"/>
      <c r="O282" s="2"/>
      <c r="P282" s="2"/>
      <c r="Q282" s="2"/>
    </row>
    <row r="283" spans="1:17" ht="15" thickBot="1" x14ac:dyDescent="0.4">
      <c r="B283" s="3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  <c r="P283" s="2"/>
      <c r="Q283" s="2"/>
    </row>
    <row r="284" spans="1:17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"/>
    </row>
    <row r="285" spans="1:17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"/>
    </row>
    <row r="286" spans="1:17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"/>
    </row>
    <row r="287" spans="1:17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"/>
    </row>
    <row r="288" spans="1:17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"/>
    </row>
  </sheetData>
  <mergeCells count="12">
    <mergeCell ref="L167:N167"/>
    <mergeCell ref="I204:K204"/>
    <mergeCell ref="H81:J81"/>
    <mergeCell ref="L81:N81"/>
    <mergeCell ref="L92:N92"/>
    <mergeCell ref="M143:P143"/>
    <mergeCell ref="D274:F274"/>
    <mergeCell ref="D216:E216"/>
    <mergeCell ref="D136:F136"/>
    <mergeCell ref="H137:J137"/>
    <mergeCell ref="H143:J143"/>
    <mergeCell ref="H167:J167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6" max="16383" man="1"/>
    <brk id="154" max="16383" man="1"/>
    <brk id="212" max="16383" man="1"/>
  </rowBreaks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8"/>
  <dimension ref="A1:V288"/>
  <sheetViews>
    <sheetView topLeftCell="E31" workbookViewId="0">
      <selection activeCell="T49" sqref="T49"/>
    </sheetView>
  </sheetViews>
  <sheetFormatPr defaultRowHeight="14.5" outlineLevelRow="1" x14ac:dyDescent="0.35"/>
  <cols>
    <col min="1" max="1" width="7.453125" customWidth="1"/>
    <col min="2" max="2" width="13.8164062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1" width="14.1796875" customWidth="1"/>
    <col min="12" max="12" width="17.453125" customWidth="1"/>
    <col min="13" max="13" width="16.1796875" customWidth="1"/>
    <col min="14" max="14" width="13.81640625" customWidth="1"/>
    <col min="15" max="15" width="13.26953125" customWidth="1"/>
    <col min="16" max="16" width="13" style="1" customWidth="1"/>
    <col min="17" max="17" width="5.453125" style="1" customWidth="1"/>
    <col min="18" max="19" width="5.453125" customWidth="1"/>
    <col min="20" max="20" width="10.453125" customWidth="1"/>
    <col min="21" max="21" width="11.81640625" customWidth="1"/>
    <col min="22" max="22" width="13.1796875" customWidth="1"/>
    <col min="25" max="26" width="11.7265625" customWidth="1"/>
    <col min="27" max="27" width="16.81640625" customWidth="1"/>
  </cols>
  <sheetData>
    <row r="1" spans="1:22" ht="18.5" x14ac:dyDescent="0.45">
      <c r="A1" s="447" t="s">
        <v>712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2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SC12 Rate I</v>
      </c>
      <c r="Q3" s="2"/>
      <c r="R3" s="3"/>
      <c r="S3" s="3"/>
      <c r="T3" s="3"/>
      <c r="U3" s="3"/>
      <c r="V3" s="3"/>
    </row>
    <row r="4" spans="1:22" outlineLevel="1" x14ac:dyDescent="0.35">
      <c r="A4" s="864" t="s">
        <v>157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902">
        <f>'8A.)HY_ED RevShifting'!G6</f>
        <v>0.05</v>
      </c>
      <c r="B5" s="75" t="s">
        <v>146</v>
      </c>
      <c r="C5" s="3"/>
      <c r="D5" s="3"/>
      <c r="E5" s="3"/>
      <c r="F5" s="3"/>
      <c r="G5" s="3"/>
      <c r="H5" s="3"/>
      <c r="J5" s="3" t="s">
        <v>145</v>
      </c>
      <c r="K5" s="304" t="s">
        <v>1074</v>
      </c>
      <c r="L5" s="687" t="s">
        <v>144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805" t="str">
        <f>'11A.)DemandRateDesignSummary'!D91</f>
        <v>Current(RY1)</v>
      </c>
      <c r="H6" s="23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f>'[2]4C.)HY_DemandRatePxOut(Rate I)'!$E$161</f>
        <v>5</v>
      </c>
      <c r="T6" s="386">
        <f>'[2]4C.)HY_DemandRatePxOut(Rate I)'!$L$165</f>
        <v>161</v>
      </c>
      <c r="U6" s="386">
        <f>'[2]4C.)HY_DemandRatePxOut(Rate I)'!$N$165</f>
        <v>4560</v>
      </c>
      <c r="V6" s="386">
        <f>'[2]4B.)HY_EnergyRatePxOut(Rate I)'!$M$272</f>
        <v>39321291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">
        <v>142</v>
      </c>
      <c r="J7" s="3"/>
      <c r="K7" s="17"/>
      <c r="L7" s="118" t="str">
        <f>A4</f>
        <v>SC12 Rate I</v>
      </c>
      <c r="M7" s="3"/>
      <c r="P7" s="170" t="s">
        <v>114</v>
      </c>
      <c r="Q7" s="159"/>
      <c r="R7" s="158" t="s">
        <v>141</v>
      </c>
      <c r="S7" s="159">
        <f>S6</f>
        <v>5</v>
      </c>
      <c r="T7" s="387">
        <f>'[2]4C.)HY_DemandRatePxOut(Rate I)'!$L$166</f>
        <v>751</v>
      </c>
      <c r="U7" s="387">
        <f>'[2]4C.)HY_DemandRatePxOut(Rate I)'!$N$166</f>
        <v>88600</v>
      </c>
      <c r="V7" s="387">
        <f>'[2]4B.)HY_EnergyRatePxOut(Rate I)'!$M$273</f>
        <v>0</v>
      </c>
    </row>
    <row r="8" spans="1:22" ht="15.5" outlineLevel="1" thickTop="1" thickBot="1" x14ac:dyDescent="0.4">
      <c r="A8" s="2" t="s">
        <v>355</v>
      </c>
      <c r="B8" s="2"/>
      <c r="C8" s="2"/>
      <c r="D8" s="2"/>
      <c r="E8" s="2"/>
      <c r="F8" s="2"/>
      <c r="G8" s="309">
        <f>'11A.)DemandRateDesignSummary'!D93</f>
        <v>1.72E-2</v>
      </c>
      <c r="H8" s="177">
        <f>I207</f>
        <v>1.72E-2</v>
      </c>
      <c r="K8" s="33" t="s">
        <v>140</v>
      </c>
      <c r="L8" s="688">
        <f>A5</f>
        <v>0.05</v>
      </c>
      <c r="M8" s="3"/>
      <c r="P8" s="168" t="s">
        <v>114</v>
      </c>
      <c r="Q8" s="155"/>
      <c r="R8" s="176"/>
      <c r="S8" s="711"/>
      <c r="T8" s="172"/>
      <c r="U8" s="172"/>
      <c r="V8" s="171"/>
    </row>
    <row r="9" spans="1:22" ht="15.5" outlineLevel="1" thickTop="1" thickBot="1" x14ac:dyDescent="0.4">
      <c r="A9" s="2" t="s">
        <v>356</v>
      </c>
      <c r="B9" s="2"/>
      <c r="C9" s="2"/>
      <c r="D9" s="2"/>
      <c r="E9" s="2"/>
      <c r="F9" s="2"/>
      <c r="G9" s="310">
        <f>'11A.)DemandRateDesignSummary'!D94</f>
        <v>1.72E-2</v>
      </c>
      <c r="H9" s="169">
        <f>K207</f>
        <v>1.72E-2</v>
      </c>
      <c r="K9" s="33" t="s">
        <v>139</v>
      </c>
      <c r="L9" s="689">
        <f>HLOOKUP($L$6,'[1]A1.)RatesInput'!$D$63:$J$83,'[1]A1.)RatesInput'!$A$80,0)</f>
        <v>1.01108</v>
      </c>
      <c r="M9" s="173"/>
      <c r="S9" s="1"/>
      <c r="T9" s="717">
        <f>SUM(T6:T8)</f>
        <v>912</v>
      </c>
      <c r="U9" s="717">
        <f>SUM(U6:U8)</f>
        <v>93160</v>
      </c>
      <c r="V9" s="717">
        <f>SUM(V6:V8)</f>
        <v>39321291</v>
      </c>
    </row>
    <row r="10" spans="1:22" ht="15" outlineLevel="1" thickTop="1" x14ac:dyDescent="0.35">
      <c r="A10" s="2" t="s">
        <v>357</v>
      </c>
      <c r="B10" s="2"/>
      <c r="C10" s="2"/>
      <c r="D10" s="2"/>
      <c r="E10" s="2"/>
      <c r="F10" s="2"/>
      <c r="G10" s="310">
        <f>'11A.)DemandRateDesignSummary'!D95</f>
        <v>187.11</v>
      </c>
      <c r="H10" s="169">
        <f>H145</f>
        <v>208.8</v>
      </c>
      <c r="K10" s="33" t="s">
        <v>137</v>
      </c>
      <c r="L10" s="689">
        <f>HLOOKUP($L$6,'[1]A1.)RatesInput'!$D$63:$J$83,'[1]A1.)RatesInput'!$A$81,0)</f>
        <v>1.0119199999999999</v>
      </c>
      <c r="M10" s="3"/>
      <c r="S10" s="1"/>
      <c r="T10" s="1"/>
      <c r="U10" s="1"/>
      <c r="V10" s="1"/>
    </row>
    <row r="11" spans="1:22" outlineLevel="1" x14ac:dyDescent="0.35">
      <c r="A11" s="2" t="s">
        <v>358</v>
      </c>
      <c r="B11" s="2"/>
      <c r="C11" s="2"/>
      <c r="D11" s="2"/>
      <c r="E11" s="2"/>
      <c r="F11" s="2"/>
      <c r="G11" s="310">
        <f>'11A.)DemandRateDesignSummary'!D96</f>
        <v>33.840000000000003</v>
      </c>
      <c r="H11" s="169">
        <f>H147</f>
        <v>35.590000000000003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4">
        <f>$S$6</f>
        <v>5</v>
      </c>
      <c r="T11" s="386">
        <f>'[2]4C.)HY_DemandRatePxOut(Rate I)'!$L$161</f>
        <v>210</v>
      </c>
      <c r="U11" s="386">
        <f>'[2]4C.)HY_DemandRatePxOut(Rate I)'!$N$161</f>
        <v>9120</v>
      </c>
      <c r="V11" s="386">
        <f>'[2]4B.)HY_EnergyRatePxOut(Rate I)'!$M$267</f>
        <v>115292046</v>
      </c>
    </row>
    <row r="12" spans="1:22" outlineLevel="1" x14ac:dyDescent="0.35">
      <c r="A12" s="2" t="s">
        <v>359</v>
      </c>
      <c r="B12" s="2"/>
      <c r="C12" s="2"/>
      <c r="D12" s="2"/>
      <c r="E12" s="2"/>
      <c r="F12" s="2"/>
      <c r="G12" s="310">
        <f>'11A.)DemandRateDesignSummary'!D97</f>
        <v>105.06</v>
      </c>
      <c r="H12" s="169">
        <f>J145</f>
        <v>123.61</v>
      </c>
      <c r="P12" s="160" t="s">
        <v>113</v>
      </c>
      <c r="Q12" s="159"/>
      <c r="R12" s="158" t="str">
        <f>$R$7</f>
        <v>&gt;</v>
      </c>
      <c r="S12" s="159">
        <f>$S$7</f>
        <v>5</v>
      </c>
      <c r="T12" s="387">
        <f>'[2]4C.)HY_DemandRatePxOut(Rate I)'!$L$162</f>
        <v>1614</v>
      </c>
      <c r="U12" s="387">
        <f>'[2]4C.)HY_DemandRatePxOut(Rate I)'!$N$162</f>
        <v>258373</v>
      </c>
      <c r="V12" s="387">
        <f>'[2]4B.)HY_EnergyRatePxOut(Rate I)'!$M$268</f>
        <v>0</v>
      </c>
    </row>
    <row r="13" spans="1:22" ht="15" outlineLevel="1" thickBot="1" x14ac:dyDescent="0.4">
      <c r="A13" s="2" t="s">
        <v>360</v>
      </c>
      <c r="B13" s="2"/>
      <c r="C13" s="2"/>
      <c r="D13" s="2"/>
      <c r="E13" s="2"/>
      <c r="F13" s="2"/>
      <c r="G13" s="310">
        <f>'11A.)DemandRateDesignSummary'!D98</f>
        <v>18.98</v>
      </c>
      <c r="H13" s="169">
        <f>J147</f>
        <v>19.96</v>
      </c>
      <c r="I13" s="3"/>
      <c r="K13" s="33" t="s">
        <v>1488</v>
      </c>
      <c r="L13" s="690">
        <f>ROUND('[2]6B.)RateChgAllocation'!$E$55/'[2]6A.)RateChange'!$I$55,8)</f>
        <v>4.245401E-2</v>
      </c>
      <c r="P13" s="155" t="s">
        <v>113</v>
      </c>
      <c r="Q13" s="154"/>
      <c r="R13" s="154"/>
      <c r="S13" s="711"/>
      <c r="T13" s="172"/>
      <c r="U13" s="172"/>
      <c r="V13" s="171"/>
    </row>
    <row r="14" spans="1:22" ht="15.5" outlineLevel="1" thickTop="1" thickBot="1" x14ac:dyDescent="0.4">
      <c r="A14" s="2" t="s">
        <v>361</v>
      </c>
      <c r="B14" s="2"/>
      <c r="C14" s="2"/>
      <c r="D14" s="2"/>
      <c r="E14" s="2"/>
      <c r="F14" s="2"/>
      <c r="G14" s="310">
        <f>'11A.)DemandRateDesignSummary'!D99</f>
        <v>1.72E-2</v>
      </c>
      <c r="H14" s="169">
        <f>I210</f>
        <v>1.72E-2</v>
      </c>
      <c r="I14" s="1"/>
      <c r="J14" s="1"/>
      <c r="K14" s="222" t="s">
        <v>307</v>
      </c>
      <c r="L14" s="688">
        <f>'11B.)Demand_RateDesign_SC5_I'!$L$15</f>
        <v>0</v>
      </c>
      <c r="M14" s="1"/>
      <c r="P14" s="2"/>
      <c r="Q14" s="2"/>
      <c r="R14" s="3"/>
      <c r="S14" s="3"/>
      <c r="T14" s="151">
        <f>SUM(T11:T13)</f>
        <v>1824</v>
      </c>
      <c r="U14" s="151">
        <f>SUM(U11:U13)</f>
        <v>267493</v>
      </c>
      <c r="V14" s="151">
        <f>SUM(V11:V13)</f>
        <v>115292046</v>
      </c>
    </row>
    <row r="15" spans="1:22" ht="15" outlineLevel="1" thickTop="1" x14ac:dyDescent="0.35">
      <c r="A15" s="2" t="s">
        <v>362</v>
      </c>
      <c r="B15" s="2"/>
      <c r="C15" s="2"/>
      <c r="D15" s="2"/>
      <c r="E15" s="2"/>
      <c r="F15" s="2"/>
      <c r="G15" s="310">
        <f>'11A.)DemandRateDesignSummary'!D100</f>
        <v>1.72E-2</v>
      </c>
      <c r="H15" s="169">
        <f>K210</f>
        <v>1.72E-2</v>
      </c>
      <c r="I15" s="1"/>
      <c r="J15" s="464"/>
      <c r="K15" s="1279" t="s">
        <v>2194</v>
      </c>
      <c r="L15" s="809">
        <f>'[2]6A.)RateChange'!$BY$56</f>
        <v>147225</v>
      </c>
      <c r="M15" s="809">
        <f>ROUND(L15/$L$9,0)</f>
        <v>145612</v>
      </c>
    </row>
    <row r="16" spans="1:22" outlineLevel="1" x14ac:dyDescent="0.35">
      <c r="A16" s="2" t="s">
        <v>363</v>
      </c>
      <c r="B16" s="2"/>
      <c r="C16" s="2"/>
      <c r="D16" s="2"/>
      <c r="E16" s="2"/>
      <c r="F16" s="2"/>
      <c r="G16" s="310">
        <f>'11A.)DemandRateDesignSummary'!D101</f>
        <v>139.91</v>
      </c>
      <c r="H16" s="169">
        <f>H149</f>
        <v>159.79</v>
      </c>
      <c r="I16" s="1"/>
      <c r="J16" s="1"/>
      <c r="K16" s="1"/>
      <c r="L16" s="726" t="s">
        <v>135</v>
      </c>
      <c r="M16" s="726" t="s">
        <v>134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2" t="s">
        <v>364</v>
      </c>
      <c r="B17" s="2"/>
      <c r="C17" s="2"/>
      <c r="D17" s="2"/>
      <c r="E17" s="2"/>
      <c r="F17" s="2"/>
      <c r="G17" s="310">
        <f>'11A.)DemandRateDesignSummary'!D102</f>
        <v>25.29</v>
      </c>
      <c r="H17" s="169">
        <f>H151</f>
        <v>26.6</v>
      </c>
      <c r="I17" s="1"/>
      <c r="J17" s="1"/>
      <c r="K17" s="222" t="s">
        <v>133</v>
      </c>
      <c r="L17" s="245">
        <f>'[2]6B.)RateChgAllocation'!$N$55</f>
        <v>467599.60360502527</v>
      </c>
      <c r="M17" s="701">
        <f>ROUND(L17/$L$9,0)</f>
        <v>462475</v>
      </c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2" t="s">
        <v>365</v>
      </c>
      <c r="B18" s="2"/>
      <c r="C18" s="2"/>
      <c r="D18" s="2"/>
      <c r="E18" s="2"/>
      <c r="F18" s="2"/>
      <c r="G18" s="310">
        <f>'11A.)DemandRateDesignSummary'!D103</f>
        <v>58.02</v>
      </c>
      <c r="H18" s="169">
        <f>J149</f>
        <v>74.760000000000005</v>
      </c>
      <c r="K18" s="33" t="s">
        <v>132</v>
      </c>
      <c r="L18" s="149">
        <v>0</v>
      </c>
      <c r="M18" s="701">
        <f>ROUND(L18/$L$9,0)</f>
        <v>0</v>
      </c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2" t="s">
        <v>366</v>
      </c>
      <c r="B19" s="2"/>
      <c r="C19" s="2"/>
      <c r="D19" s="2"/>
      <c r="E19" s="2"/>
      <c r="F19" s="2"/>
      <c r="G19" s="311">
        <f>'11A.)DemandRateDesignSummary'!D104</f>
        <v>10.450000000000001</v>
      </c>
      <c r="H19" s="167">
        <f>J151</f>
        <v>10.99</v>
      </c>
      <c r="K19" s="33" t="s">
        <v>131</v>
      </c>
      <c r="L19" s="245">
        <f>'8A.)HY_ED RevShifting'!$E$66</f>
        <v>8215762</v>
      </c>
      <c r="M19" s="245">
        <f>'8A.)HY_ED RevShifting'!$D$66</f>
        <v>8125171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>
      <c r="A20" s="1"/>
      <c r="B20" s="1"/>
      <c r="C20" s="1"/>
      <c r="D20" s="1"/>
      <c r="E20" s="1"/>
      <c r="F20" s="1"/>
      <c r="G20" s="1"/>
      <c r="H20" s="1"/>
      <c r="K20" s="33" t="s">
        <v>130</v>
      </c>
      <c r="L20" s="245">
        <f>IF(ISNUMBER(HLOOKUP($K$5,'8A.)HY_ED RevShifting'!$G$56:$L$70,'8A.)HY_ED RevShifting'!$B$68,0)),HLOOKUP($K$5,'8A.)HY_ED RevShifting'!$G$56:$L$70,'8A.)HY_ED RevShifting'!$B$68,0),0)</f>
        <v>139925</v>
      </c>
      <c r="M20" s="701">
        <f>ROUND(L20/$L$9,0)</f>
        <v>138392</v>
      </c>
    </row>
    <row r="21" spans="1:22" ht="15" outlineLevel="1" thickBot="1" x14ac:dyDescent="0.4">
      <c r="A21" s="1"/>
      <c r="B21" s="1"/>
      <c r="C21" s="1"/>
      <c r="D21" s="1"/>
      <c r="E21" s="1"/>
      <c r="F21" s="1"/>
      <c r="G21" s="1"/>
      <c r="H21" s="1"/>
      <c r="K21" s="33" t="s">
        <v>129</v>
      </c>
      <c r="L21" s="245">
        <f>'[2]4B.)HY_EnergyRatePxOut(Rate I)'!$T$279</f>
        <v>2798501</v>
      </c>
      <c r="M21" s="245">
        <f>'[2]4B.)HY_EnergyRatePxOut(Rate I)'!$V$279</f>
        <v>2798501</v>
      </c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ht="15" outlineLevel="1" thickTop="1" x14ac:dyDescent="0.35">
      <c r="A22" s="1171" t="s">
        <v>2203</v>
      </c>
      <c r="B22" s="1172"/>
      <c r="C22" s="1173"/>
      <c r="D22" s="1"/>
      <c r="E22" s="1"/>
      <c r="F22" s="1"/>
      <c r="G22" s="1177" t="s">
        <v>2193</v>
      </c>
      <c r="H22" s="1"/>
      <c r="K22" s="33" t="s">
        <v>128</v>
      </c>
      <c r="L22" s="149">
        <v>0</v>
      </c>
      <c r="M22" s="134">
        <f>ROUND(L22/$L$9,0)</f>
        <v>0</v>
      </c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A23" s="1241" t="s">
        <v>2204</v>
      </c>
      <c r="B23" s="1236"/>
      <c r="C23" s="1237"/>
      <c r="D23" s="1"/>
      <c r="E23" s="1"/>
      <c r="F23" s="1"/>
      <c r="G23" s="1238">
        <f>IF('[2]3A.)Metering_RateSummary'!$D$10="Y",0,'[2]3A.)Metering_RateSummary'!$C$17)</f>
        <v>2.67</v>
      </c>
      <c r="H23" s="1"/>
      <c r="K23" s="33" t="s">
        <v>127</v>
      </c>
      <c r="L23" s="149">
        <v>0</v>
      </c>
      <c r="M23" s="134">
        <f>ROUND(L23/$L$9,0)</f>
        <v>0</v>
      </c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A24" s="1241" t="s">
        <v>2205</v>
      </c>
      <c r="B24" s="1236"/>
      <c r="C24" s="1237"/>
      <c r="D24" s="1"/>
      <c r="E24" s="1"/>
      <c r="F24" s="1"/>
      <c r="G24" s="1238">
        <f>IF('[2]3A.)Metering_RateSummary'!$D$26="Y",0,'[2]3A.)Metering_RateSummary'!$C$33)</f>
        <v>5.54</v>
      </c>
      <c r="H24" s="1"/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.5" outlineLevel="1" thickTop="1" thickBot="1" x14ac:dyDescent="0.4">
      <c r="A25" s="1174" t="s">
        <v>2206</v>
      </c>
      <c r="B25" s="1175"/>
      <c r="C25" s="1176"/>
      <c r="D25" s="1"/>
      <c r="E25" s="1"/>
      <c r="F25" s="1"/>
      <c r="G25" s="1239">
        <f>IF('[2]3A.)Metering_RateSummary'!$D$42="Y",0,'[2]3A.)Metering_RateSummary'!$C$49)</f>
        <v>6.31</v>
      </c>
      <c r="H25" s="1"/>
      <c r="K25" s="33" t="str">
        <f>CONCATENATE(A4," - T&amp;D Target:")</f>
        <v>SC12 Rate I - T&amp;D Target:</v>
      </c>
      <c r="L25" s="245">
        <f>'[2]6A.)RateChange'!$BN$58</f>
        <v>11745150</v>
      </c>
      <c r="T25" s="150"/>
      <c r="U25" s="150"/>
      <c r="V25" s="150"/>
    </row>
    <row r="26" spans="1:22" ht="15.5" outlineLevel="1" thickTop="1" thickBot="1" x14ac:dyDescent="0.4">
      <c r="A26" s="1174" t="s">
        <v>2228</v>
      </c>
      <c r="B26" s="1175"/>
      <c r="C26" s="1176"/>
      <c r="D26" s="1"/>
      <c r="E26" s="1"/>
      <c r="F26" s="1"/>
      <c r="G26" s="1240">
        <f>G23+G24+G25</f>
        <v>14.52</v>
      </c>
      <c r="H26" s="1"/>
      <c r="K26" s="33" t="s">
        <v>126</v>
      </c>
      <c r="L26" s="149">
        <v>0</v>
      </c>
      <c r="T26" s="150"/>
      <c r="U26" s="150"/>
      <c r="V26" s="150"/>
    </row>
    <row r="27" spans="1:22" ht="15" outlineLevel="1" thickTop="1" x14ac:dyDescent="0.35">
      <c r="A27" s="1"/>
      <c r="B27" s="1"/>
      <c r="C27" s="1"/>
      <c r="D27" s="1"/>
      <c r="E27" s="1"/>
      <c r="F27" s="1"/>
      <c r="G27" s="1"/>
      <c r="H27" s="1"/>
      <c r="K27" s="33" t="s">
        <v>125</v>
      </c>
      <c r="L27" s="245">
        <f>'13D.)TODM_RateDesign_SC12_III'!M285</f>
        <v>95936</v>
      </c>
    </row>
    <row r="28" spans="1:22" outlineLevel="1" x14ac:dyDescent="0.35">
      <c r="K28" s="33" t="s">
        <v>1430</v>
      </c>
      <c r="L28" s="245">
        <f>'10H.)Energy_RateDesign_SC12_EN'!M111</f>
        <v>166162</v>
      </c>
    </row>
    <row r="29" spans="1:22" outlineLevel="1" x14ac:dyDescent="0.35">
      <c r="K29" s="33" t="s">
        <v>123</v>
      </c>
      <c r="L29" s="245">
        <f>'[2]6B.)RateChgAllocation'!$M$55</f>
        <v>0</v>
      </c>
    </row>
    <row r="30" spans="1:22" outlineLevel="1" x14ac:dyDescent="0.35"/>
    <row r="31" spans="1:22" outlineLevel="1" x14ac:dyDescent="0.35"/>
    <row r="32" spans="1:22" s="148" customFormat="1" outlineLevel="1" x14ac:dyDescent="0.35"/>
    <row r="33" spans="1:17" x14ac:dyDescent="0.35">
      <c r="A33" s="407" t="s">
        <v>1651</v>
      </c>
      <c r="B33" s="147"/>
      <c r="C33" s="131"/>
      <c r="D33" s="131"/>
      <c r="E33" s="131"/>
      <c r="F33" s="33" t="s">
        <v>150</v>
      </c>
      <c r="G33" s="595">
        <f>$L$3</f>
        <v>2019</v>
      </c>
    </row>
    <row r="34" spans="1:17" x14ac:dyDescent="0.35">
      <c r="A34" s="131"/>
      <c r="B34" s="131"/>
      <c r="C34" s="131"/>
      <c r="D34" s="131"/>
      <c r="E34" s="131"/>
      <c r="F34" s="33" t="s">
        <v>5</v>
      </c>
      <c r="G34" s="595">
        <f>$L$4</f>
        <v>2020</v>
      </c>
      <c r="H34" t="str">
        <f>$M$4</f>
        <v>RY1</v>
      </c>
    </row>
    <row r="35" spans="1:17" x14ac:dyDescent="0.35">
      <c r="B35" s="41" t="str">
        <f>$A$4</f>
        <v>SC12 Rate I</v>
      </c>
      <c r="C35" s="133" t="s">
        <v>121</v>
      </c>
      <c r="D35" s="133"/>
      <c r="E35" s="133"/>
      <c r="F35" s="133"/>
      <c r="P35"/>
    </row>
    <row r="36" spans="1:17" x14ac:dyDescent="0.35">
      <c r="C36" s="464" t="s">
        <v>2195</v>
      </c>
      <c r="D36" s="464"/>
      <c r="E36" s="464"/>
      <c r="F36" s="464"/>
      <c r="G36" s="464"/>
      <c r="H36" s="464"/>
      <c r="I36" s="810">
        <f>L17-L15</f>
        <v>320374.60360502527</v>
      </c>
      <c r="J36" s="892" t="s">
        <v>79</v>
      </c>
      <c r="L36" s="144"/>
      <c r="P36"/>
      <c r="Q36" s="142"/>
    </row>
    <row r="37" spans="1:17" x14ac:dyDescent="0.35">
      <c r="C37" s="464" t="s">
        <v>119</v>
      </c>
      <c r="D37" s="464"/>
      <c r="E37" s="464"/>
      <c r="F37" s="464"/>
      <c r="G37" s="464"/>
      <c r="H37" s="464"/>
      <c r="I37" s="810">
        <f>L19</f>
        <v>8215762</v>
      </c>
      <c r="J37" s="892" t="s">
        <v>78</v>
      </c>
      <c r="L37" s="144"/>
      <c r="P37"/>
      <c r="Q37" s="142"/>
    </row>
    <row r="38" spans="1:17" x14ac:dyDescent="0.35">
      <c r="C38" s="464" t="s">
        <v>118</v>
      </c>
      <c r="D38" s="464"/>
      <c r="E38" s="464"/>
      <c r="F38" s="464"/>
      <c r="G38" s="464"/>
      <c r="H38" s="464"/>
      <c r="I38" s="810">
        <f>L20</f>
        <v>139925</v>
      </c>
      <c r="J38" s="892" t="s">
        <v>1089</v>
      </c>
      <c r="L38" s="144"/>
      <c r="P38"/>
      <c r="Q38" s="142"/>
    </row>
    <row r="39" spans="1:17" x14ac:dyDescent="0.35">
      <c r="C39" s="1243" t="s">
        <v>117</v>
      </c>
      <c r="D39" s="1243"/>
      <c r="E39" s="1243"/>
      <c r="F39" s="1243"/>
      <c r="G39" s="464"/>
      <c r="H39" s="464"/>
      <c r="I39" s="1244">
        <f>ROUND(I36/(I37+I38),8)</f>
        <v>3.8342099999999997E-2</v>
      </c>
      <c r="J39" s="136" t="s">
        <v>1653</v>
      </c>
      <c r="L39" s="143"/>
      <c r="P39"/>
      <c r="Q39" s="142"/>
    </row>
    <row r="40" spans="1:17" x14ac:dyDescent="0.35">
      <c r="C40" s="392" t="s">
        <v>2196</v>
      </c>
      <c r="D40" s="464"/>
      <c r="E40" s="464"/>
      <c r="F40" s="464"/>
      <c r="G40" s="464"/>
      <c r="H40" s="464"/>
      <c r="I40" s="1233">
        <f>G26</f>
        <v>14.52</v>
      </c>
      <c r="J40" s="1121" t="s">
        <v>213</v>
      </c>
      <c r="L40" s="141"/>
    </row>
    <row r="41" spans="1:17" x14ac:dyDescent="0.35">
      <c r="C41" s="464"/>
      <c r="D41" s="464"/>
      <c r="E41" s="464"/>
      <c r="F41" s="464"/>
      <c r="G41" s="1220" t="s">
        <v>26</v>
      </c>
      <c r="H41" s="1220" t="s">
        <v>116</v>
      </c>
      <c r="I41" s="1220" t="s">
        <v>115</v>
      </c>
    </row>
    <row r="42" spans="1:17" x14ac:dyDescent="0.35">
      <c r="B42" s="41" t="str">
        <f>$A$4</f>
        <v>SC12 Rate I</v>
      </c>
      <c r="C42" s="464" t="s">
        <v>114</v>
      </c>
      <c r="D42" s="464"/>
      <c r="E42" s="464"/>
      <c r="F42" s="464"/>
      <c r="G42" s="1245">
        <f>$T$9</f>
        <v>912</v>
      </c>
      <c r="H42" s="1246">
        <f>G10</f>
        <v>187.11</v>
      </c>
      <c r="I42" s="809">
        <f>ROUND(G42*H42,0)</f>
        <v>170644</v>
      </c>
      <c r="J42" s="61" t="s">
        <v>1654</v>
      </c>
    </row>
    <row r="43" spans="1:17" x14ac:dyDescent="0.35">
      <c r="C43" s="464" t="s">
        <v>113</v>
      </c>
      <c r="D43" s="464"/>
      <c r="E43" s="464"/>
      <c r="F43" s="464"/>
      <c r="G43" s="1245">
        <f>$T$14</f>
        <v>1824</v>
      </c>
      <c r="H43" s="1246">
        <f>G12</f>
        <v>105.06</v>
      </c>
      <c r="I43" s="809">
        <f>ROUND(G43*H43,0)</f>
        <v>191629</v>
      </c>
      <c r="J43" s="61" t="s">
        <v>1655</v>
      </c>
    </row>
    <row r="44" spans="1:17" x14ac:dyDescent="0.35">
      <c r="C44" s="464" t="s">
        <v>112</v>
      </c>
      <c r="D44" s="464"/>
      <c r="E44" s="464"/>
      <c r="F44" s="464"/>
      <c r="G44" s="1245">
        <f>$T$19</f>
        <v>0</v>
      </c>
      <c r="H44" s="1246">
        <f>G16</f>
        <v>139.91</v>
      </c>
      <c r="I44" s="809">
        <f>ROUND(G44*H44,0)</f>
        <v>0</v>
      </c>
      <c r="J44" s="61" t="s">
        <v>1656</v>
      </c>
    </row>
    <row r="45" spans="1:17" x14ac:dyDescent="0.35">
      <c r="C45" s="464" t="s">
        <v>111</v>
      </c>
      <c r="D45" s="464"/>
      <c r="E45" s="464"/>
      <c r="F45" s="464"/>
      <c r="G45" s="1245">
        <f>$T$24</f>
        <v>0</v>
      </c>
      <c r="H45" s="1246">
        <f>G18</f>
        <v>58.02</v>
      </c>
      <c r="I45" s="809">
        <f>ROUND(G45*H45,0)</f>
        <v>0</v>
      </c>
      <c r="J45" s="61" t="s">
        <v>1657</v>
      </c>
    </row>
    <row r="46" spans="1:17" x14ac:dyDescent="0.35">
      <c r="C46" s="464" t="s">
        <v>110</v>
      </c>
      <c r="D46" s="464"/>
      <c r="E46" s="464"/>
      <c r="F46" s="464"/>
      <c r="G46" s="464"/>
      <c r="H46" s="464"/>
      <c r="I46" s="1247">
        <f>SUM(I42:I45)</f>
        <v>362273</v>
      </c>
      <c r="J46" s="61" t="s">
        <v>1658</v>
      </c>
    </row>
    <row r="47" spans="1:17" ht="15" thickBot="1" x14ac:dyDescent="0.4">
      <c r="B47" s="285"/>
      <c r="C47" s="464" t="s">
        <v>308</v>
      </c>
      <c r="D47" s="464"/>
      <c r="E47" s="464"/>
      <c r="F47" s="464"/>
      <c r="G47" s="464"/>
      <c r="H47" s="464"/>
      <c r="I47" s="1249">
        <f>L14</f>
        <v>0</v>
      </c>
      <c r="J47" s="597" t="s">
        <v>1111</v>
      </c>
    </row>
    <row r="48" spans="1:17" ht="15.5" thickTop="1" thickBot="1" x14ac:dyDescent="0.4">
      <c r="C48" s="464" t="s">
        <v>107</v>
      </c>
      <c r="D48" s="464"/>
      <c r="E48" s="464"/>
      <c r="F48" s="464"/>
      <c r="G48" s="464"/>
      <c r="H48" s="464"/>
      <c r="I48" s="813">
        <f>ROUND(I46*(1+I47),0)</f>
        <v>362273</v>
      </c>
      <c r="J48" s="597" t="s">
        <v>1659</v>
      </c>
    </row>
    <row r="49" spans="1:13" ht="15.5" thickTop="1" thickBot="1" x14ac:dyDescent="0.4">
      <c r="C49" s="464" t="s">
        <v>2239</v>
      </c>
      <c r="D49" s="464"/>
      <c r="E49" s="464"/>
      <c r="F49" s="464"/>
      <c r="G49" s="464"/>
      <c r="H49" s="464"/>
      <c r="I49" s="810">
        <f>I40*SUM(G42:G45)</f>
        <v>39726.720000000001</v>
      </c>
      <c r="J49" s="1123" t="s">
        <v>2197</v>
      </c>
    </row>
    <row r="50" spans="1:13" ht="15.5" thickTop="1" thickBot="1" x14ac:dyDescent="0.4">
      <c r="C50" s="464" t="s">
        <v>2238</v>
      </c>
      <c r="D50" s="464"/>
      <c r="E50" s="464"/>
      <c r="F50" s="464"/>
      <c r="G50" s="464"/>
      <c r="H50" s="464"/>
      <c r="I50" s="821">
        <f>ROUND(I48*(1+I39),0)+I49</f>
        <v>415889.72</v>
      </c>
      <c r="J50" s="1123" t="s">
        <v>2198</v>
      </c>
    </row>
    <row r="51" spans="1:13" ht="15" thickTop="1" x14ac:dyDescent="0.35"/>
    <row r="53" spans="1:13" x14ac:dyDescent="0.35">
      <c r="A53" s="407" t="s">
        <v>1652</v>
      </c>
    </row>
    <row r="55" spans="1:13" x14ac:dyDescent="0.35">
      <c r="B55" s="41" t="str">
        <f>$A$4</f>
        <v>SC12 Rate I</v>
      </c>
      <c r="C55" s="133" t="s">
        <v>103</v>
      </c>
      <c r="D55" s="133"/>
      <c r="E55" s="133"/>
      <c r="F55" s="133"/>
      <c r="L55" s="135"/>
    </row>
    <row r="56" spans="1:13" x14ac:dyDescent="0.35">
      <c r="C56" t="s">
        <v>102</v>
      </c>
      <c r="L56" s="819">
        <f>M19</f>
        <v>8125171</v>
      </c>
      <c r="M56" s="61" t="s">
        <v>165</v>
      </c>
    </row>
    <row r="57" spans="1:13" x14ac:dyDescent="0.35">
      <c r="C57" t="s">
        <v>88</v>
      </c>
      <c r="L57" s="819">
        <f>M20</f>
        <v>138392</v>
      </c>
      <c r="M57" s="61" t="s">
        <v>166</v>
      </c>
    </row>
    <row r="58" spans="1:13" ht="15" thickBot="1" x14ac:dyDescent="0.4">
      <c r="C58" t="s">
        <v>99</v>
      </c>
      <c r="K58" s="129"/>
      <c r="L58" s="603">
        <f>I46</f>
        <v>362273</v>
      </c>
      <c r="M58" s="61" t="s">
        <v>1304</v>
      </c>
    </row>
    <row r="59" spans="1:13" ht="15.5" thickTop="1" thickBot="1" x14ac:dyDescent="0.4">
      <c r="C59" s="75" t="s">
        <v>98</v>
      </c>
      <c r="D59" s="75"/>
      <c r="E59" s="75"/>
      <c r="F59" s="75"/>
      <c r="L59" s="740">
        <f>L56+L57-L58</f>
        <v>7901290</v>
      </c>
      <c r="M59" s="61" t="s">
        <v>1660</v>
      </c>
    </row>
    <row r="60" spans="1:13" ht="15" thickTop="1" x14ac:dyDescent="0.35"/>
    <row r="61" spans="1:13" x14ac:dyDescent="0.35">
      <c r="C61" s="131" t="s">
        <v>97</v>
      </c>
      <c r="D61" s="131"/>
      <c r="E61" s="131"/>
      <c r="F61" s="131"/>
      <c r="K61" s="130">
        <f>M17</f>
        <v>462475</v>
      </c>
      <c r="M61" s="61" t="s">
        <v>101</v>
      </c>
    </row>
    <row r="62" spans="1:13" x14ac:dyDescent="0.35">
      <c r="C62" t="s">
        <v>96</v>
      </c>
    </row>
    <row r="63" spans="1:13" x14ac:dyDescent="0.35">
      <c r="C63" s="133" t="s">
        <v>95</v>
      </c>
      <c r="D63" s="133"/>
      <c r="E63" s="133"/>
      <c r="F63" s="133"/>
      <c r="J63" s="926">
        <f>L13</f>
        <v>4.245401E-2</v>
      </c>
      <c r="K63" s="130"/>
      <c r="M63" s="61" t="s">
        <v>100</v>
      </c>
    </row>
    <row r="64" spans="1:13" x14ac:dyDescent="0.35">
      <c r="C64" t="s">
        <v>94</v>
      </c>
      <c r="I64" s="130">
        <f>M18</f>
        <v>0</v>
      </c>
      <c r="J64" s="130">
        <f>ROUND(I64*J$63,0)</f>
        <v>0</v>
      </c>
      <c r="M64" s="61" t="s">
        <v>229</v>
      </c>
    </row>
    <row r="65" spans="1:13" x14ac:dyDescent="0.35">
      <c r="C65" t="s">
        <v>93</v>
      </c>
      <c r="I65" s="130">
        <f>M22</f>
        <v>0</v>
      </c>
      <c r="J65" s="130">
        <f>ROUND(I65*J$63,0)</f>
        <v>0</v>
      </c>
      <c r="M65" s="61" t="s">
        <v>1090</v>
      </c>
    </row>
    <row r="66" spans="1:13" x14ac:dyDescent="0.35">
      <c r="C66" t="s">
        <v>92</v>
      </c>
      <c r="I66" s="130">
        <f>M23</f>
        <v>0</v>
      </c>
      <c r="J66" s="130">
        <f>ROUND(I66*J$63,0)</f>
        <v>0</v>
      </c>
      <c r="K66" s="132">
        <f>J64+J65+J66</f>
        <v>0</v>
      </c>
      <c r="M66" s="61" t="s">
        <v>1091</v>
      </c>
    </row>
    <row r="67" spans="1:13" x14ac:dyDescent="0.35">
      <c r="C67" s="131" t="s">
        <v>91</v>
      </c>
      <c r="D67" s="131"/>
      <c r="E67" s="131"/>
      <c r="F67" s="131"/>
      <c r="K67" s="130">
        <f>K61-K66</f>
        <v>462475</v>
      </c>
      <c r="M67" s="61" t="s">
        <v>1661</v>
      </c>
    </row>
    <row r="68" spans="1:13" x14ac:dyDescent="0.35">
      <c r="J68" s="130"/>
    </row>
    <row r="69" spans="1:13" x14ac:dyDescent="0.35">
      <c r="C69" t="s">
        <v>90</v>
      </c>
      <c r="K69" s="129" t="s">
        <v>89</v>
      </c>
      <c r="L69" s="130">
        <f>L56+K67</f>
        <v>8587646</v>
      </c>
      <c r="M69" s="61" t="s">
        <v>1662</v>
      </c>
    </row>
    <row r="70" spans="1:13" x14ac:dyDescent="0.35">
      <c r="C70" t="s">
        <v>88</v>
      </c>
      <c r="K70" s="129"/>
      <c r="L70" s="130">
        <f>L57</f>
        <v>138392</v>
      </c>
      <c r="M70" s="61" t="s">
        <v>166</v>
      </c>
    </row>
    <row r="71" spans="1:13" ht="15" thickBot="1" x14ac:dyDescent="0.4">
      <c r="C71" s="3" t="s">
        <v>87</v>
      </c>
      <c r="D71" s="3"/>
      <c r="E71" s="3"/>
      <c r="F71" s="3"/>
      <c r="K71" s="129" t="s">
        <v>86</v>
      </c>
      <c r="L71" s="130">
        <f>I50</f>
        <v>415889.72</v>
      </c>
      <c r="M71" s="61" t="s">
        <v>1263</v>
      </c>
    </row>
    <row r="72" spans="1:13" ht="15.5" thickTop="1" thickBot="1" x14ac:dyDescent="0.4">
      <c r="C72" s="75" t="s">
        <v>85</v>
      </c>
      <c r="D72" s="75"/>
      <c r="E72" s="75"/>
      <c r="F72" s="75"/>
      <c r="K72" s="129"/>
      <c r="L72" s="927">
        <f>L69+L70-L71</f>
        <v>8310148.2800000003</v>
      </c>
      <c r="M72" s="61" t="s">
        <v>1663</v>
      </c>
    </row>
    <row r="73" spans="1:13" ht="15" thickTop="1" x14ac:dyDescent="0.35"/>
    <row r="74" spans="1:13" x14ac:dyDescent="0.35">
      <c r="C74" s="75" t="s">
        <v>84</v>
      </c>
      <c r="D74" s="75"/>
      <c r="E74" s="75"/>
      <c r="F74" s="75"/>
      <c r="L74" s="637">
        <f>ROUND(L72/L59-1,8)</f>
        <v>5.1745760000000002E-2</v>
      </c>
      <c r="M74" s="61" t="s">
        <v>1664</v>
      </c>
    </row>
    <row r="77" spans="1:13" x14ac:dyDescent="0.35">
      <c r="A77" s="407" t="s">
        <v>83</v>
      </c>
    </row>
    <row r="80" spans="1:13" ht="15" thickBot="1" x14ac:dyDescent="0.4"/>
    <row r="81" spans="2:15" ht="15.5" thickTop="1" thickBot="1" x14ac:dyDescent="0.4">
      <c r="B81" s="41" t="str">
        <f>$A$4</f>
        <v>SC12 Rate I</v>
      </c>
      <c r="C81" s="3"/>
      <c r="D81" s="3"/>
      <c r="E81" s="3"/>
      <c r="F81" s="3"/>
      <c r="G81" s="3"/>
      <c r="H81" s="1316" t="s">
        <v>82</v>
      </c>
      <c r="I81" s="1317"/>
      <c r="J81" s="1318"/>
      <c r="K81" s="3"/>
      <c r="L81" s="1307" t="s">
        <v>81</v>
      </c>
      <c r="M81" s="1308"/>
      <c r="N81" s="1309"/>
    </row>
    <row r="82" spans="2:15" ht="15" thickTop="1" x14ac:dyDescent="0.35">
      <c r="B82" s="3"/>
      <c r="C82" s="3"/>
      <c r="E82" s="30" t="s">
        <v>80</v>
      </c>
      <c r="F82" s="3"/>
      <c r="G82" s="3"/>
      <c r="H82" s="30" t="s">
        <v>42</v>
      </c>
      <c r="I82" s="30"/>
      <c r="J82" s="30" t="s">
        <v>40</v>
      </c>
      <c r="K82" s="3"/>
      <c r="L82" s="30" t="s">
        <v>42</v>
      </c>
      <c r="M82" s="86"/>
      <c r="N82" s="30" t="s">
        <v>40</v>
      </c>
    </row>
    <row r="83" spans="2:15" x14ac:dyDescent="0.35">
      <c r="B83" s="3" t="s">
        <v>43</v>
      </c>
      <c r="C83" s="3"/>
      <c r="D83" s="121">
        <f>Q6</f>
        <v>0</v>
      </c>
      <c r="E83" s="122" t="str">
        <f>R6</f>
        <v>-</v>
      </c>
      <c r="F83" s="121">
        <f>S6</f>
        <v>5</v>
      </c>
      <c r="G83" s="123"/>
      <c r="H83" s="939">
        <f>G10</f>
        <v>187.11</v>
      </c>
      <c r="I83" s="892" t="s">
        <v>109</v>
      </c>
      <c r="J83" s="939">
        <f>G12</f>
        <v>105.06</v>
      </c>
      <c r="K83" s="892" t="s">
        <v>1639</v>
      </c>
      <c r="L83" s="3"/>
      <c r="M83" s="17"/>
      <c r="N83" s="3"/>
    </row>
    <row r="84" spans="2:15" x14ac:dyDescent="0.35">
      <c r="B84" s="3"/>
      <c r="C84" s="3"/>
      <c r="D84" s="121"/>
      <c r="E84" s="122"/>
      <c r="F84" s="121"/>
      <c r="G84" s="36"/>
      <c r="H84" s="939"/>
      <c r="I84" s="35"/>
      <c r="J84" s="939"/>
      <c r="K84" s="3"/>
      <c r="L84" s="1"/>
      <c r="M84" s="1"/>
      <c r="N84" s="1"/>
    </row>
    <row r="85" spans="2:15" x14ac:dyDescent="0.35">
      <c r="B85" s="3"/>
      <c r="C85" s="3"/>
      <c r="D85" s="2"/>
      <c r="E85" s="122" t="str">
        <f>R7</f>
        <v>&gt;</v>
      </c>
      <c r="F85" s="121">
        <f>S7</f>
        <v>5</v>
      </c>
      <c r="G85" s="36"/>
      <c r="H85" s="939">
        <f>G11</f>
        <v>33.840000000000003</v>
      </c>
      <c r="I85" s="892" t="s">
        <v>108</v>
      </c>
      <c r="J85" s="940">
        <f>G13</f>
        <v>18.98</v>
      </c>
      <c r="K85" s="892" t="s">
        <v>1640</v>
      </c>
      <c r="L85" s="27">
        <f>H85-J$85</f>
        <v>14.860000000000003</v>
      </c>
      <c r="M85" s="61" t="s">
        <v>1666</v>
      </c>
      <c r="N85" s="112"/>
      <c r="O85" s="61" t="s">
        <v>1665</v>
      </c>
    </row>
    <row r="86" spans="2:15" x14ac:dyDescent="0.35">
      <c r="B86" s="3"/>
      <c r="C86" s="3"/>
      <c r="D86" s="2"/>
      <c r="E86" s="122"/>
      <c r="F86" s="122"/>
      <c r="G86" s="36"/>
      <c r="H86" s="939"/>
      <c r="I86" s="120"/>
      <c r="J86" s="939"/>
      <c r="K86" s="3"/>
      <c r="L86" s="27"/>
      <c r="M86" s="61"/>
      <c r="N86" s="61"/>
    </row>
    <row r="87" spans="2:15" x14ac:dyDescent="0.35">
      <c r="B87" s="3" t="s">
        <v>41</v>
      </c>
      <c r="C87" s="3"/>
      <c r="D87" s="121">
        <f>D83</f>
        <v>0</v>
      </c>
      <c r="E87" s="122" t="str">
        <f>E83</f>
        <v>-</v>
      </c>
      <c r="F87" s="121">
        <f>F83</f>
        <v>5</v>
      </c>
      <c r="G87" s="123"/>
      <c r="H87" s="939">
        <f>G16</f>
        <v>139.91</v>
      </c>
      <c r="I87" s="892" t="s">
        <v>1574</v>
      </c>
      <c r="J87" s="939">
        <f>G18</f>
        <v>58.02</v>
      </c>
      <c r="K87" s="892" t="s">
        <v>1603</v>
      </c>
      <c r="L87" s="3"/>
      <c r="M87" s="109"/>
      <c r="N87" s="3"/>
    </row>
    <row r="88" spans="2:15" x14ac:dyDescent="0.35">
      <c r="B88" s="3"/>
      <c r="C88" s="3"/>
      <c r="D88" s="121"/>
      <c r="E88" s="122"/>
      <c r="F88" s="121"/>
      <c r="G88" s="36"/>
      <c r="H88" s="939"/>
      <c r="I88" s="35"/>
      <c r="J88" s="939"/>
      <c r="K88" s="3"/>
      <c r="L88" s="1"/>
      <c r="N88" s="1"/>
    </row>
    <row r="89" spans="2:15" x14ac:dyDescent="0.35">
      <c r="B89" s="3"/>
      <c r="C89" s="3"/>
      <c r="D89" s="2"/>
      <c r="E89" s="122" t="str">
        <f>E85</f>
        <v>&gt;</v>
      </c>
      <c r="F89" s="121">
        <f>F85</f>
        <v>5</v>
      </c>
      <c r="G89" s="36"/>
      <c r="H89" s="939">
        <f>G17</f>
        <v>25.29</v>
      </c>
      <c r="I89" s="892" t="s">
        <v>1638</v>
      </c>
      <c r="J89" s="939">
        <f>G19</f>
        <v>10.450000000000001</v>
      </c>
      <c r="K89" s="892" t="s">
        <v>1604</v>
      </c>
      <c r="L89" s="27">
        <f>H89-J$85</f>
        <v>6.3099999999999987</v>
      </c>
      <c r="M89" s="61" t="s">
        <v>1667</v>
      </c>
      <c r="N89" s="27">
        <f>J89-J$85</f>
        <v>-8.5299999999999994</v>
      </c>
      <c r="O89" s="61" t="s">
        <v>1668</v>
      </c>
    </row>
    <row r="91" spans="2:15" ht="15" thickBot="1" x14ac:dyDescent="0.4"/>
    <row r="92" spans="2:15" ht="15.5" thickTop="1" thickBot="1" x14ac:dyDescent="0.4">
      <c r="B92" s="119" t="s">
        <v>77</v>
      </c>
      <c r="L92" s="1307" t="s">
        <v>76</v>
      </c>
      <c r="M92" s="1308"/>
      <c r="N92" s="1309"/>
    </row>
    <row r="93" spans="2:15" ht="15.5" thickTop="1" thickBot="1" x14ac:dyDescent="0.4">
      <c r="G93" s="118" t="s">
        <v>42</v>
      </c>
      <c r="H93" s="118" t="s">
        <v>40</v>
      </c>
      <c r="L93" s="30" t="s">
        <v>42</v>
      </c>
      <c r="M93" s="86"/>
      <c r="N93" s="30" t="s">
        <v>40</v>
      </c>
    </row>
    <row r="94" spans="2:15" x14ac:dyDescent="0.35">
      <c r="B94" s="3"/>
      <c r="G94" s="117"/>
      <c r="H94" s="116"/>
      <c r="K94" s="367" t="str">
        <f>B83</f>
        <v>Low Tension (LT)</v>
      </c>
      <c r="L94" s="3"/>
      <c r="M94" s="17"/>
      <c r="N94" s="3"/>
    </row>
    <row r="95" spans="2:15" x14ac:dyDescent="0.35">
      <c r="B95" s="3" t="s">
        <v>75</v>
      </c>
      <c r="G95" s="114" t="str">
        <f>CONCATENATE("X + ",L96)</f>
        <v>X + 15.63</v>
      </c>
      <c r="H95" s="115" t="s">
        <v>32</v>
      </c>
      <c r="K95" s="367"/>
      <c r="L95" s="27"/>
      <c r="M95" s="17"/>
      <c r="N95" s="27"/>
    </row>
    <row r="96" spans="2:15" x14ac:dyDescent="0.35">
      <c r="B96" s="3"/>
      <c r="G96" s="114"/>
      <c r="H96" s="113"/>
      <c r="K96" s="367"/>
      <c r="L96" s="27">
        <f>ROUND(L85*(1+$L$74),2)</f>
        <v>15.63</v>
      </c>
      <c r="M96" s="61" t="s">
        <v>1669</v>
      </c>
      <c r="N96" s="112"/>
      <c r="O96" s="61" t="s">
        <v>1665</v>
      </c>
    </row>
    <row r="97" spans="2:15" ht="15" thickBot="1" x14ac:dyDescent="0.4">
      <c r="B97" s="3" t="s">
        <v>73</v>
      </c>
      <c r="G97" s="111" t="str">
        <f>CONCATENATE("X + ",L100)</f>
        <v>X + 6.64</v>
      </c>
      <c r="H97" s="110" t="str">
        <f>CONCATENATE("X + ",N100)</f>
        <v>X + -8.97</v>
      </c>
      <c r="K97" s="367"/>
      <c r="L97" s="27"/>
      <c r="M97" s="109"/>
      <c r="N97" s="109"/>
    </row>
    <row r="98" spans="2:15" x14ac:dyDescent="0.35">
      <c r="K98" s="367" t="str">
        <f>B87</f>
        <v>High Tension (HT)</v>
      </c>
      <c r="L98" s="3"/>
      <c r="M98" s="109"/>
      <c r="N98" s="3"/>
    </row>
    <row r="99" spans="2:15" x14ac:dyDescent="0.35">
      <c r="K99" s="367"/>
      <c r="L99" s="27"/>
      <c r="N99" s="27"/>
    </row>
    <row r="100" spans="2:15" x14ac:dyDescent="0.35">
      <c r="L100" s="27">
        <f>ROUND(L89*(1+$L$74),2)</f>
        <v>6.64</v>
      </c>
      <c r="M100" s="61" t="s">
        <v>1670</v>
      </c>
      <c r="N100" s="27">
        <f>ROUND(N89*(1+$L$74),2)</f>
        <v>-8.9700000000000006</v>
      </c>
      <c r="O100" s="61" t="s">
        <v>1671</v>
      </c>
    </row>
    <row r="101" spans="2:15" x14ac:dyDescent="0.35">
      <c r="L101" s="27"/>
      <c r="M101" s="61"/>
      <c r="N101" s="27"/>
      <c r="O101" s="61"/>
    </row>
    <row r="102" spans="2:15" x14ac:dyDescent="0.35">
      <c r="B102" s="334" t="s">
        <v>70</v>
      </c>
    </row>
    <row r="103" spans="2:15" x14ac:dyDescent="0.35">
      <c r="B103" s="41" t="str">
        <f>$A$4</f>
        <v>SC12 Rate I</v>
      </c>
    </row>
    <row r="104" spans="2:15" ht="15" thickBot="1" x14ac:dyDescent="0.4">
      <c r="B104" s="70" t="s">
        <v>69</v>
      </c>
      <c r="C104" s="70"/>
      <c r="D104" s="70"/>
      <c r="E104" s="3"/>
      <c r="F104" s="3"/>
      <c r="G104" s="3"/>
      <c r="I104" s="69" t="s">
        <v>25</v>
      </c>
      <c r="J104" s="3"/>
      <c r="K104" s="3"/>
    </row>
    <row r="105" spans="2:15" x14ac:dyDescent="0.35">
      <c r="B105" s="3" t="s">
        <v>43</v>
      </c>
      <c r="C105" s="70"/>
      <c r="D105" s="70"/>
      <c r="E105" s="3" t="s">
        <v>42</v>
      </c>
      <c r="F105" s="3"/>
      <c r="G105" s="108" t="str">
        <f>CONCATENATE(D83,E83,F83," kW")</f>
        <v>0-5 kW</v>
      </c>
      <c r="I105" s="72"/>
      <c r="J105" s="36"/>
      <c r="K105" s="74"/>
    </row>
    <row r="106" spans="2:15" x14ac:dyDescent="0.35">
      <c r="B106" s="3" t="s">
        <v>43</v>
      </c>
      <c r="C106" s="3"/>
      <c r="D106" s="3"/>
      <c r="E106" s="3" t="s">
        <v>42</v>
      </c>
      <c r="F106" s="3"/>
      <c r="G106" s="108" t="str">
        <f>CONCATENATE(D85,E85,F85," kW")</f>
        <v>&gt;5 kW</v>
      </c>
      <c r="I106" s="72">
        <f>U7</f>
        <v>88600</v>
      </c>
      <c r="J106" s="36" t="s">
        <v>39</v>
      </c>
      <c r="K106" s="107" t="str">
        <f>CONCATENATE("[",G95,"]")</f>
        <v>[X + 15.63]</v>
      </c>
      <c r="L106" s="61" t="s">
        <v>1698</v>
      </c>
    </row>
    <row r="107" spans="2:15" x14ac:dyDescent="0.35">
      <c r="B107" s="3" t="s">
        <v>43</v>
      </c>
      <c r="C107" s="3"/>
      <c r="D107" s="3"/>
      <c r="E107" s="3" t="s">
        <v>40</v>
      </c>
      <c r="F107" s="3"/>
      <c r="G107" s="3" t="str">
        <f>G105</f>
        <v>0-5 kW</v>
      </c>
      <c r="I107" s="72"/>
      <c r="J107" s="36"/>
      <c r="K107" s="73"/>
      <c r="L107" s="61"/>
    </row>
    <row r="108" spans="2:15" x14ac:dyDescent="0.35">
      <c r="B108" s="3" t="s">
        <v>43</v>
      </c>
      <c r="C108" s="3"/>
      <c r="D108" s="3"/>
      <c r="E108" s="3" t="s">
        <v>40</v>
      </c>
      <c r="F108" s="3"/>
      <c r="G108" s="3" t="str">
        <f>G106</f>
        <v>&gt;5 kW</v>
      </c>
      <c r="I108" s="72">
        <f>U12</f>
        <v>258373</v>
      </c>
      <c r="J108" s="36" t="s">
        <v>39</v>
      </c>
      <c r="K108" s="73" t="str">
        <f>CONCATENATE("[",H95,"]")</f>
        <v>[X]</v>
      </c>
      <c r="L108" s="61" t="s">
        <v>1699</v>
      </c>
    </row>
    <row r="109" spans="2:15" x14ac:dyDescent="0.35">
      <c r="B109" s="3" t="s">
        <v>41</v>
      </c>
      <c r="C109" s="3"/>
      <c r="D109" s="3"/>
      <c r="E109" s="3" t="s">
        <v>42</v>
      </c>
      <c r="F109" s="3"/>
      <c r="G109" s="3" t="str">
        <f>G105</f>
        <v>0-5 kW</v>
      </c>
      <c r="I109" s="72"/>
      <c r="J109" s="36"/>
      <c r="K109" s="73"/>
      <c r="L109" s="61"/>
    </row>
    <row r="110" spans="2:15" x14ac:dyDescent="0.35">
      <c r="B110" s="3" t="s">
        <v>41</v>
      </c>
      <c r="C110" s="3"/>
      <c r="D110" s="3"/>
      <c r="E110" s="3" t="s">
        <v>42</v>
      </c>
      <c r="F110" s="3"/>
      <c r="G110" s="3" t="str">
        <f>G106</f>
        <v>&gt;5 kW</v>
      </c>
      <c r="I110" s="72">
        <f>U17</f>
        <v>0</v>
      </c>
      <c r="J110" s="36" t="s">
        <v>39</v>
      </c>
      <c r="K110" s="73" t="str">
        <f>CONCATENATE("[",G97,"]")</f>
        <v>[X + 6.64]</v>
      </c>
      <c r="L110" s="61" t="s">
        <v>1700</v>
      </c>
    </row>
    <row r="111" spans="2:15" x14ac:dyDescent="0.35">
      <c r="B111" s="3" t="s">
        <v>41</v>
      </c>
      <c r="C111" s="3"/>
      <c r="D111" s="3"/>
      <c r="E111" s="3" t="s">
        <v>40</v>
      </c>
      <c r="F111" s="3"/>
      <c r="G111" s="3" t="str">
        <f>G105</f>
        <v>0-5 kW</v>
      </c>
      <c r="I111" s="72"/>
      <c r="J111" s="36"/>
      <c r="K111" s="73"/>
      <c r="L111" s="61"/>
    </row>
    <row r="112" spans="2:15" ht="15" thickBot="1" x14ac:dyDescent="0.4">
      <c r="B112" s="3" t="s">
        <v>41</v>
      </c>
      <c r="C112" s="3"/>
      <c r="D112" s="3"/>
      <c r="E112" s="3" t="s">
        <v>40</v>
      </c>
      <c r="F112" s="3"/>
      <c r="G112" s="3" t="str">
        <f>G106</f>
        <v>&gt;5 kW</v>
      </c>
      <c r="I112" s="351">
        <f>U22</f>
        <v>0</v>
      </c>
      <c r="J112" s="36" t="s">
        <v>39</v>
      </c>
      <c r="K112" s="71" t="str">
        <f>CONCATENATE("[",H97,"]")</f>
        <v>[X + -8.97]</v>
      </c>
      <c r="L112" s="61" t="s">
        <v>1701</v>
      </c>
    </row>
    <row r="113" spans="2:14" x14ac:dyDescent="0.35">
      <c r="I113" s="28">
        <f>SUM(I105:I112)</f>
        <v>346973</v>
      </c>
      <c r="J113" s="61" t="s">
        <v>1672</v>
      </c>
    </row>
    <row r="115" spans="2:14" x14ac:dyDescent="0.35">
      <c r="B115" s="70" t="s">
        <v>38</v>
      </c>
    </row>
    <row r="116" spans="2:14" x14ac:dyDescent="0.35">
      <c r="B116" s="41" t="str">
        <f>$A$4</f>
        <v>SC12 Rate I</v>
      </c>
      <c r="F116" s="3"/>
      <c r="G116" s="3"/>
      <c r="H116" s="3"/>
      <c r="I116" s="69" t="s">
        <v>25</v>
      </c>
      <c r="J116" s="3"/>
      <c r="K116" s="106"/>
      <c r="L116" s="3"/>
      <c r="M116" s="3"/>
      <c r="N116" s="17"/>
    </row>
    <row r="117" spans="2:14" x14ac:dyDescent="0.35">
      <c r="B117" s="3" t="s">
        <v>727</v>
      </c>
      <c r="C117" s="3"/>
      <c r="F117" s="3"/>
      <c r="G117" s="3"/>
      <c r="H117" s="3"/>
      <c r="I117" s="105"/>
      <c r="J117" s="65"/>
      <c r="K117" s="34"/>
      <c r="L117" s="3"/>
      <c r="M117" s="17"/>
      <c r="N117" s="17"/>
    </row>
    <row r="118" spans="2:14" x14ac:dyDescent="0.35">
      <c r="B118" s="3" t="s">
        <v>37</v>
      </c>
      <c r="C118" s="3"/>
      <c r="F118" s="3"/>
      <c r="G118" s="3"/>
      <c r="H118" s="3"/>
      <c r="I118" s="105">
        <f t="shared" ref="I118:I124" si="0">I106</f>
        <v>88600</v>
      </c>
      <c r="J118" s="65" t="s">
        <v>63</v>
      </c>
      <c r="K118" s="34">
        <f>ROUND(I118*L96,0)</f>
        <v>1384818</v>
      </c>
      <c r="L118" s="3" t="s">
        <v>62</v>
      </c>
      <c r="M118" s="61" t="s">
        <v>1702</v>
      </c>
      <c r="N118" s="17"/>
    </row>
    <row r="119" spans="2:14" x14ac:dyDescent="0.35">
      <c r="B119" s="3" t="s">
        <v>728</v>
      </c>
      <c r="C119" s="3"/>
      <c r="F119" s="3"/>
      <c r="G119" s="3"/>
      <c r="H119" s="3"/>
      <c r="I119" s="105"/>
      <c r="J119" s="65"/>
      <c r="K119" s="34"/>
      <c r="L119" s="3"/>
      <c r="M119" s="17"/>
      <c r="N119" s="17"/>
    </row>
    <row r="120" spans="2:14" x14ac:dyDescent="0.35">
      <c r="B120" s="3" t="s">
        <v>36</v>
      </c>
      <c r="C120" s="3"/>
      <c r="F120" s="3"/>
      <c r="G120" s="3"/>
      <c r="H120" s="3"/>
      <c r="I120" s="105">
        <f t="shared" si="0"/>
        <v>258373</v>
      </c>
      <c r="J120" s="65" t="s">
        <v>63</v>
      </c>
      <c r="K120" s="34">
        <f>ROUND(I120*N96,0)</f>
        <v>0</v>
      </c>
      <c r="L120" s="3" t="s">
        <v>62</v>
      </c>
      <c r="M120" s="61" t="s">
        <v>1703</v>
      </c>
      <c r="N120" s="17"/>
    </row>
    <row r="121" spans="2:14" x14ac:dyDescent="0.35">
      <c r="B121" s="3" t="s">
        <v>729</v>
      </c>
      <c r="C121" s="3"/>
      <c r="F121" s="3"/>
      <c r="G121" s="3"/>
      <c r="H121" s="3"/>
      <c r="I121" s="105"/>
      <c r="J121" s="65"/>
      <c r="K121" s="34"/>
      <c r="L121" s="3"/>
      <c r="M121" s="17"/>
      <c r="N121" s="17"/>
    </row>
    <row r="122" spans="2:14" x14ac:dyDescent="0.35">
      <c r="B122" s="3" t="s">
        <v>35</v>
      </c>
      <c r="C122" s="3"/>
      <c r="F122" s="3"/>
      <c r="G122" s="3"/>
      <c r="H122" s="3"/>
      <c r="I122" s="105">
        <f t="shared" si="0"/>
        <v>0</v>
      </c>
      <c r="J122" s="104" t="s">
        <v>63</v>
      </c>
      <c r="K122" s="34">
        <f>ROUND(I122*L100,0)</f>
        <v>0</v>
      </c>
      <c r="L122" s="44" t="s">
        <v>62</v>
      </c>
      <c r="M122" s="61" t="s">
        <v>1704</v>
      </c>
      <c r="N122" s="17"/>
    </row>
    <row r="123" spans="2:14" x14ac:dyDescent="0.35">
      <c r="B123" s="3" t="s">
        <v>730</v>
      </c>
      <c r="C123" s="3"/>
      <c r="F123" s="3"/>
      <c r="G123" s="3"/>
      <c r="H123" s="3"/>
      <c r="I123" s="105"/>
      <c r="J123" s="104"/>
      <c r="K123" s="34"/>
      <c r="L123" s="44"/>
      <c r="M123" s="17"/>
      <c r="N123" s="17"/>
    </row>
    <row r="124" spans="2:14" x14ac:dyDescent="0.35">
      <c r="B124" s="3" t="s">
        <v>34</v>
      </c>
      <c r="C124" s="3"/>
      <c r="F124" s="3"/>
      <c r="G124" s="3"/>
      <c r="H124" s="3"/>
      <c r="I124" s="351">
        <f t="shared" si="0"/>
        <v>0</v>
      </c>
      <c r="J124" s="104" t="s">
        <v>63</v>
      </c>
      <c r="K124" s="37">
        <f>ROUND(I124*N100,0)</f>
        <v>0</v>
      </c>
      <c r="L124" s="44" t="s">
        <v>62</v>
      </c>
      <c r="M124" s="61" t="s">
        <v>1705</v>
      </c>
      <c r="N124" s="17"/>
    </row>
    <row r="125" spans="2:14" x14ac:dyDescent="0.35">
      <c r="B125" s="3" t="s">
        <v>33</v>
      </c>
      <c r="C125" s="3"/>
      <c r="F125" s="66"/>
      <c r="G125" s="66">
        <f>L72</f>
        <v>8310148.2800000003</v>
      </c>
      <c r="H125" s="63" t="s">
        <v>31</v>
      </c>
      <c r="I125" s="28">
        <f>SUM(I117:I124)</f>
        <v>346973</v>
      </c>
      <c r="J125" s="65" t="s">
        <v>63</v>
      </c>
      <c r="K125" s="103">
        <f>SUM(K117:K124)</f>
        <v>1384818</v>
      </c>
      <c r="L125" s="3" t="s">
        <v>1673</v>
      </c>
      <c r="M125" s="61" t="s">
        <v>1706</v>
      </c>
      <c r="N125" s="17"/>
    </row>
    <row r="126" spans="2:14" x14ac:dyDescent="0.35">
      <c r="F126" s="3"/>
      <c r="G126" s="3"/>
      <c r="H126" s="3"/>
      <c r="I126" s="3"/>
      <c r="J126" s="3"/>
      <c r="K126" s="3"/>
      <c r="L126" s="3"/>
      <c r="M126" s="61" t="s">
        <v>1675</v>
      </c>
      <c r="N126" s="17"/>
    </row>
    <row r="127" spans="2:14" x14ac:dyDescent="0.35">
      <c r="F127" s="34"/>
      <c r="G127" s="34">
        <f>G125-K125</f>
        <v>6925330.2800000003</v>
      </c>
      <c r="H127" s="63" t="s">
        <v>31</v>
      </c>
      <c r="I127" s="28">
        <f>I125</f>
        <v>346973</v>
      </c>
      <c r="J127" s="65" t="s">
        <v>32</v>
      </c>
      <c r="K127" s="3"/>
      <c r="L127" s="3"/>
      <c r="M127" s="61" t="s">
        <v>1676</v>
      </c>
      <c r="N127" s="17"/>
    </row>
    <row r="128" spans="2:14" ht="15" thickBot="1" x14ac:dyDescent="0.4">
      <c r="F128" s="3"/>
      <c r="G128" s="3"/>
      <c r="H128" s="3"/>
      <c r="I128" s="3"/>
      <c r="J128" s="3"/>
      <c r="K128" s="3"/>
      <c r="L128" s="3"/>
      <c r="M128" s="3"/>
      <c r="N128" s="17"/>
    </row>
    <row r="129" spans="2:16" ht="15.5" thickTop="1" thickBot="1" x14ac:dyDescent="0.4">
      <c r="F129" s="101"/>
      <c r="G129" s="101" t="s">
        <v>61</v>
      </c>
      <c r="H129" s="63" t="s">
        <v>31</v>
      </c>
      <c r="I129" s="102">
        <f>ROUND(G127/I127,2)</f>
        <v>19.96</v>
      </c>
      <c r="J129" s="61" t="s">
        <v>1674</v>
      </c>
    </row>
    <row r="130" spans="2:16" ht="15.5" thickTop="1" thickBot="1" x14ac:dyDescent="0.4">
      <c r="F130" s="101"/>
      <c r="G130" s="3"/>
      <c r="H130" s="3"/>
      <c r="I130" s="3"/>
      <c r="J130" s="3"/>
    </row>
    <row r="131" spans="2:16" ht="15.5" thickTop="1" thickBot="1" x14ac:dyDescent="0.4">
      <c r="F131" s="101"/>
      <c r="G131" s="101" t="s">
        <v>1770</v>
      </c>
      <c r="H131" s="63" t="s">
        <v>31</v>
      </c>
      <c r="I131" s="102"/>
      <c r="J131" s="3"/>
      <c r="K131" s="3"/>
      <c r="L131" s="100"/>
      <c r="M131" s="34"/>
      <c r="N131" s="17"/>
    </row>
    <row r="132" spans="2:16" ht="15.5" thickTop="1" thickBot="1" x14ac:dyDescent="0.4">
      <c r="F132" s="64"/>
      <c r="G132" s="64" t="s">
        <v>32</v>
      </c>
      <c r="H132" s="63" t="s">
        <v>31</v>
      </c>
      <c r="I132" s="99">
        <f>I129+I130+I131</f>
        <v>19.96</v>
      </c>
      <c r="J132" s="61" t="s">
        <v>1674</v>
      </c>
      <c r="K132" s="3"/>
      <c r="L132" s="3"/>
      <c r="M132" s="3"/>
      <c r="N132" s="17"/>
    </row>
    <row r="133" spans="2:16" ht="15" thickTop="1" x14ac:dyDescent="0.35"/>
    <row r="135" spans="2:16" x14ac:dyDescent="0.35">
      <c r="B135" s="334" t="str">
        <f>CONCATENATE($A$4," at Proposed Demand Rates")</f>
        <v>SC12 Rate I at Proposed Demand Rates</v>
      </c>
    </row>
    <row r="136" spans="2:16" ht="15" thickBot="1" x14ac:dyDescent="0.4">
      <c r="C136" s="3" t="s">
        <v>5</v>
      </c>
      <c r="D136" s="1319">
        <f>$L$4</f>
        <v>2020</v>
      </c>
      <c r="E136" s="1319"/>
      <c r="F136" s="1319"/>
      <c r="G136" s="3"/>
      <c r="H136" s="3"/>
      <c r="I136" s="3"/>
      <c r="J136" s="3"/>
      <c r="K136" s="3"/>
      <c r="L136" s="3"/>
      <c r="M136" s="3"/>
      <c r="N136" s="17"/>
      <c r="O136" s="3"/>
    </row>
    <row r="137" spans="2:16" ht="15.5" thickTop="1" thickBot="1" x14ac:dyDescent="0.4">
      <c r="C137" s="3"/>
      <c r="D137" s="3"/>
      <c r="E137" s="3"/>
      <c r="F137" s="3"/>
      <c r="G137" s="3"/>
      <c r="H137" s="1307" t="s">
        <v>59</v>
      </c>
      <c r="I137" s="1308"/>
      <c r="J137" s="1309"/>
      <c r="K137" s="3"/>
      <c r="L137" s="3"/>
      <c r="M137" s="3"/>
      <c r="N137" s="3"/>
    </row>
    <row r="138" spans="2:16" ht="15" thickTop="1" x14ac:dyDescent="0.35">
      <c r="C138" s="3"/>
      <c r="D138" s="3"/>
      <c r="E138" s="3"/>
      <c r="F138" s="3"/>
      <c r="G138" s="3"/>
      <c r="H138" s="36" t="s">
        <v>10</v>
      </c>
      <c r="I138" s="3"/>
      <c r="J138" s="36" t="s">
        <v>7</v>
      </c>
      <c r="K138" s="3"/>
      <c r="L138" s="3"/>
      <c r="M138" s="3"/>
      <c r="N138" s="3"/>
    </row>
    <row r="139" spans="2:16" x14ac:dyDescent="0.35">
      <c r="C139" s="3" t="s">
        <v>9</v>
      </c>
      <c r="D139" s="36">
        <f>D83</f>
        <v>0</v>
      </c>
      <c r="E139" s="36" t="str">
        <f>E83</f>
        <v>-</v>
      </c>
      <c r="F139" s="36">
        <f>F83</f>
        <v>5</v>
      </c>
      <c r="G139" s="3"/>
      <c r="H139" s="35">
        <f>G10</f>
        <v>187.11</v>
      </c>
      <c r="I139" s="61" t="s">
        <v>50</v>
      </c>
      <c r="J139" s="35">
        <f>G12</f>
        <v>105.06</v>
      </c>
      <c r="K139" s="61" t="s">
        <v>48</v>
      </c>
      <c r="L139" s="3"/>
      <c r="M139" s="3"/>
      <c r="N139" s="3"/>
    </row>
    <row r="140" spans="2:16" x14ac:dyDescent="0.35">
      <c r="C140" s="3" t="s">
        <v>8</v>
      </c>
      <c r="D140" s="36">
        <f>D139</f>
        <v>0</v>
      </c>
      <c r="E140" s="36" t="str">
        <f>E139</f>
        <v>-</v>
      </c>
      <c r="F140" s="36">
        <f>F139</f>
        <v>5</v>
      </c>
      <c r="G140" s="3"/>
      <c r="H140" s="35">
        <f>G16</f>
        <v>139.91</v>
      </c>
      <c r="I140" s="61" t="s">
        <v>49</v>
      </c>
      <c r="J140" s="35">
        <f>G18</f>
        <v>58.02</v>
      </c>
      <c r="K140" s="61" t="s">
        <v>47</v>
      </c>
      <c r="L140" s="3"/>
      <c r="M140" s="3"/>
      <c r="N140" s="3"/>
    </row>
    <row r="141" spans="2:16" ht="15" thickBot="1" x14ac:dyDescent="0.4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6" ht="15" thickBot="1" x14ac:dyDescent="0.4">
      <c r="C142" s="60"/>
      <c r="D142" s="59"/>
      <c r="E142" s="59"/>
      <c r="F142" s="59"/>
      <c r="G142" s="59"/>
      <c r="H142" s="59"/>
      <c r="I142" s="59"/>
      <c r="J142" s="59"/>
      <c r="K142" s="59"/>
      <c r="L142" s="98"/>
      <c r="M142" s="3"/>
      <c r="N142" s="3"/>
    </row>
    <row r="143" spans="2:16" ht="15.5" thickTop="1" thickBot="1" x14ac:dyDescent="0.4">
      <c r="C143" s="96"/>
      <c r="D143" s="44"/>
      <c r="E143" s="44"/>
      <c r="F143" s="44"/>
      <c r="G143" s="44"/>
      <c r="H143" s="1313" t="s">
        <v>58</v>
      </c>
      <c r="I143" s="1314"/>
      <c r="J143" s="1315"/>
      <c r="K143" s="44"/>
      <c r="L143" s="94"/>
      <c r="M143" s="1348" t="s">
        <v>57</v>
      </c>
      <c r="N143" s="1349"/>
      <c r="O143" s="1349"/>
      <c r="P143" s="1349"/>
    </row>
    <row r="144" spans="2:16" ht="15" thickTop="1" x14ac:dyDescent="0.35">
      <c r="C144" s="96"/>
      <c r="D144" s="44"/>
      <c r="E144" s="44"/>
      <c r="F144" s="44"/>
      <c r="G144" s="44"/>
      <c r="H144" s="56" t="s">
        <v>10</v>
      </c>
      <c r="I144" s="44"/>
      <c r="J144" s="56" t="s">
        <v>7</v>
      </c>
      <c r="K144" s="44"/>
      <c r="L144" s="94"/>
      <c r="M144" s="36" t="s">
        <v>10</v>
      </c>
      <c r="O144" s="36" t="s">
        <v>7</v>
      </c>
    </row>
    <row r="145" spans="1:16" x14ac:dyDescent="0.35">
      <c r="C145" s="96" t="s">
        <v>9</v>
      </c>
      <c r="D145" s="56">
        <f>D83</f>
        <v>0</v>
      </c>
      <c r="E145" s="56" t="str">
        <f>E83</f>
        <v>-</v>
      </c>
      <c r="F145" s="56">
        <f>F83</f>
        <v>5</v>
      </c>
      <c r="G145" s="44"/>
      <c r="H145" s="1124">
        <f>ROUND(H139*(1+$L$14)*(1+$I$39)+$I$40,2)</f>
        <v>208.8</v>
      </c>
      <c r="I145" s="1001" t="s">
        <v>2199</v>
      </c>
      <c r="J145" s="1124">
        <f>ROUND(J139*(1+$L$14)*(1+$I$39)+$I$40,2)</f>
        <v>123.61</v>
      </c>
      <c r="K145" s="1001" t="s">
        <v>2200</v>
      </c>
      <c r="L145" s="94"/>
      <c r="M145" s="81">
        <f>ROUND(H145/H83-1,4)</f>
        <v>0.1159</v>
      </c>
      <c r="N145" s="54" t="s">
        <v>1682</v>
      </c>
      <c r="O145" s="81">
        <f>ROUND(J145/J83-1,4)</f>
        <v>0.17660000000000001</v>
      </c>
      <c r="P145" s="54" t="s">
        <v>1686</v>
      </c>
    </row>
    <row r="146" spans="1:16" x14ac:dyDescent="0.35">
      <c r="C146" s="96"/>
      <c r="D146" s="56"/>
      <c r="E146" s="56"/>
      <c r="F146" s="56"/>
      <c r="G146" s="44"/>
      <c r="H146" s="52"/>
      <c r="I146" s="52"/>
      <c r="J146" s="52"/>
      <c r="K146" s="52"/>
      <c r="L146" s="94"/>
      <c r="M146" s="81"/>
      <c r="O146" s="81"/>
    </row>
    <row r="147" spans="1:16" x14ac:dyDescent="0.35">
      <c r="C147" s="96"/>
      <c r="D147" s="44"/>
      <c r="E147" s="56" t="str">
        <f>E85</f>
        <v>&gt;</v>
      </c>
      <c r="F147" s="56">
        <f>F85</f>
        <v>5</v>
      </c>
      <c r="G147" s="44"/>
      <c r="H147" s="737">
        <f>$I$132+L96</f>
        <v>35.590000000000003</v>
      </c>
      <c r="I147" s="52" t="s">
        <v>1678</v>
      </c>
      <c r="J147" s="737">
        <f>$I$132+N96</f>
        <v>19.96</v>
      </c>
      <c r="K147" s="52" t="s">
        <v>1681</v>
      </c>
      <c r="L147" s="94"/>
      <c r="M147" s="81">
        <f>ROUND(H147/H85-1,4)</f>
        <v>5.1700000000000003E-2</v>
      </c>
      <c r="N147" s="54" t="s">
        <v>1683</v>
      </c>
      <c r="O147" s="81">
        <f>ROUND(J147/J85-1,4)</f>
        <v>5.16E-2</v>
      </c>
      <c r="P147" s="54" t="s">
        <v>1687</v>
      </c>
    </row>
    <row r="148" spans="1:16" ht="14.25" customHeight="1" x14ac:dyDescent="0.35">
      <c r="C148" s="96"/>
      <c r="D148" s="44"/>
      <c r="E148" s="44"/>
      <c r="F148" s="44"/>
      <c r="G148" s="44"/>
      <c r="H148" s="731"/>
      <c r="I148" s="52"/>
      <c r="J148" s="731"/>
      <c r="K148" s="52"/>
      <c r="L148" s="94"/>
      <c r="M148" s="17"/>
    </row>
    <row r="149" spans="1:16" x14ac:dyDescent="0.35">
      <c r="C149" s="96" t="s">
        <v>8</v>
      </c>
      <c r="D149" s="56">
        <f>D145</f>
        <v>0</v>
      </c>
      <c r="E149" s="56" t="str">
        <f>E145</f>
        <v>-</v>
      </c>
      <c r="F149" s="56">
        <f>F145</f>
        <v>5</v>
      </c>
      <c r="G149" s="44"/>
      <c r="H149" s="1124">
        <f>ROUND(H140*(1+$L$14)*(1+$I$39)+$I$40,2)</f>
        <v>159.79</v>
      </c>
      <c r="I149" s="1001" t="s">
        <v>2201</v>
      </c>
      <c r="J149" s="1124">
        <f>ROUND(J140*(1+$L$14)*(1+$I$39)+$I$40,2)</f>
        <v>74.760000000000005</v>
      </c>
      <c r="K149" s="1001" t="s">
        <v>2202</v>
      </c>
      <c r="L149" s="94"/>
      <c r="M149" s="81">
        <f>ROUND(H149/H87-1,4)</f>
        <v>0.1421</v>
      </c>
      <c r="N149" s="54" t="s">
        <v>1684</v>
      </c>
      <c r="O149" s="81">
        <f>ROUND(J149/J87-1,4)</f>
        <v>0.28849999999999998</v>
      </c>
      <c r="P149" s="54" t="s">
        <v>1688</v>
      </c>
    </row>
    <row r="150" spans="1:16" x14ac:dyDescent="0.35">
      <c r="C150" s="96"/>
      <c r="D150" s="56"/>
      <c r="E150" s="56"/>
      <c r="F150" s="56"/>
      <c r="G150" s="44"/>
      <c r="H150" s="52"/>
      <c r="I150" s="52"/>
      <c r="J150" s="52"/>
      <c r="K150" s="52"/>
      <c r="L150" s="94"/>
      <c r="M150" s="81"/>
      <c r="O150" s="81"/>
    </row>
    <row r="151" spans="1:16" x14ac:dyDescent="0.35">
      <c r="C151" s="96"/>
      <c r="D151" s="56"/>
      <c r="E151" s="56" t="str">
        <f>E147</f>
        <v>&gt;</v>
      </c>
      <c r="F151" s="56">
        <f>F147</f>
        <v>5</v>
      </c>
      <c r="G151" s="44"/>
      <c r="H151" s="737">
        <f>$I$132+L100</f>
        <v>26.6</v>
      </c>
      <c r="I151" s="52" t="s">
        <v>1680</v>
      </c>
      <c r="J151" s="737">
        <f>$I$132+N100</f>
        <v>10.99</v>
      </c>
      <c r="K151" s="52" t="s">
        <v>1679</v>
      </c>
      <c r="L151" s="94"/>
      <c r="M151" s="81">
        <f>ROUND(H151/H89-1,4)</f>
        <v>5.1799999999999999E-2</v>
      </c>
      <c r="N151" s="54" t="s">
        <v>1685</v>
      </c>
      <c r="O151" s="81">
        <f>ROUND(J151/J89-1,4)</f>
        <v>5.1700000000000003E-2</v>
      </c>
      <c r="P151" s="54" t="s">
        <v>1689</v>
      </c>
    </row>
    <row r="152" spans="1:16" ht="15" thickBot="1" x14ac:dyDescent="0.4">
      <c r="C152" s="93"/>
      <c r="D152" s="46"/>
      <c r="E152" s="46"/>
      <c r="F152" s="46"/>
      <c r="G152" s="46"/>
      <c r="H152" s="46"/>
      <c r="I152" s="92"/>
      <c r="J152" s="46"/>
      <c r="K152" s="92"/>
      <c r="L152" s="91"/>
      <c r="M152" s="17"/>
    </row>
    <row r="155" spans="1:16" x14ac:dyDescent="0.35">
      <c r="A155" s="334" t="s">
        <v>56</v>
      </c>
      <c r="B155" s="3"/>
      <c r="C155" s="3"/>
      <c r="D155" s="3"/>
      <c r="E155" s="3"/>
      <c r="F155" s="3"/>
      <c r="G155" s="3"/>
      <c r="H155" s="3"/>
      <c r="I155" s="3"/>
    </row>
    <row r="156" spans="1:16" x14ac:dyDescent="0.35">
      <c r="A156" s="42"/>
      <c r="B156" s="3"/>
      <c r="C156" s="3"/>
      <c r="D156" s="3"/>
      <c r="E156" s="3"/>
      <c r="F156" s="3"/>
      <c r="G156" s="3"/>
      <c r="H156" s="3"/>
      <c r="I156" s="3"/>
    </row>
    <row r="157" spans="1:16" x14ac:dyDescent="0.35">
      <c r="A157" s="42"/>
      <c r="B157" s="334" t="s">
        <v>55</v>
      </c>
      <c r="C157" s="3"/>
      <c r="D157" s="3"/>
      <c r="E157" s="3"/>
      <c r="F157" s="3"/>
      <c r="G157" s="3"/>
      <c r="H157" s="3"/>
      <c r="I157" s="3"/>
    </row>
    <row r="158" spans="1:16" x14ac:dyDescent="0.35">
      <c r="A158" s="42"/>
      <c r="B158" s="41" t="str">
        <f>$A$4</f>
        <v>SC12 Rate I</v>
      </c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3" t="s">
        <v>54</v>
      </c>
      <c r="C159" s="3"/>
      <c r="D159" s="3"/>
      <c r="E159" s="3"/>
      <c r="F159" s="3"/>
      <c r="G159" s="3"/>
      <c r="H159" s="3"/>
      <c r="I159" s="520">
        <f>L21</f>
        <v>2798501</v>
      </c>
      <c r="J159" s="61" t="s">
        <v>1690</v>
      </c>
      <c r="L159" s="3"/>
    </row>
    <row r="160" spans="1:16" x14ac:dyDescent="0.35">
      <c r="A160" s="42"/>
      <c r="B160" s="3" t="str">
        <f>CONCATENATE("Less: ",$L$5," Energy Revenues to Demand at Current Rates Level")</f>
        <v>Less: Shift of 5% Energy Revenues to Demand at Current Rates Level</v>
      </c>
      <c r="C160" s="3"/>
      <c r="D160" s="3"/>
      <c r="E160" s="3"/>
      <c r="F160" s="3"/>
      <c r="G160" s="3"/>
      <c r="H160" s="3"/>
      <c r="I160" s="520">
        <f>L20</f>
        <v>139925</v>
      </c>
      <c r="J160" s="61" t="s">
        <v>1691</v>
      </c>
      <c r="L160" s="3"/>
    </row>
    <row r="161" spans="1:15" x14ac:dyDescent="0.35">
      <c r="A161" s="42"/>
      <c r="B161" s="3" t="str">
        <f>CONCATENATE("Add: ",B158," Energy Share of Proposed Rate Change")</f>
        <v>Add: SC12 Rate I Energy Share of Proposed Rate Change</v>
      </c>
      <c r="C161" s="3"/>
      <c r="D161" s="3"/>
      <c r="E161" s="3"/>
      <c r="F161" s="3"/>
      <c r="G161" s="3"/>
      <c r="H161" s="3"/>
      <c r="I161" s="520">
        <f>L29</f>
        <v>0</v>
      </c>
      <c r="J161" s="61" t="s">
        <v>1692</v>
      </c>
      <c r="L161" s="3"/>
    </row>
    <row r="162" spans="1:15" x14ac:dyDescent="0.35">
      <c r="A162" s="42"/>
      <c r="B162" s="3"/>
      <c r="C162" s="3"/>
      <c r="D162" s="3"/>
      <c r="E162" s="3"/>
      <c r="F162" s="3"/>
      <c r="G162" s="3"/>
      <c r="H162" s="3"/>
      <c r="I162" s="3"/>
      <c r="J162" s="3"/>
      <c r="L162" s="3"/>
    </row>
    <row r="163" spans="1:15" x14ac:dyDescent="0.35">
      <c r="A163" s="42"/>
      <c r="B163" s="838" t="s">
        <v>52</v>
      </c>
      <c r="C163" s="3"/>
      <c r="D163" s="3"/>
      <c r="E163" s="3"/>
      <c r="F163" s="3"/>
      <c r="G163" s="3"/>
      <c r="H163" s="3"/>
      <c r="I163" s="32">
        <f>I159-I160+I161</f>
        <v>2658576</v>
      </c>
      <c r="J163" s="61" t="s">
        <v>1693</v>
      </c>
      <c r="L163" s="3"/>
    </row>
    <row r="164" spans="1:15" x14ac:dyDescent="0.35">
      <c r="A164" s="42"/>
      <c r="B164" s="3"/>
      <c r="C164" s="3"/>
      <c r="D164" s="3"/>
      <c r="E164" s="3"/>
      <c r="F164" s="3"/>
      <c r="G164" s="3"/>
      <c r="H164" s="3"/>
    </row>
    <row r="165" spans="1:15" x14ac:dyDescent="0.35">
      <c r="A165" s="42"/>
      <c r="B165" s="3"/>
      <c r="C165" s="3"/>
      <c r="D165" s="3"/>
      <c r="E165" s="3"/>
      <c r="F165" s="3"/>
      <c r="G165" s="3"/>
      <c r="H165" s="3"/>
      <c r="I165" s="3"/>
    </row>
    <row r="166" spans="1:15" ht="15" thickBot="1" x14ac:dyDescent="0.4">
      <c r="H166" s="88"/>
      <c r="I166" s="87"/>
    </row>
    <row r="167" spans="1:15" ht="15.5" thickTop="1" thickBot="1" x14ac:dyDescent="0.4">
      <c r="B167" s="41" t="str">
        <f>$A$4</f>
        <v>SC12 Rate I</v>
      </c>
      <c r="H167" s="1307" t="s">
        <v>51</v>
      </c>
      <c r="I167" s="1308"/>
      <c r="J167" s="1309"/>
      <c r="K167" s="3"/>
      <c r="L167" s="1310" t="s">
        <v>1955</v>
      </c>
      <c r="M167" s="1311"/>
      <c r="N167" s="1312"/>
    </row>
    <row r="168" spans="1:15" ht="15" thickTop="1" x14ac:dyDescent="0.35">
      <c r="B168" s="3"/>
      <c r="H168" s="36" t="s">
        <v>10</v>
      </c>
      <c r="I168" s="3"/>
      <c r="J168" s="36" t="s">
        <v>7</v>
      </c>
      <c r="K168" s="3"/>
      <c r="L168" s="30" t="s">
        <v>42</v>
      </c>
      <c r="M168" s="86"/>
      <c r="N168" s="30" t="s">
        <v>40</v>
      </c>
    </row>
    <row r="169" spans="1:15" x14ac:dyDescent="0.35">
      <c r="C169" s="3" t="s">
        <v>9</v>
      </c>
      <c r="D169" s="78"/>
      <c r="E169" s="78"/>
      <c r="F169" s="79"/>
      <c r="K169" s="3"/>
      <c r="L169" s="1"/>
      <c r="M169" s="1"/>
      <c r="N169" s="1"/>
      <c r="O169" s="1"/>
    </row>
    <row r="170" spans="1:15" x14ac:dyDescent="0.35">
      <c r="C170" s="3"/>
      <c r="D170" s="78"/>
      <c r="E170" s="77"/>
      <c r="F170" s="76"/>
      <c r="H170" s="223">
        <f>G8</f>
        <v>1.72E-2</v>
      </c>
      <c r="I170" s="362" t="s">
        <v>1694</v>
      </c>
      <c r="J170" s="223">
        <f>G9</f>
        <v>1.72E-2</v>
      </c>
      <c r="K170" s="61" t="s">
        <v>1696</v>
      </c>
      <c r="L170" s="945">
        <f>ROUND(H170/$J$170,2)</f>
        <v>1</v>
      </c>
      <c r="M170" s="61" t="s">
        <v>2158</v>
      </c>
      <c r="N170" s="947"/>
      <c r="O170" s="61" t="s">
        <v>2094</v>
      </c>
    </row>
    <row r="171" spans="1:15" x14ac:dyDescent="0.35">
      <c r="C171" s="3"/>
      <c r="D171" s="3"/>
      <c r="E171" s="3"/>
      <c r="F171" s="3"/>
      <c r="H171" s="2"/>
      <c r="I171" s="362"/>
      <c r="J171" s="2"/>
      <c r="K171" s="61"/>
      <c r="L171" s="946"/>
      <c r="M171" s="61"/>
      <c r="N171" s="946"/>
      <c r="O171" s="61"/>
    </row>
    <row r="172" spans="1:15" x14ac:dyDescent="0.35">
      <c r="C172" s="3" t="s">
        <v>8</v>
      </c>
      <c r="D172" s="78"/>
      <c r="E172" s="78"/>
      <c r="F172" s="79"/>
      <c r="H172" s="1"/>
      <c r="I172" s="1"/>
      <c r="J172" s="1"/>
      <c r="K172" s="3"/>
      <c r="L172" s="948"/>
      <c r="N172" s="948"/>
      <c r="O172" s="3"/>
    </row>
    <row r="173" spans="1:15" x14ac:dyDescent="0.35">
      <c r="C173" s="3"/>
      <c r="D173" s="78"/>
      <c r="E173" s="77"/>
      <c r="F173" s="76"/>
      <c r="H173" s="223">
        <f>G14</f>
        <v>1.72E-2</v>
      </c>
      <c r="I173" s="362" t="s">
        <v>1695</v>
      </c>
      <c r="J173" s="223">
        <f>G15</f>
        <v>1.72E-2</v>
      </c>
      <c r="K173" s="61" t="s">
        <v>1697</v>
      </c>
      <c r="L173" s="945">
        <f>ROUND(H173/$J$170,2)</f>
        <v>1</v>
      </c>
      <c r="M173" s="61" t="s">
        <v>2159</v>
      </c>
      <c r="N173" s="945">
        <f>ROUND(J173/$J$170,2)</f>
        <v>1</v>
      </c>
      <c r="O173" s="61" t="s">
        <v>2160</v>
      </c>
    </row>
    <row r="174" spans="1:15" x14ac:dyDescent="0.35">
      <c r="C174" s="3"/>
      <c r="D174" s="3"/>
      <c r="E174" s="3"/>
      <c r="F174" s="3"/>
      <c r="H174" s="3"/>
      <c r="I174" s="3"/>
      <c r="J174" s="3"/>
      <c r="K174" s="3"/>
      <c r="L174" s="945"/>
      <c r="M174" s="945"/>
      <c r="N174" s="945"/>
    </row>
    <row r="175" spans="1:15" x14ac:dyDescent="0.35">
      <c r="C175" s="3" t="s">
        <v>9</v>
      </c>
      <c r="D175" s="78"/>
      <c r="E175" s="78"/>
      <c r="F175" s="79"/>
      <c r="H175" s="36"/>
      <c r="I175" s="3"/>
      <c r="J175" s="36"/>
      <c r="K175" s="3"/>
      <c r="L175" s="3"/>
      <c r="M175" s="17"/>
      <c r="N175" s="3"/>
    </row>
    <row r="176" spans="1:15" x14ac:dyDescent="0.35">
      <c r="C176" s="3"/>
      <c r="D176" s="78"/>
      <c r="E176" s="77"/>
      <c r="F176" s="76"/>
      <c r="H176" s="36" t="str">
        <f>IF(L170=1,$J$176,CONCATENATE(L170," * ",$J$176))</f>
        <v>X</v>
      </c>
      <c r="I176" s="3"/>
      <c r="J176" s="80" t="s">
        <v>32</v>
      </c>
      <c r="K176" s="3"/>
      <c r="L176" s="3"/>
      <c r="M176" s="17"/>
      <c r="N176" s="3"/>
    </row>
    <row r="177" spans="1:14" x14ac:dyDescent="0.35"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</row>
    <row r="178" spans="1:14" x14ac:dyDescent="0.35">
      <c r="C178" s="3" t="s">
        <v>8</v>
      </c>
      <c r="D178" s="78"/>
      <c r="E178" s="78"/>
      <c r="F178" s="79"/>
      <c r="H178" s="36"/>
      <c r="I178" s="3"/>
      <c r="J178" s="36"/>
      <c r="K178" s="3"/>
      <c r="L178" s="3"/>
      <c r="M178" s="17"/>
      <c r="N178" s="3"/>
    </row>
    <row r="179" spans="1:14" x14ac:dyDescent="0.35">
      <c r="D179" s="78"/>
      <c r="E179" s="77"/>
      <c r="F179" s="76"/>
      <c r="H179" s="36" t="str">
        <f>IF(L173=1,$J$176,CONCATENATE(L173," * ",$J$176))</f>
        <v>X</v>
      </c>
      <c r="I179" s="3"/>
      <c r="J179" s="36" t="str">
        <f>IF(N173=1,$J$176,CONCATENATE(N173," * ",$J$176))</f>
        <v>X</v>
      </c>
      <c r="K179" s="3"/>
      <c r="L179" s="3"/>
      <c r="M179" s="17"/>
      <c r="N179" s="3"/>
    </row>
    <row r="180" spans="1:14" x14ac:dyDescent="0.35">
      <c r="H180" s="3"/>
      <c r="I180" s="3"/>
      <c r="J180" s="3"/>
      <c r="K180" s="3"/>
      <c r="L180" s="3"/>
      <c r="M180" s="3"/>
      <c r="N180" s="3"/>
    </row>
    <row r="181" spans="1:14" x14ac:dyDescent="0.35">
      <c r="H181" s="3"/>
      <c r="I181" s="3"/>
      <c r="J181" s="3"/>
      <c r="K181" s="3"/>
      <c r="L181" s="3"/>
      <c r="M181" s="3"/>
      <c r="N181" s="3"/>
    </row>
    <row r="182" spans="1:14" x14ac:dyDescent="0.35">
      <c r="B182" s="334" t="s">
        <v>46</v>
      </c>
      <c r="C182" s="4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" thickBot="1" x14ac:dyDescent="0.4">
      <c r="B184" s="3"/>
      <c r="C184" s="75"/>
      <c r="E184" s="70" t="s">
        <v>45</v>
      </c>
      <c r="F184" s="70"/>
      <c r="G184" s="70"/>
      <c r="H184" s="3"/>
      <c r="I184" s="69" t="s">
        <v>44</v>
      </c>
      <c r="J184" s="3"/>
      <c r="K184" s="3"/>
      <c r="L184" s="3"/>
    </row>
    <row r="185" spans="1:14" x14ac:dyDescent="0.35">
      <c r="B185" s="3"/>
      <c r="C185" s="3"/>
      <c r="E185" s="3" t="s">
        <v>43</v>
      </c>
      <c r="F185" s="3"/>
      <c r="G185" s="3"/>
      <c r="H185" s="3" t="s">
        <v>42</v>
      </c>
      <c r="I185" s="72">
        <f>$V$6</f>
        <v>39321291</v>
      </c>
      <c r="J185" s="36" t="s">
        <v>39</v>
      </c>
      <c r="K185" s="74" t="str">
        <f>CONCATENATE("[",$H$176,"]")</f>
        <v>[X]</v>
      </c>
      <c r="L185" s="61" t="s">
        <v>1707</v>
      </c>
    </row>
    <row r="186" spans="1:14" x14ac:dyDescent="0.35">
      <c r="B186" s="3"/>
      <c r="C186" s="3"/>
      <c r="E186" s="3" t="s">
        <v>43</v>
      </c>
      <c r="F186" s="3"/>
      <c r="G186" s="3"/>
      <c r="H186" s="3" t="s">
        <v>40</v>
      </c>
      <c r="I186" s="72">
        <f>$V$11</f>
        <v>115292046</v>
      </c>
      <c r="J186" s="36" t="s">
        <v>39</v>
      </c>
      <c r="K186" s="73" t="str">
        <f>CONCATENATE("[",$J$176,"]")</f>
        <v>[X]</v>
      </c>
      <c r="L186" s="61" t="s">
        <v>1707</v>
      </c>
    </row>
    <row r="187" spans="1:14" x14ac:dyDescent="0.35">
      <c r="B187" s="3"/>
      <c r="C187" s="3"/>
      <c r="E187" s="3" t="s">
        <v>41</v>
      </c>
      <c r="F187" s="3"/>
      <c r="G187" s="3"/>
      <c r="H187" s="3" t="s">
        <v>42</v>
      </c>
      <c r="I187" s="72">
        <f>$V$16</f>
        <v>0</v>
      </c>
      <c r="J187" s="36" t="s">
        <v>39</v>
      </c>
      <c r="K187" s="73" t="str">
        <f>CONCATENATE("[",H179,"]")</f>
        <v>[X]</v>
      </c>
      <c r="L187" s="61" t="s">
        <v>1707</v>
      </c>
    </row>
    <row r="188" spans="1:14" ht="15" thickBot="1" x14ac:dyDescent="0.4">
      <c r="B188" s="3"/>
      <c r="C188" s="3"/>
      <c r="E188" s="3" t="s">
        <v>41</v>
      </c>
      <c r="F188" s="3"/>
      <c r="G188" s="3"/>
      <c r="H188" s="3" t="s">
        <v>40</v>
      </c>
      <c r="I188" s="67">
        <f>$V$21</f>
        <v>0</v>
      </c>
      <c r="J188" s="36" t="s">
        <v>39</v>
      </c>
      <c r="K188" s="71" t="str">
        <f>CONCATENATE("[",J179,"]")</f>
        <v>[X]</v>
      </c>
      <c r="L188" s="61" t="s">
        <v>1707</v>
      </c>
    </row>
    <row r="189" spans="1:14" x14ac:dyDescent="0.35">
      <c r="I189" s="28">
        <f>SUM(I185:I188)</f>
        <v>154613337</v>
      </c>
      <c r="J189" s="61" t="s">
        <v>2161</v>
      </c>
    </row>
    <row r="191" spans="1:14" x14ac:dyDescent="0.35">
      <c r="A191" s="42"/>
      <c r="B191" s="70" t="s">
        <v>472</v>
      </c>
      <c r="C191" s="3"/>
      <c r="D191" s="3"/>
      <c r="E191" s="3"/>
      <c r="F191" s="3"/>
      <c r="G191" s="3"/>
      <c r="H191" s="3"/>
    </row>
    <row r="192" spans="1:14" x14ac:dyDescent="0.35">
      <c r="A192" s="42"/>
      <c r="B192" s="1225" t="str">
        <f>$A$4</f>
        <v>SC12 Rate I</v>
      </c>
      <c r="C192" s="2"/>
      <c r="D192" s="2"/>
      <c r="E192" s="2"/>
      <c r="F192" s="2"/>
      <c r="G192" s="2"/>
      <c r="H192" s="1"/>
      <c r="I192" s="1226" t="s">
        <v>44</v>
      </c>
    </row>
    <row r="193" spans="1:12" x14ac:dyDescent="0.35">
      <c r="A193" s="42"/>
      <c r="B193" s="2" t="s">
        <v>2152</v>
      </c>
      <c r="C193" s="2"/>
      <c r="D193" s="2"/>
      <c r="E193" s="2"/>
      <c r="F193" s="2"/>
      <c r="G193" s="2"/>
      <c r="H193" s="1"/>
      <c r="I193" s="68">
        <f>I185*L170</f>
        <v>39321291</v>
      </c>
      <c r="J193" s="65" t="s">
        <v>32</v>
      </c>
      <c r="K193" s="61" t="s">
        <v>1707</v>
      </c>
    </row>
    <row r="194" spans="1:12" x14ac:dyDescent="0.35">
      <c r="A194" s="42"/>
      <c r="B194" s="2" t="s">
        <v>2153</v>
      </c>
      <c r="C194" s="2"/>
      <c r="D194" s="2"/>
      <c r="E194" s="2"/>
      <c r="F194" s="2"/>
      <c r="G194" s="2"/>
      <c r="H194" s="1"/>
      <c r="I194" s="68">
        <f>I186</f>
        <v>115292046</v>
      </c>
      <c r="J194" s="65" t="s">
        <v>32</v>
      </c>
      <c r="K194" s="61" t="s">
        <v>1707</v>
      </c>
    </row>
    <row r="195" spans="1:12" x14ac:dyDescent="0.35">
      <c r="A195" s="42"/>
      <c r="B195" s="2" t="s">
        <v>2154</v>
      </c>
      <c r="C195" s="2"/>
      <c r="D195" s="2"/>
      <c r="E195" s="2"/>
      <c r="F195" s="2"/>
      <c r="G195" s="2"/>
      <c r="H195" s="1"/>
      <c r="I195" s="68">
        <f>I187*L173</f>
        <v>0</v>
      </c>
      <c r="J195" s="65" t="s">
        <v>32</v>
      </c>
      <c r="K195" s="61" t="s">
        <v>1707</v>
      </c>
    </row>
    <row r="196" spans="1:12" x14ac:dyDescent="0.35">
      <c r="A196" s="42"/>
      <c r="B196" s="2" t="s">
        <v>2155</v>
      </c>
      <c r="C196" s="2"/>
      <c r="D196" s="2"/>
      <c r="E196" s="2"/>
      <c r="F196" s="2"/>
      <c r="G196" s="2"/>
      <c r="H196" s="1"/>
      <c r="I196" s="67">
        <f>I188*N173</f>
        <v>0</v>
      </c>
      <c r="J196" s="65" t="s">
        <v>32</v>
      </c>
      <c r="K196" s="61" t="s">
        <v>1707</v>
      </c>
    </row>
    <row r="197" spans="1:12" x14ac:dyDescent="0.35">
      <c r="A197" s="42"/>
      <c r="B197" s="2" t="s">
        <v>2156</v>
      </c>
      <c r="C197" s="2"/>
      <c r="D197" s="2"/>
      <c r="E197" s="2"/>
      <c r="F197" s="1"/>
      <c r="G197" s="520">
        <f>I163</f>
        <v>2658576</v>
      </c>
      <c r="H197" s="1227" t="s">
        <v>31</v>
      </c>
      <c r="I197" s="220">
        <f>SUM(I193:I196)</f>
        <v>154613337</v>
      </c>
      <c r="J197" s="65" t="s">
        <v>32</v>
      </c>
      <c r="K197" s="61" t="s">
        <v>1709</v>
      </c>
    </row>
    <row r="198" spans="1:12" x14ac:dyDescent="0.35">
      <c r="A198" s="42"/>
      <c r="B198" s="3"/>
      <c r="C198" s="3"/>
      <c r="D198" s="3"/>
      <c r="E198" s="3"/>
      <c r="G198" s="3"/>
      <c r="H198" s="3"/>
      <c r="I198" s="3"/>
      <c r="J198" s="3"/>
      <c r="K198" s="61"/>
    </row>
    <row r="199" spans="1:12" x14ac:dyDescent="0.35">
      <c r="A199" s="42"/>
      <c r="B199" s="3"/>
      <c r="C199" s="3"/>
      <c r="D199" s="3"/>
      <c r="E199" s="3"/>
      <c r="G199" s="34">
        <f>G197</f>
        <v>2658576</v>
      </c>
      <c r="H199" s="63" t="s">
        <v>31</v>
      </c>
      <c r="I199" s="28">
        <f>I197</f>
        <v>154613337</v>
      </c>
      <c r="J199" s="65" t="s">
        <v>32</v>
      </c>
      <c r="K199" s="61" t="s">
        <v>2162</v>
      </c>
    </row>
    <row r="200" spans="1:12" ht="15" thickBot="1" x14ac:dyDescent="0.4">
      <c r="A200" s="42"/>
      <c r="B200" s="3"/>
      <c r="C200" s="3"/>
      <c r="D200" s="3"/>
      <c r="E200" s="3"/>
      <c r="G200" s="3"/>
      <c r="H200" s="3"/>
      <c r="I200" s="3"/>
    </row>
    <row r="201" spans="1:12" ht="15.5" thickTop="1" thickBot="1" x14ac:dyDescent="0.4">
      <c r="A201" s="42"/>
      <c r="B201" s="3"/>
      <c r="C201" s="3"/>
      <c r="D201" s="3"/>
      <c r="E201" s="3"/>
      <c r="G201" s="64" t="s">
        <v>32</v>
      </c>
      <c r="H201" s="63" t="s">
        <v>31</v>
      </c>
      <c r="I201" s="950">
        <f>ROUND(G199/I199,4)</f>
        <v>1.72E-2</v>
      </c>
      <c r="J201" s="61" t="s">
        <v>2164</v>
      </c>
      <c r="K201" s="61" t="s">
        <v>2163</v>
      </c>
    </row>
    <row r="202" spans="1:12" ht="15.5" thickTop="1" thickBot="1" x14ac:dyDescent="0.4">
      <c r="A202" s="42"/>
      <c r="B202" s="3"/>
      <c r="C202" s="3"/>
      <c r="D202" s="3"/>
      <c r="E202" s="3"/>
      <c r="F202" s="3"/>
      <c r="G202" s="3"/>
      <c r="H202" s="3"/>
      <c r="I202" s="3"/>
    </row>
    <row r="203" spans="1:12" ht="15" thickBot="1" x14ac:dyDescent="0.4">
      <c r="A203" s="42"/>
      <c r="B203" s="3"/>
      <c r="C203" s="3"/>
      <c r="D203" s="3"/>
      <c r="E203" s="3"/>
      <c r="F203" s="60"/>
      <c r="G203" s="59"/>
      <c r="H203" s="59"/>
      <c r="I203" s="59"/>
      <c r="J203" s="58"/>
      <c r="K203" s="58"/>
      <c r="L203" s="57"/>
    </row>
    <row r="204" spans="1:12" ht="15.5" thickTop="1" thickBot="1" x14ac:dyDescent="0.4">
      <c r="F204" s="50"/>
      <c r="G204" s="44"/>
      <c r="H204" s="44"/>
      <c r="I204" s="1313" t="s">
        <v>29</v>
      </c>
      <c r="J204" s="1314"/>
      <c r="K204" s="1315"/>
      <c r="L204" s="48"/>
    </row>
    <row r="205" spans="1:12" ht="15" thickTop="1" x14ac:dyDescent="0.35">
      <c r="F205" s="50"/>
      <c r="G205" s="44"/>
      <c r="H205" s="44"/>
      <c r="I205" s="56" t="s">
        <v>10</v>
      </c>
      <c r="J205" s="44"/>
      <c r="K205" s="56" t="s">
        <v>7</v>
      </c>
      <c r="L205" s="48"/>
    </row>
    <row r="206" spans="1:12" x14ac:dyDescent="0.35">
      <c r="F206" s="50"/>
      <c r="G206" s="44"/>
      <c r="H206" s="44"/>
      <c r="I206" s="51"/>
      <c r="J206" s="52"/>
      <c r="K206" s="51"/>
      <c r="L206" s="48"/>
    </row>
    <row r="207" spans="1:12" x14ac:dyDescent="0.35">
      <c r="F207" s="50"/>
      <c r="G207" s="44" t="s">
        <v>9</v>
      </c>
      <c r="H207" s="44"/>
      <c r="I207" s="51">
        <f>ROUND($I$201*L170,4)</f>
        <v>1.72E-2</v>
      </c>
      <c r="J207" s="54" t="s">
        <v>2165</v>
      </c>
      <c r="K207" s="55">
        <f>I201</f>
        <v>1.72E-2</v>
      </c>
      <c r="L207" s="359" t="s">
        <v>2166</v>
      </c>
    </row>
    <row r="208" spans="1:12" x14ac:dyDescent="0.35">
      <c r="F208" s="50"/>
      <c r="G208" s="44"/>
      <c r="H208" s="44"/>
      <c r="I208" s="51"/>
      <c r="J208" s="54"/>
      <c r="K208" s="53"/>
      <c r="L208" s="359"/>
    </row>
    <row r="209" spans="1:17" x14ac:dyDescent="0.35">
      <c r="F209" s="50"/>
      <c r="G209" s="44"/>
      <c r="H209" s="44"/>
      <c r="I209" s="51"/>
      <c r="J209" s="52"/>
      <c r="K209" s="51"/>
      <c r="L209" s="359"/>
    </row>
    <row r="210" spans="1:17" x14ac:dyDescent="0.35">
      <c r="F210" s="50"/>
      <c r="G210" s="44" t="s">
        <v>8</v>
      </c>
      <c r="H210" s="44"/>
      <c r="I210" s="51">
        <f>ROUND($I$201*L173,4)</f>
        <v>1.72E-2</v>
      </c>
      <c r="J210" s="54" t="s">
        <v>2167</v>
      </c>
      <c r="K210" s="51">
        <f>ROUND($I$201*N173,4)</f>
        <v>1.72E-2</v>
      </c>
      <c r="L210" s="359" t="s">
        <v>2168</v>
      </c>
    </row>
    <row r="211" spans="1:17" ht="15" thickBot="1" x14ac:dyDescent="0.4">
      <c r="F211" s="47"/>
      <c r="G211" s="46"/>
      <c r="H211" s="46"/>
      <c r="I211" s="46"/>
      <c r="J211" s="46"/>
      <c r="K211" s="46"/>
      <c r="L211" s="45"/>
    </row>
    <row r="212" spans="1:17" x14ac:dyDescent="0.35">
      <c r="F212" s="43"/>
      <c r="G212" s="44"/>
      <c r="H212" s="44"/>
      <c r="I212" s="44"/>
      <c r="J212" s="44"/>
      <c r="K212" s="44"/>
      <c r="L212" s="43"/>
    </row>
    <row r="213" spans="1:17" x14ac:dyDescent="0.35">
      <c r="A213" s="334" t="s">
        <v>28</v>
      </c>
    </row>
    <row r="214" spans="1:17" x14ac:dyDescent="0.35">
      <c r="A214" s="42"/>
    </row>
    <row r="215" spans="1:17" x14ac:dyDescent="0.35">
      <c r="A215" s="42"/>
      <c r="B215" s="41" t="str">
        <f>$A$4</f>
        <v>SC12 Rate I</v>
      </c>
    </row>
    <row r="216" spans="1:17" x14ac:dyDescent="0.35">
      <c r="A216" s="3"/>
      <c r="B216" s="407" t="s">
        <v>5</v>
      </c>
      <c r="D216" s="1304">
        <f>L4</f>
        <v>2020</v>
      </c>
      <c r="E216" s="1304"/>
      <c r="F216" s="3"/>
      <c r="G216" s="3"/>
      <c r="H216" s="3"/>
      <c r="I216" s="3"/>
      <c r="J216" s="3"/>
      <c r="K216" s="3"/>
      <c r="L216" s="3"/>
      <c r="M216" s="17"/>
      <c r="N216" s="3"/>
      <c r="O216" s="3"/>
      <c r="P216" s="2"/>
    </row>
    <row r="217" spans="1:17" x14ac:dyDescent="0.35">
      <c r="A217" s="3"/>
      <c r="B217" s="3"/>
      <c r="C217" s="3"/>
      <c r="D217" s="3"/>
      <c r="E217" s="3"/>
      <c r="F217" s="3"/>
      <c r="G217" s="3"/>
      <c r="H217" s="3"/>
      <c r="I217" s="3"/>
      <c r="K217" s="3"/>
      <c r="L217" s="3"/>
      <c r="M217" s="36" t="s">
        <v>10</v>
      </c>
      <c r="N217" s="3"/>
      <c r="O217" s="3"/>
      <c r="P217" s="2"/>
    </row>
    <row r="218" spans="1:17" x14ac:dyDescent="0.35">
      <c r="A218" s="3"/>
      <c r="B218" s="3"/>
      <c r="C218" s="410"/>
      <c r="D218" s="3"/>
      <c r="E218" s="3"/>
      <c r="F218" s="3"/>
      <c r="G218" s="3"/>
      <c r="H218" s="3"/>
      <c r="I218" s="3"/>
      <c r="K218" s="30" t="s">
        <v>15</v>
      </c>
      <c r="L218" s="3"/>
      <c r="M218" s="30" t="s">
        <v>14</v>
      </c>
      <c r="N218" s="3"/>
      <c r="O218" s="3"/>
      <c r="P218" s="2"/>
    </row>
    <row r="219" spans="1:17" x14ac:dyDescent="0.35">
      <c r="C219" s="835" t="s">
        <v>27</v>
      </c>
      <c r="D219" s="3"/>
      <c r="E219" s="3"/>
      <c r="F219" s="3"/>
      <c r="G219" s="30" t="s">
        <v>26</v>
      </c>
      <c r="H219" s="3"/>
      <c r="I219" s="30" t="s">
        <v>25</v>
      </c>
      <c r="J219" s="3"/>
      <c r="K219" s="30" t="s">
        <v>11</v>
      </c>
      <c r="L219" s="3"/>
      <c r="M219" s="30" t="s">
        <v>6</v>
      </c>
      <c r="N219" s="3"/>
      <c r="O219" s="3"/>
      <c r="P219" s="2"/>
      <c r="Q219" s="2"/>
    </row>
    <row r="220" spans="1:17" x14ac:dyDescent="0.35">
      <c r="B220" s="3"/>
      <c r="C220" s="410" t="s">
        <v>9</v>
      </c>
      <c r="D220" s="36">
        <f>D83</f>
        <v>0</v>
      </c>
      <c r="E220" s="36" t="str">
        <f>E83</f>
        <v>-</v>
      </c>
      <c r="F220" s="36">
        <f>F83</f>
        <v>5</v>
      </c>
      <c r="G220" s="29">
        <f>T6</f>
        <v>161</v>
      </c>
      <c r="H220" s="3"/>
      <c r="I220" s="29">
        <f>U6</f>
        <v>4560</v>
      </c>
      <c r="J220" s="3"/>
      <c r="K220" s="228">
        <f>H145</f>
        <v>208.8</v>
      </c>
      <c r="L220" s="2"/>
      <c r="M220" s="278">
        <f>ROUND(K220*(I220/F220),0)</f>
        <v>190426</v>
      </c>
      <c r="N220" s="3"/>
      <c r="O220" s="3"/>
      <c r="P220" s="2"/>
      <c r="Q220" s="2"/>
    </row>
    <row r="221" spans="1:17" x14ac:dyDescent="0.35">
      <c r="B221" s="3"/>
      <c r="C221" s="410"/>
      <c r="D221" s="36"/>
      <c r="E221" s="36" t="str">
        <f>E$85</f>
        <v>&gt;</v>
      </c>
      <c r="F221" s="36">
        <f>F$85</f>
        <v>5</v>
      </c>
      <c r="G221" s="29">
        <f>T7</f>
        <v>751</v>
      </c>
      <c r="H221" s="3"/>
      <c r="I221" s="29">
        <f>U7</f>
        <v>88600</v>
      </c>
      <c r="J221" s="3"/>
      <c r="K221" s="228">
        <f>H147</f>
        <v>35.590000000000003</v>
      </c>
      <c r="L221" s="2"/>
      <c r="M221" s="278">
        <f>ROUND(K221*I221,0)</f>
        <v>3153274</v>
      </c>
      <c r="N221" s="3"/>
      <c r="O221" s="3"/>
      <c r="P221" s="2"/>
      <c r="Q221" s="2"/>
    </row>
    <row r="222" spans="1:17" x14ac:dyDescent="0.35">
      <c r="B222" s="3"/>
      <c r="C222" s="410"/>
      <c r="D222" s="36"/>
      <c r="E222" s="36"/>
      <c r="F222" s="36"/>
      <c r="G222" s="38">
        <f>T8</f>
        <v>0</v>
      </c>
      <c r="H222" s="3"/>
      <c r="I222" s="38">
        <f>U8</f>
        <v>0</v>
      </c>
      <c r="J222" s="3"/>
      <c r="K222" s="228"/>
      <c r="L222" s="2"/>
      <c r="M222" s="279">
        <f>ROUND(K222*I222,0)</f>
        <v>0</v>
      </c>
      <c r="N222" s="3"/>
      <c r="O222" s="3"/>
      <c r="P222" s="2"/>
      <c r="Q222" s="2"/>
    </row>
    <row r="223" spans="1:17" x14ac:dyDescent="0.35">
      <c r="B223" s="3"/>
      <c r="C223" s="410"/>
      <c r="D223" s="36"/>
      <c r="E223" s="36"/>
      <c r="F223" s="36"/>
      <c r="G223" s="28">
        <f>G220+G221+G222</f>
        <v>912</v>
      </c>
      <c r="H223" s="3"/>
      <c r="I223" s="28">
        <f>I220+I221+I222</f>
        <v>93160</v>
      </c>
      <c r="J223" s="3"/>
      <c r="K223" s="228"/>
      <c r="L223" s="2"/>
      <c r="M223" s="277">
        <f>M220+M221+M222</f>
        <v>3343700</v>
      </c>
      <c r="N223" s="34"/>
      <c r="O223" s="36" t="s">
        <v>10</v>
      </c>
      <c r="P223" s="2"/>
      <c r="Q223" s="2"/>
    </row>
    <row r="224" spans="1:17" x14ac:dyDescent="0.35">
      <c r="B224" s="3"/>
      <c r="C224" s="410"/>
      <c r="D224" s="36"/>
      <c r="E224" s="36"/>
      <c r="F224" s="36"/>
      <c r="G224" s="28"/>
      <c r="H224" s="3"/>
      <c r="I224" s="28"/>
      <c r="J224" s="3"/>
      <c r="K224" s="228"/>
      <c r="L224" s="222" t="s">
        <v>22</v>
      </c>
      <c r="M224" s="277">
        <f>ROUND(M223*(O224-1),0)</f>
        <v>39857</v>
      </c>
      <c r="N224" s="33" t="s">
        <v>23</v>
      </c>
      <c r="O224" s="40">
        <f>L10</f>
        <v>1.0119199999999999</v>
      </c>
      <c r="P224" s="2"/>
      <c r="Q224" s="2"/>
    </row>
    <row r="225" spans="2:17" x14ac:dyDescent="0.35">
      <c r="B225" s="3"/>
      <c r="C225" s="410"/>
      <c r="D225" s="36"/>
      <c r="E225" s="36"/>
      <c r="F225" s="36"/>
      <c r="G225" s="28"/>
      <c r="H225" s="3"/>
      <c r="I225" s="28"/>
      <c r="J225" s="3"/>
      <c r="K225" s="228"/>
      <c r="L225" s="222" t="s">
        <v>21</v>
      </c>
      <c r="M225" s="599">
        <f>M223+M224</f>
        <v>3383557</v>
      </c>
      <c r="N225" s="8"/>
      <c r="O225" s="3"/>
      <c r="P225" s="2"/>
      <c r="Q225" s="2"/>
    </row>
    <row r="226" spans="2:17" x14ac:dyDescent="0.35">
      <c r="B226" s="3"/>
      <c r="C226" s="410"/>
      <c r="D226" s="3"/>
      <c r="E226" s="3"/>
      <c r="F226" s="3"/>
      <c r="G226" s="3"/>
      <c r="H226" s="3"/>
      <c r="I226" s="3"/>
      <c r="J226" s="3"/>
      <c r="K226" s="2"/>
      <c r="L226" s="2"/>
      <c r="M226" s="2"/>
      <c r="N226" s="3"/>
      <c r="O226" s="3"/>
      <c r="P226" s="2"/>
      <c r="Q226" s="2"/>
    </row>
    <row r="227" spans="2:17" x14ac:dyDescent="0.35">
      <c r="B227" s="3"/>
      <c r="C227" s="410" t="s">
        <v>8</v>
      </c>
      <c r="D227" s="36">
        <f>D220</f>
        <v>0</v>
      </c>
      <c r="E227" s="36" t="str">
        <f>E220</f>
        <v>-</v>
      </c>
      <c r="F227" s="36">
        <f>F220</f>
        <v>5</v>
      </c>
      <c r="G227" s="29">
        <f>T16</f>
        <v>0</v>
      </c>
      <c r="H227" s="3"/>
      <c r="I227" s="29">
        <f>U16</f>
        <v>0</v>
      </c>
      <c r="J227" s="3"/>
      <c r="K227" s="228">
        <f>H149</f>
        <v>159.79</v>
      </c>
      <c r="L227" s="2"/>
      <c r="M227" s="278">
        <f>ROUND(K227*(I227/F227),0)</f>
        <v>0</v>
      </c>
      <c r="N227" s="3"/>
      <c r="O227" s="3"/>
      <c r="P227" s="2"/>
      <c r="Q227" s="2"/>
    </row>
    <row r="228" spans="2:17" x14ac:dyDescent="0.35">
      <c r="B228" s="3"/>
      <c r="C228" s="410"/>
      <c r="D228" s="36"/>
      <c r="E228" s="36" t="str">
        <f>E221</f>
        <v>&gt;</v>
      </c>
      <c r="F228" s="36">
        <f>F221</f>
        <v>5</v>
      </c>
      <c r="G228" s="29">
        <f>T17</f>
        <v>0</v>
      </c>
      <c r="H228" s="3"/>
      <c r="I228" s="29">
        <f>U17</f>
        <v>0</v>
      </c>
      <c r="J228" s="3"/>
      <c r="K228" s="228">
        <f>H151</f>
        <v>26.6</v>
      </c>
      <c r="L228" s="2"/>
      <c r="M228" s="278">
        <f>ROUND(K228*I228,0)</f>
        <v>0</v>
      </c>
      <c r="N228" s="3"/>
      <c r="O228" s="3"/>
      <c r="P228" s="2"/>
      <c r="Q228" s="2"/>
    </row>
    <row r="229" spans="2:17" x14ac:dyDescent="0.35">
      <c r="B229" s="3"/>
      <c r="C229" s="410"/>
      <c r="D229" s="36"/>
      <c r="E229" s="36"/>
      <c r="F229" s="36"/>
      <c r="G229" s="38">
        <f>T18</f>
        <v>0</v>
      </c>
      <c r="H229" s="3"/>
      <c r="I229" s="38">
        <f>U18</f>
        <v>0</v>
      </c>
      <c r="J229" s="3"/>
      <c r="K229" s="228"/>
      <c r="L229" s="2"/>
      <c r="M229" s="279">
        <f>ROUND(K229*I229,0)</f>
        <v>0</v>
      </c>
      <c r="N229" s="3"/>
      <c r="O229" s="3"/>
      <c r="P229" s="2"/>
      <c r="Q229" s="2"/>
    </row>
    <row r="230" spans="2:17" x14ac:dyDescent="0.35">
      <c r="B230" s="3"/>
      <c r="C230" s="410"/>
      <c r="D230" s="36"/>
      <c r="E230" s="36"/>
      <c r="F230" s="36"/>
      <c r="G230" s="28">
        <f>G227+G228+G229</f>
        <v>0</v>
      </c>
      <c r="H230" s="3"/>
      <c r="I230" s="28">
        <f>I227+I228+I229</f>
        <v>0</v>
      </c>
      <c r="J230" s="3"/>
      <c r="K230" s="228"/>
      <c r="L230" s="2"/>
      <c r="M230" s="277">
        <f>M227+M228+M229</f>
        <v>0</v>
      </c>
      <c r="N230" s="3"/>
      <c r="O230" s="3"/>
      <c r="P230" s="2"/>
      <c r="Q230" s="2"/>
    </row>
    <row r="231" spans="2:17" x14ac:dyDescent="0.35">
      <c r="B231" s="3"/>
      <c r="C231" s="410"/>
      <c r="D231" s="36"/>
      <c r="E231" s="36"/>
      <c r="F231" s="36"/>
      <c r="G231" s="28"/>
      <c r="H231" s="3"/>
      <c r="I231" s="28"/>
      <c r="J231" s="3"/>
      <c r="K231" s="228"/>
      <c r="L231" s="222" t="s">
        <v>22</v>
      </c>
      <c r="M231" s="277">
        <f>ROUND(M230*(O224-1),0)</f>
        <v>0</v>
      </c>
      <c r="N231" s="3"/>
      <c r="O231" s="3"/>
      <c r="P231" s="2"/>
      <c r="Q231" s="2"/>
    </row>
    <row r="232" spans="2:17" x14ac:dyDescent="0.35">
      <c r="B232" s="3"/>
      <c r="C232" s="410"/>
      <c r="D232" s="36"/>
      <c r="E232" s="36"/>
      <c r="F232" s="36"/>
      <c r="G232" s="28"/>
      <c r="H232" s="3"/>
      <c r="I232" s="28"/>
      <c r="J232" s="3"/>
      <c r="K232" s="228"/>
      <c r="L232" s="222" t="s">
        <v>21</v>
      </c>
      <c r="M232" s="599">
        <f>M230+M231</f>
        <v>0</v>
      </c>
      <c r="N232" s="8"/>
      <c r="O232" s="3"/>
      <c r="P232" s="2"/>
      <c r="Q232" s="2"/>
    </row>
    <row r="233" spans="2:17" x14ac:dyDescent="0.35">
      <c r="B233" s="3"/>
      <c r="C233" s="410"/>
      <c r="D233" s="3"/>
      <c r="E233" s="3"/>
      <c r="F233" s="3"/>
      <c r="G233" s="3"/>
      <c r="H233" s="3"/>
      <c r="I233" s="3"/>
      <c r="J233" s="3"/>
      <c r="K233" s="2"/>
      <c r="L233" s="2"/>
      <c r="M233" s="2"/>
      <c r="N233" s="3"/>
      <c r="O233" s="3"/>
      <c r="P233" s="2"/>
      <c r="Q233" s="2"/>
    </row>
    <row r="234" spans="2:17" x14ac:dyDescent="0.35">
      <c r="B234" s="3"/>
      <c r="C234" s="410"/>
      <c r="D234" s="3"/>
      <c r="E234" s="3"/>
      <c r="F234" s="3"/>
      <c r="G234" s="3"/>
      <c r="H234" s="3"/>
      <c r="I234" s="3"/>
      <c r="J234" s="3"/>
      <c r="K234" s="2"/>
      <c r="L234" s="2"/>
      <c r="M234" s="2"/>
      <c r="N234" s="3"/>
      <c r="O234" s="3"/>
      <c r="P234" s="2"/>
      <c r="Q234" s="2"/>
    </row>
    <row r="235" spans="2:17" x14ac:dyDescent="0.35">
      <c r="B235" s="3"/>
      <c r="C235" s="410"/>
      <c r="D235" s="3"/>
      <c r="E235" s="3"/>
      <c r="F235" s="3"/>
      <c r="G235" s="3"/>
      <c r="H235" s="3"/>
      <c r="I235" s="3"/>
      <c r="J235" s="3"/>
      <c r="K235" s="3"/>
      <c r="L235" s="3"/>
      <c r="M235" s="121" t="s">
        <v>7</v>
      </c>
      <c r="N235" s="17"/>
      <c r="O235" s="3"/>
      <c r="P235" s="2"/>
      <c r="Q235" s="2"/>
    </row>
    <row r="236" spans="2:17" x14ac:dyDescent="0.35">
      <c r="B236" s="3"/>
      <c r="C236" s="410"/>
      <c r="D236" s="3"/>
      <c r="E236" s="3"/>
      <c r="F236" s="3"/>
      <c r="G236" s="3"/>
      <c r="H236" s="3"/>
      <c r="I236" s="3"/>
      <c r="J236" s="3"/>
      <c r="K236" s="30" t="s">
        <v>15</v>
      </c>
      <c r="L236" s="3"/>
      <c r="M236" s="219" t="s">
        <v>14</v>
      </c>
      <c r="N236" s="17"/>
      <c r="O236" s="3"/>
      <c r="P236" s="2"/>
      <c r="Q236" s="2"/>
    </row>
    <row r="237" spans="2:17" x14ac:dyDescent="0.35">
      <c r="C237" s="835" t="s">
        <v>24</v>
      </c>
      <c r="D237" s="3"/>
      <c r="E237" s="3"/>
      <c r="F237" s="3"/>
      <c r="G237" s="3"/>
      <c r="H237" s="3"/>
      <c r="I237" s="3"/>
      <c r="J237" s="3"/>
      <c r="K237" s="30" t="s">
        <v>11</v>
      </c>
      <c r="L237" s="3"/>
      <c r="M237" s="219" t="s">
        <v>6</v>
      </c>
      <c r="N237" s="17"/>
      <c r="O237" s="3"/>
      <c r="P237" s="2"/>
      <c r="Q237" s="2"/>
    </row>
    <row r="238" spans="2:17" x14ac:dyDescent="0.35">
      <c r="B238" s="3"/>
      <c r="C238" s="410" t="s">
        <v>9</v>
      </c>
      <c r="D238" s="36">
        <f>D220</f>
        <v>0</v>
      </c>
      <c r="E238" s="36" t="str">
        <f>E220</f>
        <v>-</v>
      </c>
      <c r="F238" s="36">
        <f>F220</f>
        <v>5</v>
      </c>
      <c r="G238" s="29">
        <f>T11</f>
        <v>210</v>
      </c>
      <c r="H238" s="3"/>
      <c r="I238" s="29">
        <f>U11</f>
        <v>9120</v>
      </c>
      <c r="J238" s="3"/>
      <c r="K238" s="35">
        <f>J145</f>
        <v>123.61</v>
      </c>
      <c r="L238" s="3"/>
      <c r="M238" s="278">
        <f>ROUND(K238*(I238/F238),0)</f>
        <v>225465</v>
      </c>
      <c r="N238" s="17"/>
      <c r="O238" s="3"/>
      <c r="P238" s="2"/>
      <c r="Q238" s="2"/>
    </row>
    <row r="239" spans="2:17" x14ac:dyDescent="0.35">
      <c r="B239" s="3"/>
      <c r="C239" s="410"/>
      <c r="D239" s="36"/>
      <c r="E239" s="36" t="str">
        <f>E221</f>
        <v>&gt;</v>
      </c>
      <c r="F239" s="36">
        <f>F221</f>
        <v>5</v>
      </c>
      <c r="G239" s="29">
        <f>T12</f>
        <v>1614</v>
      </c>
      <c r="H239" s="3"/>
      <c r="I239" s="29">
        <f>U12</f>
        <v>258373</v>
      </c>
      <c r="J239" s="3"/>
      <c r="K239" s="35">
        <f>J147</f>
        <v>19.96</v>
      </c>
      <c r="L239" s="3"/>
      <c r="M239" s="278">
        <f>ROUND(K239*I239,0)</f>
        <v>5157125</v>
      </c>
      <c r="N239" s="17"/>
      <c r="O239" s="3"/>
      <c r="P239" s="2"/>
      <c r="Q239" s="2"/>
    </row>
    <row r="240" spans="2:17" x14ac:dyDescent="0.35">
      <c r="B240" s="3"/>
      <c r="C240" s="410"/>
      <c r="D240" s="36"/>
      <c r="E240" s="36"/>
      <c r="F240" s="36"/>
      <c r="G240" s="38">
        <f>T13</f>
        <v>0</v>
      </c>
      <c r="H240" s="3"/>
      <c r="I240" s="38">
        <f>U13</f>
        <v>0</v>
      </c>
      <c r="J240" s="3"/>
      <c r="K240" s="35"/>
      <c r="L240" s="3"/>
      <c r="M240" s="279">
        <f>ROUND(K240*I240,0)</f>
        <v>0</v>
      </c>
      <c r="N240" s="17"/>
      <c r="O240" s="3"/>
      <c r="P240" s="2"/>
      <c r="Q240" s="2"/>
    </row>
    <row r="241" spans="2:17" x14ac:dyDescent="0.35">
      <c r="B241" s="3"/>
      <c r="C241" s="410"/>
      <c r="D241" s="36"/>
      <c r="E241" s="36"/>
      <c r="F241" s="36"/>
      <c r="G241" s="28">
        <f>G238+G239+G240</f>
        <v>1824</v>
      </c>
      <c r="H241" s="3"/>
      <c r="I241" s="28">
        <f>I238+I239+I240</f>
        <v>267493</v>
      </c>
      <c r="J241" s="3"/>
      <c r="K241" s="35"/>
      <c r="L241" s="3"/>
      <c r="M241" s="277">
        <f>M238+M239+M240</f>
        <v>5382590</v>
      </c>
      <c r="N241" s="3"/>
      <c r="O241" s="36" t="s">
        <v>7</v>
      </c>
      <c r="P241" s="2"/>
      <c r="Q241" s="2"/>
    </row>
    <row r="242" spans="2:17" x14ac:dyDescent="0.35">
      <c r="B242" s="3"/>
      <c r="C242" s="410"/>
      <c r="D242" s="36"/>
      <c r="E242" s="36"/>
      <c r="F242" s="36"/>
      <c r="G242" s="28"/>
      <c r="H242" s="3"/>
      <c r="I242" s="28"/>
      <c r="J242" s="3"/>
      <c r="K242" s="35"/>
      <c r="L242" s="33" t="s">
        <v>22</v>
      </c>
      <c r="M242" s="277">
        <f>ROUND(M241*(O242-1),0)</f>
        <v>57432</v>
      </c>
      <c r="N242" s="33" t="s">
        <v>23</v>
      </c>
      <c r="O242" s="40">
        <f>L11</f>
        <v>1.01067</v>
      </c>
      <c r="P242" s="2"/>
      <c r="Q242" s="2"/>
    </row>
    <row r="243" spans="2:17" x14ac:dyDescent="0.35">
      <c r="B243" s="3"/>
      <c r="C243" s="410"/>
      <c r="D243" s="36"/>
      <c r="E243" s="36"/>
      <c r="F243" s="36"/>
      <c r="G243" s="28"/>
      <c r="H243" s="3"/>
      <c r="I243" s="28"/>
      <c r="J243" s="3"/>
      <c r="K243" s="35"/>
      <c r="L243" s="33" t="s">
        <v>21</v>
      </c>
      <c r="M243" s="599">
        <f>M241+M242</f>
        <v>5440022</v>
      </c>
      <c r="N243" s="8"/>
      <c r="O243" s="3"/>
      <c r="P243" s="2"/>
      <c r="Q243" s="2"/>
    </row>
    <row r="244" spans="2:17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2"/>
      <c r="N244" s="3"/>
      <c r="O244" s="3"/>
      <c r="P244" s="2"/>
      <c r="Q244" s="2"/>
    </row>
    <row r="245" spans="2:17" x14ac:dyDescent="0.35">
      <c r="B245" s="3"/>
      <c r="C245" s="3" t="s">
        <v>8</v>
      </c>
      <c r="D245" s="36">
        <f>D220</f>
        <v>0</v>
      </c>
      <c r="E245" s="36" t="str">
        <f>E220</f>
        <v>-</v>
      </c>
      <c r="F245" s="36">
        <f>F220</f>
        <v>5</v>
      </c>
      <c r="G245" s="29">
        <f>T21</f>
        <v>0</v>
      </c>
      <c r="H245" s="3"/>
      <c r="I245" s="29">
        <f>U21</f>
        <v>0</v>
      </c>
      <c r="J245" s="3"/>
      <c r="K245" s="35">
        <f>J149</f>
        <v>74.760000000000005</v>
      </c>
      <c r="L245" s="3"/>
      <c r="M245" s="278">
        <f>ROUND(K245*(I245/F245),0)</f>
        <v>0</v>
      </c>
      <c r="N245" s="17"/>
      <c r="O245" s="3"/>
      <c r="P245" s="2"/>
      <c r="Q245" s="2"/>
    </row>
    <row r="246" spans="2:17" x14ac:dyDescent="0.35">
      <c r="B246" s="3"/>
      <c r="C246" s="3"/>
      <c r="D246" s="36"/>
      <c r="E246" s="36" t="str">
        <f>E221</f>
        <v>&gt;</v>
      </c>
      <c r="F246" s="36">
        <f>F221</f>
        <v>5</v>
      </c>
      <c r="G246" s="29">
        <f>T22</f>
        <v>0</v>
      </c>
      <c r="H246" s="3"/>
      <c r="I246" s="29">
        <f>U22</f>
        <v>0</v>
      </c>
      <c r="J246" s="3"/>
      <c r="K246" s="35">
        <f>J151</f>
        <v>10.99</v>
      </c>
      <c r="L246" s="3"/>
      <c r="M246" s="278">
        <f>ROUND(K246*I246,0)</f>
        <v>0</v>
      </c>
      <c r="N246" s="17"/>
      <c r="O246" s="3"/>
      <c r="P246" s="2"/>
      <c r="Q246" s="2"/>
    </row>
    <row r="247" spans="2:17" x14ac:dyDescent="0.35">
      <c r="B247" s="3"/>
      <c r="C247" s="3"/>
      <c r="D247" s="36"/>
      <c r="E247" s="36"/>
      <c r="F247" s="36"/>
      <c r="G247" s="38">
        <f>T23</f>
        <v>0</v>
      </c>
      <c r="H247" s="3"/>
      <c r="I247" s="38">
        <f>U23</f>
        <v>0</v>
      </c>
      <c r="J247" s="3"/>
      <c r="K247" s="35"/>
      <c r="L247" s="3"/>
      <c r="M247" s="279">
        <f>ROUND(K247*I247,0)</f>
        <v>0</v>
      </c>
      <c r="N247" s="17"/>
      <c r="O247" s="3"/>
      <c r="P247" s="2"/>
      <c r="Q247" s="2"/>
    </row>
    <row r="248" spans="2:17" x14ac:dyDescent="0.35">
      <c r="B248" s="3"/>
      <c r="C248" s="3"/>
      <c r="D248" s="36"/>
      <c r="E248" s="36"/>
      <c r="F248" s="36"/>
      <c r="G248" s="28">
        <f>G245+G246+G247</f>
        <v>0</v>
      </c>
      <c r="H248" s="3"/>
      <c r="I248" s="28">
        <f>I245+I246+I247</f>
        <v>0</v>
      </c>
      <c r="J248" s="3"/>
      <c r="K248" s="35"/>
      <c r="L248" s="3"/>
      <c r="M248" s="277">
        <f>M245+M246+M247</f>
        <v>0</v>
      </c>
      <c r="N248" s="17"/>
      <c r="O248" s="3"/>
      <c r="P248" s="2"/>
      <c r="Q248" s="2"/>
    </row>
    <row r="249" spans="2:17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3" t="s">
        <v>22</v>
      </c>
      <c r="M249" s="34">
        <f>ROUND(M248*(O242-1),0)</f>
        <v>0</v>
      </c>
      <c r="N249" s="17"/>
      <c r="O249" s="3"/>
      <c r="P249" s="2"/>
      <c r="Q249" s="2"/>
    </row>
    <row r="250" spans="2:17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3" t="s">
        <v>21</v>
      </c>
      <c r="M250" s="32">
        <f>M248+M249</f>
        <v>0</v>
      </c>
      <c r="N250" s="8"/>
      <c r="O250" s="3"/>
      <c r="P250" s="2"/>
      <c r="Q250" s="2"/>
    </row>
    <row r="251" spans="2:17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  <c r="Q251" s="2"/>
    </row>
    <row r="252" spans="2:17" x14ac:dyDescent="0.35">
      <c r="B252" s="3"/>
      <c r="C252" s="3" t="s">
        <v>20</v>
      </c>
      <c r="D252" s="3"/>
      <c r="E252" s="3"/>
      <c r="F252" s="3"/>
      <c r="G252" s="3"/>
      <c r="H252" s="3"/>
      <c r="I252" s="3"/>
      <c r="J252" s="3"/>
      <c r="K252" s="3"/>
      <c r="L252" s="3"/>
      <c r="M252" s="32">
        <f>M225+M232+M243+M250</f>
        <v>8823579</v>
      </c>
      <c r="N252" s="17"/>
      <c r="O252" s="3"/>
      <c r="P252" s="2"/>
      <c r="Q252" s="2"/>
    </row>
    <row r="253" spans="2:17" x14ac:dyDescent="0.35">
      <c r="B253" s="3"/>
      <c r="C253" s="3" t="s">
        <v>19</v>
      </c>
      <c r="D253" s="3"/>
      <c r="E253" s="3"/>
      <c r="F253" s="3"/>
      <c r="G253" s="3"/>
      <c r="H253" s="3"/>
      <c r="I253" s="3"/>
      <c r="J253" s="3"/>
      <c r="K253" s="3"/>
      <c r="L253" s="3"/>
      <c r="M253" s="26">
        <f>L22+L23</f>
        <v>0</v>
      </c>
      <c r="N253" s="17"/>
      <c r="O253" s="3"/>
      <c r="P253" s="2"/>
      <c r="Q253" s="2"/>
    </row>
    <row r="254" spans="2:17" x14ac:dyDescent="0.35">
      <c r="B254" s="3"/>
      <c r="C254" s="3" t="s">
        <v>18</v>
      </c>
      <c r="D254" s="3"/>
      <c r="E254" s="3"/>
      <c r="F254" s="3"/>
      <c r="G254" s="3"/>
      <c r="H254" s="3"/>
      <c r="I254" s="3"/>
      <c r="J254" s="3"/>
      <c r="K254" s="3"/>
      <c r="L254" s="3"/>
      <c r="M254" s="26">
        <f>ROUND((J65+J66)*$L$9,0)</f>
        <v>0</v>
      </c>
      <c r="N254" s="17"/>
      <c r="O254" s="3"/>
      <c r="P254" s="2"/>
      <c r="Q254" s="2"/>
    </row>
    <row r="255" spans="2:17" x14ac:dyDescent="0.35">
      <c r="B255" s="3"/>
      <c r="C255" s="3" t="s">
        <v>17</v>
      </c>
      <c r="D255" s="3"/>
      <c r="E255" s="3"/>
      <c r="F255" s="3"/>
      <c r="G255" s="3"/>
      <c r="H255" s="3"/>
      <c r="I255" s="3"/>
      <c r="J255" s="3"/>
      <c r="K255" s="3"/>
      <c r="L255" s="3"/>
      <c r="M255" s="26">
        <f>L18</f>
        <v>0</v>
      </c>
      <c r="N255" s="17"/>
      <c r="O255" s="3"/>
      <c r="P255" s="2"/>
      <c r="Q255" s="2"/>
    </row>
    <row r="256" spans="2:17" ht="15" thickBot="1" x14ac:dyDescent="0.4">
      <c r="B256" s="3"/>
      <c r="C256" s="3" t="s">
        <v>16</v>
      </c>
      <c r="D256" s="3"/>
      <c r="E256" s="3"/>
      <c r="F256" s="3"/>
      <c r="G256" s="3"/>
      <c r="H256" s="3"/>
      <c r="I256" s="3"/>
      <c r="J256" s="3"/>
      <c r="K256" s="3"/>
      <c r="L256" s="3"/>
      <c r="M256" s="26">
        <f>ROUND(J64*$L$9,0)</f>
        <v>0</v>
      </c>
      <c r="N256" s="17"/>
      <c r="O256" s="3"/>
      <c r="P256" s="2"/>
      <c r="Q256" s="2"/>
    </row>
    <row r="257" spans="2:17" ht="15.5" thickTop="1" thickBot="1" x14ac:dyDescent="0.4">
      <c r="B257" s="3"/>
      <c r="C257" s="837" t="str">
        <f>CONCATENATE($A$4," - Total Annual Demand Charge Incl EDB:")</f>
        <v>SC12 Rate I - Total Annual Demand Charge Incl EDB:</v>
      </c>
      <c r="D257" s="3"/>
      <c r="E257" s="3"/>
      <c r="F257" s="3"/>
      <c r="G257" s="3"/>
      <c r="H257" s="3"/>
      <c r="I257" s="3"/>
      <c r="J257" s="3"/>
      <c r="K257" s="3"/>
      <c r="L257" s="3"/>
      <c r="M257" s="925">
        <f>M252+M253+M254+M255+M256</f>
        <v>8823579</v>
      </c>
      <c r="N257" s="8"/>
      <c r="O257" s="3"/>
      <c r="P257" s="2"/>
      <c r="Q257" s="2"/>
    </row>
    <row r="258" spans="2:17" ht="15" thickTop="1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7"/>
      <c r="O258" s="3"/>
      <c r="P258" s="2"/>
      <c r="Q258" s="2"/>
    </row>
    <row r="259" spans="2:17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0" t="s">
        <v>15</v>
      </c>
      <c r="L259" s="3"/>
      <c r="M259" s="30" t="s">
        <v>14</v>
      </c>
      <c r="N259" s="17"/>
      <c r="O259" s="3"/>
      <c r="P259" s="2"/>
      <c r="Q259" s="2"/>
    </row>
    <row r="260" spans="2:17" x14ac:dyDescent="0.35">
      <c r="B260" s="3"/>
      <c r="C260" s="31" t="s">
        <v>13</v>
      </c>
      <c r="D260" s="3"/>
      <c r="E260" s="3"/>
      <c r="F260" s="3"/>
      <c r="G260" s="3"/>
      <c r="H260" s="3"/>
      <c r="I260" s="30" t="s">
        <v>44</v>
      </c>
      <c r="J260" s="3"/>
      <c r="K260" s="30" t="s">
        <v>11</v>
      </c>
      <c r="L260" s="3"/>
      <c r="M260" s="30" t="s">
        <v>6</v>
      </c>
      <c r="N260" s="17"/>
      <c r="O260" s="3"/>
      <c r="P260" s="2"/>
      <c r="Q260" s="2"/>
    </row>
    <row r="261" spans="2:17" x14ac:dyDescent="0.35">
      <c r="B261" s="3"/>
      <c r="C261" s="3" t="s">
        <v>9</v>
      </c>
      <c r="D261" s="3" t="s">
        <v>10</v>
      </c>
      <c r="E261" s="3"/>
      <c r="F261" s="3"/>
      <c r="G261" s="3"/>
      <c r="H261" s="3"/>
      <c r="I261" s="29">
        <f>V6</f>
        <v>39321291</v>
      </c>
      <c r="J261" s="3"/>
      <c r="K261" s="27">
        <f>I207</f>
        <v>1.72E-2</v>
      </c>
      <c r="L261" s="3"/>
      <c r="M261" s="26">
        <f>ROUND(I261*K261,0)</f>
        <v>676326</v>
      </c>
      <c r="N261" s="17"/>
      <c r="O261" s="3"/>
      <c r="P261" s="2"/>
      <c r="Q261" s="2"/>
    </row>
    <row r="262" spans="2:17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"/>
      <c r="Q262" s="2"/>
    </row>
    <row r="263" spans="2:17" x14ac:dyDescent="0.35">
      <c r="B263" s="3"/>
      <c r="C263" s="3" t="s">
        <v>8</v>
      </c>
      <c r="D263" s="3" t="s">
        <v>10</v>
      </c>
      <c r="E263" s="3"/>
      <c r="F263" s="3"/>
      <c r="G263" s="3"/>
      <c r="H263" s="3"/>
      <c r="I263" s="28">
        <f>V16</f>
        <v>0</v>
      </c>
      <c r="J263" s="3"/>
      <c r="K263" s="27">
        <f>I210</f>
        <v>1.72E-2</v>
      </c>
      <c r="L263" s="3"/>
      <c r="M263" s="26">
        <f>ROUND(I263*K263,0)</f>
        <v>0</v>
      </c>
      <c r="N263" s="17"/>
      <c r="O263" s="3"/>
      <c r="P263" s="2"/>
      <c r="Q263" s="2"/>
    </row>
    <row r="264" spans="2:17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"/>
      <c r="Q264" s="2"/>
    </row>
    <row r="265" spans="2:17" x14ac:dyDescent="0.35">
      <c r="B265" s="3"/>
      <c r="C265" s="3" t="s">
        <v>9</v>
      </c>
      <c r="D265" s="3" t="s">
        <v>7</v>
      </c>
      <c r="E265" s="3"/>
      <c r="F265" s="3"/>
      <c r="G265" s="3"/>
      <c r="H265" s="3"/>
      <c r="I265" s="28">
        <f>V11</f>
        <v>115292046</v>
      </c>
      <c r="J265" s="3"/>
      <c r="K265" s="27">
        <f>K207</f>
        <v>1.72E-2</v>
      </c>
      <c r="L265" s="3"/>
      <c r="M265" s="26">
        <f>ROUND(I265*K265,0)</f>
        <v>1983023</v>
      </c>
      <c r="N265" s="17"/>
      <c r="O265" s="3"/>
      <c r="P265" s="2"/>
      <c r="Q265" s="2"/>
    </row>
    <row r="266" spans="2:17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2"/>
      <c r="Q266" s="2"/>
    </row>
    <row r="267" spans="2:17" x14ac:dyDescent="0.35">
      <c r="B267" s="3"/>
      <c r="C267" s="3" t="s">
        <v>8</v>
      </c>
      <c r="D267" s="3" t="s">
        <v>7</v>
      </c>
      <c r="E267" s="3"/>
      <c r="F267" s="3"/>
      <c r="G267" s="3"/>
      <c r="H267" s="3"/>
      <c r="I267" s="28">
        <f>V21</f>
        <v>0</v>
      </c>
      <c r="J267" s="3"/>
      <c r="K267" s="27">
        <f>K210</f>
        <v>1.72E-2</v>
      </c>
      <c r="L267" s="3"/>
      <c r="M267" s="26">
        <f>ROUND(I267*K267,0)</f>
        <v>0</v>
      </c>
      <c r="N267" s="17"/>
      <c r="O267" s="3"/>
      <c r="P267" s="2"/>
      <c r="Q267" s="2"/>
    </row>
    <row r="268" spans="2:17" ht="15" thickBot="1" x14ac:dyDescent="0.4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7"/>
      <c r="O268" s="3"/>
      <c r="P268" s="2"/>
      <c r="Q268" s="2"/>
    </row>
    <row r="269" spans="2:17" ht="15.5" thickTop="1" thickBot="1" x14ac:dyDescent="0.4">
      <c r="B269" s="3"/>
      <c r="C269" s="837" t="str">
        <f>CONCATENATE($A$4," - Total Annual Energy Charge:")</f>
        <v>SC12 Rate I - Total Annual Energy Charge:</v>
      </c>
      <c r="D269" s="410"/>
      <c r="E269" s="410"/>
      <c r="F269" s="410"/>
      <c r="G269" s="410"/>
      <c r="H269" s="3"/>
      <c r="I269" s="3"/>
      <c r="J269" s="3"/>
      <c r="K269" s="3"/>
      <c r="L269" s="3"/>
      <c r="M269" s="925">
        <f>M261+M263+M265+M267</f>
        <v>2659349</v>
      </c>
      <c r="N269" s="17"/>
      <c r="O269" s="3"/>
      <c r="P269" s="2"/>
      <c r="Q269" s="2"/>
    </row>
    <row r="270" spans="2:17" ht="15.5" thickTop="1" thickBot="1" x14ac:dyDescent="0.4">
      <c r="B270" s="3"/>
      <c r="C270" s="410"/>
      <c r="D270" s="410"/>
      <c r="E270" s="410"/>
      <c r="F270" s="410"/>
      <c r="G270" s="410"/>
      <c r="H270" s="3"/>
      <c r="I270" s="3"/>
      <c r="J270" s="3"/>
      <c r="K270" s="3"/>
      <c r="L270" s="3"/>
      <c r="M270" s="2"/>
      <c r="N270" s="17"/>
      <c r="O270" s="3"/>
      <c r="P270" s="2"/>
      <c r="Q270" s="2"/>
    </row>
    <row r="271" spans="2:17" ht="15.5" thickTop="1" thickBot="1" x14ac:dyDescent="0.4">
      <c r="B271" s="3"/>
      <c r="C271" s="837" t="str">
        <f>CONCATENATE($A$4," - Total Charge Price-Out at Proposed Rates:")</f>
        <v>SC12 Rate I - Total Charge Price-Out at Proposed Rates:</v>
      </c>
      <c r="D271" s="410"/>
      <c r="E271" s="410"/>
      <c r="F271" s="410"/>
      <c r="G271" s="410"/>
      <c r="H271" s="3"/>
      <c r="I271" s="3"/>
      <c r="J271" s="3"/>
      <c r="K271" s="3"/>
      <c r="L271" s="3"/>
      <c r="M271" s="925">
        <f>M257+M269</f>
        <v>11482928</v>
      </c>
      <c r="N271" s="8"/>
      <c r="O271" s="3"/>
      <c r="P271" s="2"/>
      <c r="Q271" s="2"/>
    </row>
    <row r="272" spans="2:17" ht="15.5" thickTop="1" thickBot="1" x14ac:dyDescent="0.4">
      <c r="B272" s="3"/>
      <c r="C272" s="410"/>
      <c r="D272" s="410"/>
      <c r="E272" s="410"/>
      <c r="F272" s="410"/>
      <c r="G272" s="410"/>
      <c r="H272" s="3"/>
      <c r="I272" s="3"/>
      <c r="J272" s="3"/>
      <c r="K272" s="3"/>
      <c r="L272" s="3"/>
      <c r="M272" s="3"/>
      <c r="N272" s="17"/>
      <c r="O272" s="3"/>
      <c r="P272" s="2"/>
      <c r="Q272" s="2"/>
    </row>
    <row r="273" spans="1:17" x14ac:dyDescent="0.35">
      <c r="B273" s="3"/>
      <c r="C273" s="23" t="str">
        <f>$A$4</f>
        <v>SC12 Rate I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1" t="s">
        <v>6</v>
      </c>
      <c r="N273" s="3"/>
      <c r="O273" s="3"/>
      <c r="P273" s="2"/>
      <c r="Q273" s="2"/>
    </row>
    <row r="274" spans="1:17" x14ac:dyDescent="0.35">
      <c r="B274" s="3"/>
      <c r="C274" s="11" t="s">
        <v>5</v>
      </c>
      <c r="D274" s="1305">
        <f>L4</f>
        <v>2020</v>
      </c>
      <c r="E274" s="1305"/>
      <c r="F274" s="1305"/>
      <c r="G274" s="10"/>
      <c r="H274" s="10"/>
      <c r="I274" s="10"/>
      <c r="J274" s="10"/>
      <c r="K274" s="10"/>
      <c r="L274" s="10"/>
      <c r="M274" s="13"/>
      <c r="N274" s="3"/>
      <c r="O274" s="3"/>
      <c r="P274" s="2"/>
      <c r="Q274" s="3"/>
    </row>
    <row r="275" spans="1:17" x14ac:dyDescent="0.35">
      <c r="B275" s="3"/>
      <c r="C275" s="699" t="s">
        <v>4</v>
      </c>
      <c r="D275" s="883"/>
      <c r="E275" s="883"/>
      <c r="F275" s="883"/>
      <c r="G275" s="884"/>
      <c r="H275" s="884"/>
      <c r="I275" s="884"/>
      <c r="J275" s="884"/>
      <c r="K275" s="10"/>
      <c r="L275" s="10"/>
      <c r="M275" s="12">
        <f>M271</f>
        <v>11482928</v>
      </c>
      <c r="N275" s="3"/>
      <c r="O275" s="3"/>
      <c r="P275" s="2"/>
      <c r="Q275" s="3"/>
    </row>
    <row r="276" spans="1:17" x14ac:dyDescent="0.35">
      <c r="B276" s="3"/>
      <c r="C276" s="699" t="s">
        <v>3</v>
      </c>
      <c r="D276" s="883"/>
      <c r="E276" s="883"/>
      <c r="F276" s="883"/>
      <c r="G276" s="884"/>
      <c r="H276" s="884"/>
      <c r="I276" s="884"/>
      <c r="J276" s="884"/>
      <c r="K276" s="10"/>
      <c r="L276" s="10"/>
      <c r="M276" s="951">
        <f>L28</f>
        <v>166162</v>
      </c>
      <c r="N276" s="3"/>
      <c r="O276" s="3"/>
      <c r="P276" s="2"/>
      <c r="Q276" s="3"/>
    </row>
    <row r="277" spans="1:17" x14ac:dyDescent="0.35">
      <c r="B277" s="3"/>
      <c r="C277" s="699" t="s">
        <v>1576</v>
      </c>
      <c r="D277" s="883"/>
      <c r="E277" s="883"/>
      <c r="F277" s="883"/>
      <c r="G277" s="884"/>
      <c r="H277" s="884"/>
      <c r="I277" s="884"/>
      <c r="J277" s="884"/>
      <c r="K277" s="10"/>
      <c r="L277" s="10"/>
      <c r="M277" s="936">
        <f>L27</f>
        <v>95936</v>
      </c>
      <c r="N277" s="3"/>
      <c r="O277" s="3"/>
      <c r="P277" s="3"/>
      <c r="Q277" s="3"/>
    </row>
    <row r="278" spans="1:17" x14ac:dyDescent="0.35">
      <c r="B278" s="3"/>
      <c r="C278" s="920"/>
      <c r="D278" s="884"/>
      <c r="E278" s="884"/>
      <c r="F278" s="884"/>
      <c r="G278" s="884"/>
      <c r="H278" s="884"/>
      <c r="I278" s="884"/>
      <c r="J278" s="884"/>
      <c r="K278" s="10"/>
      <c r="L278" s="10"/>
      <c r="M278" s="12">
        <f>M275+M276+M277</f>
        <v>11745026</v>
      </c>
      <c r="N278" s="3"/>
      <c r="O278" s="3"/>
      <c r="P278" s="2"/>
      <c r="Q278" s="2"/>
    </row>
    <row r="279" spans="1:17" x14ac:dyDescent="0.35">
      <c r="B279" s="3"/>
      <c r="C279" s="11"/>
      <c r="D279" s="10"/>
      <c r="E279" s="10"/>
      <c r="F279" s="10"/>
      <c r="G279" s="10"/>
      <c r="H279" s="10"/>
      <c r="I279" s="10"/>
      <c r="J279" s="10"/>
      <c r="K279" s="10"/>
      <c r="L279" s="10"/>
      <c r="M279" s="13"/>
      <c r="N279" s="3"/>
      <c r="O279" s="3"/>
      <c r="P279" s="2"/>
      <c r="Q279" s="2"/>
    </row>
    <row r="280" spans="1:17" x14ac:dyDescent="0.35">
      <c r="B280" s="3"/>
      <c r="C280" s="11"/>
      <c r="D280" s="10" t="s">
        <v>2</v>
      </c>
      <c r="E280" s="10"/>
      <c r="F280" s="10"/>
      <c r="G280" s="10"/>
      <c r="H280" s="10"/>
      <c r="I280" s="10"/>
      <c r="J280" s="10"/>
      <c r="K280" s="10"/>
      <c r="L280" s="10"/>
      <c r="M280" s="12">
        <f>L25</f>
        <v>11745150</v>
      </c>
      <c r="N280" s="3"/>
      <c r="O280" s="3"/>
      <c r="P280" s="2"/>
      <c r="Q280" s="2"/>
    </row>
    <row r="281" spans="1:17" x14ac:dyDescent="0.35">
      <c r="B281" s="3"/>
      <c r="C281" s="11"/>
      <c r="D281" s="10" t="s">
        <v>1</v>
      </c>
      <c r="E281" s="10"/>
      <c r="F281" s="10"/>
      <c r="G281" s="10"/>
      <c r="H281" s="10"/>
      <c r="I281" s="10"/>
      <c r="J281" s="10"/>
      <c r="K281" s="10"/>
      <c r="L281" s="10"/>
      <c r="M281" s="12">
        <f>M278-M280</f>
        <v>-124</v>
      </c>
      <c r="N281" s="3"/>
      <c r="O281" s="3"/>
      <c r="P281" s="2"/>
      <c r="Q281" s="2"/>
    </row>
    <row r="282" spans="1:17" x14ac:dyDescent="0.35">
      <c r="B282" s="3"/>
      <c r="C282" s="11"/>
      <c r="D282" s="10" t="s">
        <v>0</v>
      </c>
      <c r="E282" s="10"/>
      <c r="F282" s="10"/>
      <c r="G282" s="10"/>
      <c r="H282" s="10"/>
      <c r="I282" s="10"/>
      <c r="J282" s="10"/>
      <c r="K282" s="10"/>
      <c r="L282" s="10"/>
      <c r="M282" s="9">
        <f>M278/M280-1</f>
        <v>-1.0557549286249746E-5</v>
      </c>
      <c r="N282" s="3"/>
      <c r="O282" s="3"/>
      <c r="P282" s="2"/>
      <c r="Q282" s="2"/>
    </row>
    <row r="283" spans="1:17" ht="15" thickBot="1" x14ac:dyDescent="0.4">
      <c r="B283" s="3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3"/>
      <c r="O283" s="3"/>
      <c r="P283" s="2"/>
      <c r="Q283" s="2"/>
    </row>
    <row r="284" spans="1:17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"/>
    </row>
    <row r="285" spans="1:17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"/>
    </row>
    <row r="286" spans="1:17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"/>
    </row>
    <row r="287" spans="1:17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"/>
    </row>
    <row r="288" spans="1:17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"/>
    </row>
  </sheetData>
  <mergeCells count="12">
    <mergeCell ref="D136:F136"/>
    <mergeCell ref="H137:J137"/>
    <mergeCell ref="H143:J143"/>
    <mergeCell ref="H81:J81"/>
    <mergeCell ref="L81:N81"/>
    <mergeCell ref="L92:N92"/>
    <mergeCell ref="M143:P143"/>
    <mergeCell ref="H167:J167"/>
    <mergeCell ref="L167:N167"/>
    <mergeCell ref="I204:K204"/>
    <mergeCell ref="D216:E216"/>
    <mergeCell ref="D274:F274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6" max="16383" man="1"/>
    <brk id="154" max="16383" man="1"/>
    <brk id="212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9"/>
  <dimension ref="A1:W310"/>
  <sheetViews>
    <sheetView workbookViewId="0">
      <selection activeCell="L19" sqref="L19"/>
    </sheetView>
  </sheetViews>
  <sheetFormatPr defaultRowHeight="14.5" outlineLevelRow="1" x14ac:dyDescent="0.35"/>
  <cols>
    <col min="1" max="1" width="7.453125" customWidth="1"/>
    <col min="2" max="2" width="17.542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6.1796875" customWidth="1"/>
    <col min="14" max="14" width="11.54296875" customWidth="1"/>
    <col min="15" max="15" width="14.453125" customWidth="1"/>
    <col min="16" max="16" width="15.453125" style="1" customWidth="1"/>
    <col min="17" max="17" width="7.453125" style="1" customWidth="1"/>
    <col min="18" max="19" width="7.453125" customWidth="1"/>
    <col min="20" max="20" width="11.7265625" customWidth="1"/>
    <col min="21" max="21" width="13" customWidth="1"/>
    <col min="22" max="22" width="15" customWidth="1"/>
    <col min="23" max="23" width="13.54296875" customWidth="1"/>
    <col min="24" max="24" width="16.26953125" bestFit="1" customWidth="1"/>
    <col min="25" max="25" width="17.1796875" customWidth="1"/>
    <col min="26" max="26" width="11.7265625" customWidth="1"/>
    <col min="27" max="27" width="16.81640625" customWidth="1"/>
  </cols>
  <sheetData>
    <row r="1" spans="1:23" ht="18.5" x14ac:dyDescent="0.45">
      <c r="A1" s="447" t="s">
        <v>715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3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NYPA</v>
      </c>
      <c r="Q3" s="2"/>
      <c r="R3" s="3"/>
      <c r="S3" s="3"/>
      <c r="T3" s="3"/>
      <c r="U3" s="3"/>
      <c r="V3" s="3"/>
    </row>
    <row r="4" spans="1:23" outlineLevel="1" x14ac:dyDescent="0.35">
      <c r="A4" s="864" t="s">
        <v>761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3" t="str">
        <f>'[1]A1.)RatesInput'!$I$2</f>
        <v>RY1</v>
      </c>
      <c r="P4" s="181" t="s">
        <v>147</v>
      </c>
      <c r="Q4" s="2"/>
      <c r="R4" s="3"/>
      <c r="S4" s="3"/>
      <c r="T4" s="3"/>
      <c r="U4" s="3"/>
      <c r="V4" s="3"/>
    </row>
    <row r="5" spans="1:23" outlineLevel="1" x14ac:dyDescent="0.35">
      <c r="A5" s="902">
        <f>'8A.)HY_ED RevShifting'!G6</f>
        <v>0.05</v>
      </c>
      <c r="B5" s="75" t="s">
        <v>146</v>
      </c>
      <c r="C5" s="3"/>
      <c r="D5" s="3"/>
      <c r="E5" s="3"/>
      <c r="F5" s="3"/>
      <c r="G5" s="3"/>
      <c r="H5" s="3"/>
      <c r="J5" s="3" t="s">
        <v>145</v>
      </c>
      <c r="K5" s="304" t="s">
        <v>1074</v>
      </c>
      <c r="L5" s="692" t="s">
        <v>144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3" outlineLevel="1" x14ac:dyDescent="0.35">
      <c r="A6" s="180"/>
      <c r="B6" s="180"/>
      <c r="C6" s="180"/>
      <c r="D6" s="180"/>
      <c r="E6" s="180"/>
      <c r="F6" s="180"/>
      <c r="G6" s="490" t="str">
        <f>'11A.)DemandRateDesignSummary'!D119</f>
        <v>Current(RY1)</v>
      </c>
      <c r="H6" s="10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64">
        <v>0</v>
      </c>
      <c r="T6" s="161"/>
      <c r="U6" s="161"/>
      <c r="V6" s="161"/>
    </row>
    <row r="7" spans="1:23" ht="15" outlineLevel="1" thickBot="1" x14ac:dyDescent="0.4">
      <c r="A7" s="3"/>
      <c r="B7" s="3"/>
      <c r="C7" s="3"/>
      <c r="D7" s="3"/>
      <c r="E7" s="3"/>
      <c r="F7" s="3"/>
      <c r="G7" s="101" t="s">
        <v>142</v>
      </c>
      <c r="J7" s="3"/>
      <c r="K7" s="17"/>
      <c r="L7" s="118" t="str">
        <f>A4</f>
        <v>NYPA</v>
      </c>
      <c r="M7" s="3"/>
      <c r="P7" s="170" t="s">
        <v>114</v>
      </c>
      <c r="Q7" s="159"/>
      <c r="R7" s="158" t="s">
        <v>141</v>
      </c>
      <c r="S7" s="159">
        <f>S6</f>
        <v>0</v>
      </c>
      <c r="T7" s="156"/>
      <c r="U7" s="387">
        <f>'[1]F4.)NYPA'!$E$8</f>
        <v>3707547</v>
      </c>
      <c r="V7" s="387">
        <f>'[1]F4.)NYPA'!$E$29</f>
        <v>17728864.030000001</v>
      </c>
      <c r="W7" s="143"/>
    </row>
    <row r="8" spans="1:23" ht="15.5" outlineLevel="1" thickTop="1" thickBot="1" x14ac:dyDescent="0.4">
      <c r="A8" s="3" t="s">
        <v>912</v>
      </c>
      <c r="B8" s="3"/>
      <c r="C8" s="3"/>
      <c r="D8" s="3"/>
      <c r="E8" s="3"/>
      <c r="F8" s="3"/>
      <c r="G8" s="309">
        <f>'11A.)DemandRateDesignSummary'!D121</f>
        <v>0.20440000000000003</v>
      </c>
      <c r="H8" s="177">
        <f>I207</f>
        <v>0.2094</v>
      </c>
      <c r="K8" s="33" t="s">
        <v>140</v>
      </c>
      <c r="L8" s="688">
        <f>A5</f>
        <v>0.05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3" ht="15.5" outlineLevel="1" thickTop="1" thickBot="1" x14ac:dyDescent="0.4">
      <c r="A9" s="3" t="s">
        <v>913</v>
      </c>
      <c r="B9" s="3"/>
      <c r="C9" s="3"/>
      <c r="D9" s="3"/>
      <c r="E9" s="3"/>
      <c r="F9" s="3"/>
      <c r="G9" s="310">
        <f>'11A.)DemandRateDesignSummary'!D122</f>
        <v>0.20440000000000003</v>
      </c>
      <c r="H9" s="169">
        <f>K207</f>
        <v>0.2094</v>
      </c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0</v>
      </c>
      <c r="U9" s="151">
        <f>SUM(U6:U8)</f>
        <v>3707547</v>
      </c>
      <c r="V9" s="151">
        <f>SUM(V6:V8)</f>
        <v>17728864.030000001</v>
      </c>
    </row>
    <row r="10" spans="1:23" ht="15" outlineLevel="1" thickTop="1" x14ac:dyDescent="0.35">
      <c r="A10" s="3"/>
      <c r="B10" s="3"/>
      <c r="C10" s="3"/>
      <c r="D10" s="3"/>
      <c r="E10" s="3"/>
      <c r="F10" s="3"/>
      <c r="G10" s="310"/>
      <c r="H10" s="169"/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3" outlineLevel="1" x14ac:dyDescent="0.35">
      <c r="A11" s="3" t="s">
        <v>914</v>
      </c>
      <c r="B11" s="3"/>
      <c r="C11" s="3"/>
      <c r="D11" s="3"/>
      <c r="E11" s="3"/>
      <c r="F11" s="3"/>
      <c r="G11" s="310">
        <f>'11A.)DemandRateDesignSummary'!D123</f>
        <v>27.55</v>
      </c>
      <c r="H11" s="169">
        <f>H147</f>
        <v>28.23</v>
      </c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0</v>
      </c>
      <c r="T11" s="161"/>
      <c r="U11" s="161"/>
      <c r="V11" s="161"/>
    </row>
    <row r="12" spans="1:23" outlineLevel="1" x14ac:dyDescent="0.35">
      <c r="A12" s="3"/>
      <c r="B12" s="3"/>
      <c r="C12" s="3"/>
      <c r="D12" s="3"/>
      <c r="E12" s="3"/>
      <c r="F12" s="3"/>
      <c r="G12" s="310"/>
      <c r="H12" s="169"/>
      <c r="P12" s="160" t="s">
        <v>113</v>
      </c>
      <c r="Q12" s="159"/>
      <c r="R12" s="158" t="str">
        <f>$R$7</f>
        <v>&gt;</v>
      </c>
      <c r="S12" s="157">
        <f>$S$7</f>
        <v>0</v>
      </c>
      <c r="T12" s="156"/>
      <c r="U12" s="387">
        <f>'[1]F4.)NYPA'!$E$7</f>
        <v>6297072</v>
      </c>
      <c r="V12" s="387">
        <f>'[1]F4.)NYPA'!$E$28</f>
        <v>41839031.450000003</v>
      </c>
      <c r="W12" s="143"/>
    </row>
    <row r="13" spans="1:23" ht="15" outlineLevel="1" thickBot="1" x14ac:dyDescent="0.4">
      <c r="A13" s="3" t="s">
        <v>915</v>
      </c>
      <c r="B13" s="3"/>
      <c r="C13" s="3"/>
      <c r="D13" s="3"/>
      <c r="E13" s="3"/>
      <c r="F13" s="3"/>
      <c r="G13" s="310">
        <f>'11A.)DemandRateDesignSummary'!D124</f>
        <v>27.55</v>
      </c>
      <c r="H13" s="169">
        <f>J147</f>
        <v>28.23</v>
      </c>
      <c r="I13" s="3"/>
      <c r="K13" s="33" t="s">
        <v>1489</v>
      </c>
      <c r="L13" s="690">
        <f>ROUND('[2]6A.)RateChange'!$BE$80/'[2]6A.)RateChange'!$I$80,8)</f>
        <v>2.4550200000000001E-2</v>
      </c>
      <c r="P13" s="155" t="s">
        <v>113</v>
      </c>
      <c r="Q13" s="154"/>
      <c r="R13" s="154"/>
      <c r="S13" s="154"/>
      <c r="T13" s="172"/>
      <c r="U13" s="172"/>
      <c r="V13" s="171"/>
    </row>
    <row r="14" spans="1:23" ht="15.5" outlineLevel="1" thickTop="1" thickBot="1" x14ac:dyDescent="0.4">
      <c r="A14" s="3" t="s">
        <v>916</v>
      </c>
      <c r="B14" s="3"/>
      <c r="C14" s="3"/>
      <c r="D14" s="3"/>
      <c r="E14" s="3"/>
      <c r="F14" s="3"/>
      <c r="G14" s="310">
        <f>'11A.)DemandRateDesignSummary'!D125</f>
        <v>0.20440000000000003</v>
      </c>
      <c r="H14" s="169">
        <f>I210</f>
        <v>0.2094</v>
      </c>
      <c r="K14" s="33" t="s">
        <v>307</v>
      </c>
      <c r="L14" s="688">
        <f>'11B.)Demand_RateDesign_SC5_I'!$L$15</f>
        <v>0</v>
      </c>
      <c r="M14" s="173"/>
      <c r="P14" s="2"/>
      <c r="Q14" s="2"/>
      <c r="R14" s="3"/>
      <c r="S14" s="3"/>
      <c r="T14" s="151">
        <f>SUM(T11:T13)</f>
        <v>0</v>
      </c>
      <c r="U14" s="151">
        <f>SUM(U11:U13)</f>
        <v>6297072</v>
      </c>
      <c r="V14" s="151">
        <f>SUM(V11:V13)</f>
        <v>41839031.450000003</v>
      </c>
    </row>
    <row r="15" spans="1:23" ht="15" outlineLevel="1" thickTop="1" x14ac:dyDescent="0.35">
      <c r="A15" s="3" t="s">
        <v>917</v>
      </c>
      <c r="B15" s="3"/>
      <c r="C15" s="3"/>
      <c r="D15" s="3"/>
      <c r="E15" s="3"/>
      <c r="F15" s="3"/>
      <c r="G15" s="310">
        <f>'11A.)DemandRateDesignSummary'!D126</f>
        <v>0.20440000000000003</v>
      </c>
      <c r="H15" s="169">
        <f>K210</f>
        <v>0.2094</v>
      </c>
      <c r="L15">
        <f>'[2]6A.)RateChange'!$BY$56</f>
        <v>147225</v>
      </c>
    </row>
    <row r="16" spans="1:23" outlineLevel="1" x14ac:dyDescent="0.35">
      <c r="A16" s="3"/>
      <c r="B16" s="3"/>
      <c r="C16" s="3"/>
      <c r="D16" s="3"/>
      <c r="E16" s="3"/>
      <c r="F16" s="3"/>
      <c r="G16" s="310"/>
      <c r="H16" s="169"/>
      <c r="L16" s="135" t="s">
        <v>135</v>
      </c>
      <c r="M16" s="135" t="s">
        <v>134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0</v>
      </c>
      <c r="T16" s="161"/>
      <c r="U16" s="161"/>
      <c r="V16" s="161"/>
    </row>
    <row r="17" spans="1:22" outlineLevel="1" x14ac:dyDescent="0.35">
      <c r="A17" s="3" t="s">
        <v>918</v>
      </c>
      <c r="B17" s="3"/>
      <c r="C17" s="3"/>
      <c r="D17" s="3"/>
      <c r="E17" s="3"/>
      <c r="F17" s="3"/>
      <c r="G17" s="310">
        <f>'11A.)DemandRateDesignSummary'!D127</f>
        <v>19.14</v>
      </c>
      <c r="H17" s="169">
        <f>H151</f>
        <v>19.61</v>
      </c>
      <c r="K17" s="33" t="s">
        <v>133</v>
      </c>
      <c r="L17" s="245">
        <f>'[2]6A.)RateChange'!$BE$77</f>
        <v>9563289.0348460395</v>
      </c>
      <c r="M17" s="701">
        <f>ROUND(L17/$L$9,0)</f>
        <v>9458489</v>
      </c>
      <c r="N17" s="143"/>
      <c r="P17" s="170" t="s">
        <v>112</v>
      </c>
      <c r="Q17" s="159"/>
      <c r="R17" s="158" t="str">
        <f>$R$7</f>
        <v>&gt;</v>
      </c>
      <c r="S17" s="157">
        <f>$S$7</f>
        <v>0</v>
      </c>
      <c r="T17" s="156"/>
      <c r="U17" s="387">
        <f>'[1]F4.)NYPA'!$E$11</f>
        <v>1965888</v>
      </c>
      <c r="V17" s="387"/>
    </row>
    <row r="18" spans="1:22" ht="15" outlineLevel="1" thickBot="1" x14ac:dyDescent="0.4">
      <c r="A18" s="3"/>
      <c r="B18" s="3"/>
      <c r="C18" s="3"/>
      <c r="D18" s="3"/>
      <c r="E18" s="3"/>
      <c r="F18" s="3"/>
      <c r="G18" s="310"/>
      <c r="H18" s="169"/>
      <c r="K18" s="33" t="s">
        <v>132</v>
      </c>
      <c r="L18" s="276"/>
      <c r="M18" s="134">
        <f>ROUND(L18/$L$9,0)</f>
        <v>0</v>
      </c>
      <c r="P18" s="168" t="s">
        <v>112</v>
      </c>
      <c r="Q18" s="154"/>
      <c r="R18" s="154"/>
      <c r="S18" s="154"/>
      <c r="T18" s="153"/>
      <c r="U18" s="172"/>
      <c r="V18" s="171"/>
    </row>
    <row r="19" spans="1:22" ht="15.5" outlineLevel="1" thickTop="1" thickBot="1" x14ac:dyDescent="0.4">
      <c r="A19" s="3" t="s">
        <v>919</v>
      </c>
      <c r="B19" s="3"/>
      <c r="C19" s="3"/>
      <c r="D19" s="3"/>
      <c r="E19" s="3"/>
      <c r="F19" s="3"/>
      <c r="G19" s="310">
        <f>'11A.)DemandRateDesignSummary'!D128</f>
        <v>19.14</v>
      </c>
      <c r="H19" s="169">
        <f>J151</f>
        <v>19.61</v>
      </c>
      <c r="K19" s="33" t="s">
        <v>131</v>
      </c>
      <c r="L19" s="245">
        <f>'[2]4C.)HY_DemandRatePxOut(Rate I)'!$T$224</f>
        <v>389610477</v>
      </c>
      <c r="M19" s="245">
        <f>'[2]4C.)HY_DemandRatePxOut(Rate I)'!$S$224</f>
        <v>385324355</v>
      </c>
      <c r="T19" s="151">
        <f>SUM(T16:T18)</f>
        <v>0</v>
      </c>
      <c r="U19" s="151">
        <f>SUM(U16:U18)</f>
        <v>1965888</v>
      </c>
      <c r="V19" s="151">
        <f>SUM(V16:V18)</f>
        <v>0</v>
      </c>
    </row>
    <row r="20" spans="1:22" ht="15.5" outlineLevel="1" thickTop="1" thickBot="1" x14ac:dyDescent="0.4">
      <c r="A20" s="3" t="s">
        <v>769</v>
      </c>
      <c r="B20" s="3"/>
      <c r="C20" s="3"/>
      <c r="D20" s="3"/>
      <c r="E20" s="3"/>
      <c r="F20" s="3"/>
      <c r="G20" s="311">
        <f>'11A.)DemandRateDesignSummary'!D129</f>
        <v>11.45</v>
      </c>
      <c r="H20" s="167">
        <f>I277</f>
        <v>11.73</v>
      </c>
      <c r="K20" s="33" t="s">
        <v>130</v>
      </c>
      <c r="L20" s="276"/>
      <c r="M20" s="134">
        <f>ROUND(L20/$L$9,0)</f>
        <v>0</v>
      </c>
    </row>
    <row r="21" spans="1:22" ht="15" outlineLevel="1" thickTop="1" x14ac:dyDescent="0.35">
      <c r="G21" s="1"/>
      <c r="H21" s="1"/>
      <c r="K21" s="33" t="s">
        <v>129</v>
      </c>
      <c r="L21" s="245">
        <f>'[2]4B.)HY_EnergyRatePxOut(Rate I)'!$V$338</f>
        <v>12175678</v>
      </c>
      <c r="M21" s="245">
        <f>'[2]4B.)HY_EnergyRatePxOut(Rate I)'!$T$338</f>
        <v>12175678</v>
      </c>
      <c r="P21" s="165" t="s">
        <v>111</v>
      </c>
      <c r="Q21" s="164">
        <f>$Q$6</f>
        <v>0</v>
      </c>
      <c r="R21" s="163" t="str">
        <f>$R$6</f>
        <v>-</v>
      </c>
      <c r="S21" s="162">
        <f>$S$6</f>
        <v>0</v>
      </c>
      <c r="T21" s="161"/>
      <c r="U21" s="161"/>
      <c r="V21" s="161"/>
    </row>
    <row r="22" spans="1:22" outlineLevel="1" x14ac:dyDescent="0.35">
      <c r="G22" s="1"/>
      <c r="H22" s="1"/>
      <c r="K22" s="33" t="s">
        <v>128</v>
      </c>
      <c r="L22" s="276"/>
      <c r="M22" s="134">
        <f>ROUND(L22/$L$9,0)</f>
        <v>0</v>
      </c>
      <c r="P22" s="160" t="s">
        <v>111</v>
      </c>
      <c r="Q22" s="159"/>
      <c r="R22" s="158" t="str">
        <f>$R$7</f>
        <v>&gt;</v>
      </c>
      <c r="S22" s="157">
        <f>$S$7</f>
        <v>0</v>
      </c>
      <c r="T22" s="156"/>
      <c r="U22" s="387">
        <f>'[1]F4.)NYPA'!$E$10</f>
        <v>3765413</v>
      </c>
      <c r="V22" s="387"/>
    </row>
    <row r="23" spans="1:22" ht="15" outlineLevel="1" thickBot="1" x14ac:dyDescent="0.4">
      <c r="K23" s="33" t="s">
        <v>127</v>
      </c>
      <c r="L23" s="276"/>
      <c r="M23" s="134">
        <f>ROUND(L23/$L$9,0)</f>
        <v>0</v>
      </c>
      <c r="P23" s="155" t="s">
        <v>111</v>
      </c>
      <c r="Q23" s="154"/>
      <c r="R23" s="154"/>
      <c r="S23" s="154"/>
      <c r="T23" s="153"/>
      <c r="U23" s="172"/>
      <c r="V23" s="171"/>
    </row>
    <row r="24" spans="1:22" ht="15.5" outlineLevel="1" thickTop="1" thickBot="1" x14ac:dyDescent="0.4">
      <c r="T24" s="151">
        <f>SUM(T21:T23)</f>
        <v>0</v>
      </c>
      <c r="U24" s="151">
        <f>SUM(U21:U23)</f>
        <v>3765413</v>
      </c>
      <c r="V24" s="151">
        <f>SUM(V21:V23)</f>
        <v>0</v>
      </c>
    </row>
    <row r="25" spans="1:22" ht="15.5" outlineLevel="1" thickTop="1" thickBot="1" x14ac:dyDescent="0.4">
      <c r="K25" s="33" t="str">
        <f>CONCATENATE(A4," - Demand Target:")</f>
        <v>NYPA - Demand Target:</v>
      </c>
      <c r="L25" s="245">
        <f>'[2]6A.)RateChange'!$BL$77+'[2]6A.)RateChange'!$BL$79</f>
        <v>429427283.34861261</v>
      </c>
      <c r="M25" s="143"/>
      <c r="T25" s="150"/>
      <c r="U25" s="150"/>
      <c r="V25" s="150"/>
    </row>
    <row r="26" spans="1:22" ht="15.5" outlineLevel="1" thickTop="1" thickBot="1" x14ac:dyDescent="0.4">
      <c r="K26" s="33" t="str">
        <f>CONCATENATE(A4," - Energy Target:")</f>
        <v>NYPA - Energy Target:</v>
      </c>
      <c r="L26" s="245">
        <f>+'[2]6A.)RateChange'!$BL$76</f>
        <v>12474593.320725795</v>
      </c>
      <c r="P26" s="510" t="s">
        <v>770</v>
      </c>
      <c r="T26" s="915">
        <f>'[1]F4.)NYPA'!$D$40</f>
        <v>215409</v>
      </c>
      <c r="U26" s="150"/>
      <c r="V26" s="150"/>
    </row>
    <row r="27" spans="1:22" ht="15" outlineLevel="1" thickTop="1" x14ac:dyDescent="0.35">
      <c r="K27" s="33" t="s">
        <v>125</v>
      </c>
      <c r="L27" s="276"/>
    </row>
    <row r="28" spans="1:22" outlineLevel="1" x14ac:dyDescent="0.35"/>
    <row r="29" spans="1:22" outlineLevel="1" x14ac:dyDescent="0.35">
      <c r="K29" s="33" t="s">
        <v>123</v>
      </c>
      <c r="L29" s="245">
        <f>'[2]6A.)RateChange'!$BE$76</f>
        <v>298915.32072579506</v>
      </c>
    </row>
    <row r="30" spans="1:22" outlineLevel="1" x14ac:dyDescent="0.35">
      <c r="L30" s="371"/>
    </row>
    <row r="31" spans="1:22" outlineLevel="1" x14ac:dyDescent="0.35"/>
    <row r="32" spans="1:22" s="148" customFormat="1" outlineLevel="1" x14ac:dyDescent="0.35">
      <c r="A32" s="999"/>
    </row>
    <row r="33" spans="1:17" x14ac:dyDescent="0.35">
      <c r="A33" s="407" t="s">
        <v>122</v>
      </c>
      <c r="B33" s="147"/>
      <c r="C33" s="131"/>
      <c r="D33" s="131"/>
      <c r="E33" s="131"/>
      <c r="F33" s="33" t="s">
        <v>150</v>
      </c>
      <c r="G33" s="595">
        <f>$L$3</f>
        <v>2019</v>
      </c>
    </row>
    <row r="34" spans="1:17" x14ac:dyDescent="0.35">
      <c r="A34" s="407"/>
      <c r="B34" s="131"/>
      <c r="C34" s="131"/>
      <c r="D34" s="131"/>
      <c r="E34" s="131"/>
      <c r="F34" s="33" t="s">
        <v>5</v>
      </c>
      <c r="G34" s="595">
        <f>$L$4</f>
        <v>2020</v>
      </c>
      <c r="H34" t="str">
        <f>$M$4</f>
        <v>RY1</v>
      </c>
      <c r="I34" s="130"/>
    </row>
    <row r="35" spans="1:17" x14ac:dyDescent="0.35">
      <c r="A35" s="406"/>
      <c r="B35" s="41" t="str">
        <f>$A$4</f>
        <v>NYPA</v>
      </c>
      <c r="C35" s="133" t="s">
        <v>121</v>
      </c>
      <c r="D35" s="133"/>
      <c r="E35" s="133"/>
      <c r="F35" s="133"/>
      <c r="P35"/>
      <c r="Q35"/>
    </row>
    <row r="36" spans="1:17" x14ac:dyDescent="0.35">
      <c r="A36" s="406"/>
      <c r="C36" t="s">
        <v>120</v>
      </c>
      <c r="I36" s="130">
        <f>L17</f>
        <v>9563289.0348460395</v>
      </c>
      <c r="J36" s="892" t="s">
        <v>79</v>
      </c>
      <c r="P36"/>
      <c r="Q36"/>
    </row>
    <row r="37" spans="1:17" x14ac:dyDescent="0.35">
      <c r="A37" s="406"/>
      <c r="C37" t="s">
        <v>119</v>
      </c>
      <c r="I37" s="130">
        <f>L19</f>
        <v>389610477</v>
      </c>
      <c r="J37" s="892" t="s">
        <v>78</v>
      </c>
      <c r="P37"/>
      <c r="Q37"/>
    </row>
    <row r="38" spans="1:17" x14ac:dyDescent="0.35">
      <c r="A38" s="406"/>
      <c r="C38" t="s">
        <v>118</v>
      </c>
      <c r="I38" s="130">
        <f>L20</f>
        <v>0</v>
      </c>
      <c r="J38" s="892" t="s">
        <v>1089</v>
      </c>
      <c r="P38"/>
      <c r="Q38"/>
    </row>
    <row r="39" spans="1:17" x14ac:dyDescent="0.35">
      <c r="A39" s="406"/>
      <c r="C39" s="75" t="s">
        <v>117</v>
      </c>
      <c r="D39" s="75"/>
      <c r="E39" s="75"/>
      <c r="F39" s="75"/>
      <c r="I39" s="637">
        <f>ROUND(I36/(I37+I38),8)</f>
        <v>2.4545770000000001E-2</v>
      </c>
      <c r="J39" s="892" t="s">
        <v>1653</v>
      </c>
      <c r="P39"/>
      <c r="Q39"/>
    </row>
    <row r="40" spans="1:17" x14ac:dyDescent="0.35">
      <c r="A40" s="406"/>
      <c r="L40" s="141"/>
    </row>
    <row r="41" spans="1:17" x14ac:dyDescent="0.35">
      <c r="A41" s="406"/>
      <c r="G41" s="135" t="s">
        <v>26</v>
      </c>
      <c r="H41" s="135" t="s">
        <v>116</v>
      </c>
      <c r="I41" s="135" t="s">
        <v>115</v>
      </c>
    </row>
    <row r="42" spans="1:17" x14ac:dyDescent="0.35">
      <c r="A42" s="406"/>
      <c r="B42" s="41" t="str">
        <f>$A$4</f>
        <v>NYPA</v>
      </c>
      <c r="C42" t="s">
        <v>114</v>
      </c>
      <c r="G42" s="458">
        <f>$T$9</f>
        <v>0</v>
      </c>
      <c r="H42" s="506">
        <f>G10</f>
        <v>0</v>
      </c>
      <c r="I42" s="134">
        <f>ROUND(G42*H42,0)</f>
        <v>0</v>
      </c>
    </row>
    <row r="43" spans="1:17" x14ac:dyDescent="0.35">
      <c r="A43" s="406"/>
      <c r="C43" t="s">
        <v>113</v>
      </c>
      <c r="G43" s="458">
        <f>$T$14</f>
        <v>0</v>
      </c>
      <c r="H43" s="506">
        <f>G12</f>
        <v>0</v>
      </c>
      <c r="I43" s="134">
        <f>ROUND(G43*H43,0)</f>
        <v>0</v>
      </c>
    </row>
    <row r="44" spans="1:17" x14ac:dyDescent="0.35">
      <c r="A44" s="406"/>
      <c r="C44" t="s">
        <v>112</v>
      </c>
      <c r="G44" s="458">
        <f>$T$19</f>
        <v>0</v>
      </c>
      <c r="H44" s="506">
        <f>G16</f>
        <v>0</v>
      </c>
      <c r="I44" s="134">
        <f>ROUND(G44*H44,0)</f>
        <v>0</v>
      </c>
    </row>
    <row r="45" spans="1:17" x14ac:dyDescent="0.35">
      <c r="A45" s="406"/>
      <c r="C45" t="s">
        <v>111</v>
      </c>
      <c r="G45" s="458">
        <f>$T$24</f>
        <v>0</v>
      </c>
      <c r="H45" s="506">
        <f>G18</f>
        <v>0</v>
      </c>
      <c r="I45" s="134">
        <f>ROUND(G45*H45,0)</f>
        <v>0</v>
      </c>
    </row>
    <row r="46" spans="1:17" x14ac:dyDescent="0.35">
      <c r="A46" s="406"/>
      <c r="C46" t="s">
        <v>110</v>
      </c>
      <c r="I46" s="140">
        <f>SUM(I42:I45)</f>
        <v>0</v>
      </c>
      <c r="J46" s="136"/>
    </row>
    <row r="47" spans="1:17" ht="15" thickBot="1" x14ac:dyDescent="0.4">
      <c r="A47" s="406"/>
      <c r="B47" s="285"/>
      <c r="C47" t="s">
        <v>308</v>
      </c>
      <c r="I47" s="139">
        <f>L14</f>
        <v>0</v>
      </c>
      <c r="J47" s="136"/>
    </row>
    <row r="48" spans="1:17" ht="15.5" thickTop="1" thickBot="1" x14ac:dyDescent="0.4">
      <c r="A48" s="406"/>
      <c r="C48" t="s">
        <v>107</v>
      </c>
      <c r="I48" s="138">
        <f>ROUND(I46*(1+I47),0)</f>
        <v>0</v>
      </c>
      <c r="J48" s="136"/>
    </row>
    <row r="49" spans="1:13" ht="15.5" thickTop="1" thickBot="1" x14ac:dyDescent="0.4">
      <c r="A49" s="406"/>
    </row>
    <row r="50" spans="1:13" ht="15.5" thickTop="1" thickBot="1" x14ac:dyDescent="0.4">
      <c r="A50" s="406"/>
      <c r="C50" t="s">
        <v>105</v>
      </c>
      <c r="I50" s="137">
        <f>ROUND(I48*(1+I39),0)</f>
        <v>0</v>
      </c>
      <c r="J50" s="136"/>
    </row>
    <row r="51" spans="1:13" ht="15" thickTop="1" x14ac:dyDescent="0.35">
      <c r="A51" s="406"/>
    </row>
    <row r="52" spans="1:13" x14ac:dyDescent="0.35">
      <c r="A52" s="406"/>
    </row>
    <row r="53" spans="1:13" x14ac:dyDescent="0.35">
      <c r="A53" s="407" t="s">
        <v>104</v>
      </c>
    </row>
    <row r="54" spans="1:13" x14ac:dyDescent="0.35">
      <c r="A54" s="406"/>
    </row>
    <row r="55" spans="1:13" x14ac:dyDescent="0.35">
      <c r="A55" s="406"/>
      <c r="B55" s="41" t="str">
        <f>$A$4</f>
        <v>NYPA</v>
      </c>
      <c r="C55" s="133" t="s">
        <v>103</v>
      </c>
      <c r="D55" s="133"/>
      <c r="E55" s="133"/>
      <c r="F55" s="133"/>
      <c r="L55" s="135"/>
    </row>
    <row r="56" spans="1:13" x14ac:dyDescent="0.35">
      <c r="A56" s="406"/>
      <c r="C56" t="s">
        <v>102</v>
      </c>
      <c r="L56" s="819">
        <f>M19</f>
        <v>385324355</v>
      </c>
      <c r="M56" s="61" t="s">
        <v>177</v>
      </c>
    </row>
    <row r="57" spans="1:13" x14ac:dyDescent="0.35">
      <c r="A57" s="406"/>
      <c r="C57" t="s">
        <v>88</v>
      </c>
      <c r="L57" s="819">
        <f>M20</f>
        <v>0</v>
      </c>
      <c r="M57" s="61"/>
    </row>
    <row r="58" spans="1:13" ht="15" thickBot="1" x14ac:dyDescent="0.4">
      <c r="A58" s="406"/>
      <c r="C58" t="s">
        <v>99</v>
      </c>
      <c r="K58" s="129"/>
      <c r="L58" s="603">
        <f>I46</f>
        <v>0</v>
      </c>
      <c r="M58" s="61"/>
    </row>
    <row r="59" spans="1:13" ht="15.5" thickTop="1" thickBot="1" x14ac:dyDescent="0.4">
      <c r="A59" s="406"/>
      <c r="C59" s="75" t="s">
        <v>98</v>
      </c>
      <c r="D59" s="75"/>
      <c r="E59" s="75"/>
      <c r="F59" s="75"/>
      <c r="L59" s="740">
        <f>L56+L57-L58</f>
        <v>385324355</v>
      </c>
      <c r="M59" s="61" t="s">
        <v>177</v>
      </c>
    </row>
    <row r="60" spans="1:13" ht="15" thickTop="1" x14ac:dyDescent="0.35">
      <c r="A60" s="406"/>
    </row>
    <row r="61" spans="1:13" x14ac:dyDescent="0.35">
      <c r="A61" s="406"/>
      <c r="C61" s="131" t="s">
        <v>97</v>
      </c>
      <c r="D61" s="131"/>
      <c r="E61" s="131"/>
      <c r="F61" s="131"/>
      <c r="K61" s="130">
        <f>M17</f>
        <v>9458489</v>
      </c>
      <c r="M61" s="61" t="s">
        <v>178</v>
      </c>
    </row>
    <row r="62" spans="1:13" x14ac:dyDescent="0.35">
      <c r="A62" s="406"/>
      <c r="C62" t="s">
        <v>96</v>
      </c>
    </row>
    <row r="63" spans="1:13" x14ac:dyDescent="0.35">
      <c r="A63" s="406"/>
      <c r="C63" s="133" t="s">
        <v>95</v>
      </c>
      <c r="D63" s="133"/>
      <c r="E63" s="133"/>
      <c r="F63" s="133"/>
      <c r="J63" s="996"/>
      <c r="K63" s="130"/>
      <c r="M63" s="61"/>
    </row>
    <row r="64" spans="1:13" x14ac:dyDescent="0.35">
      <c r="A64" s="406"/>
      <c r="C64" t="s">
        <v>94</v>
      </c>
      <c r="I64" s="739"/>
      <c r="J64" s="130">
        <f>ROUND(I64*J$63,0)</f>
        <v>0</v>
      </c>
    </row>
    <row r="65" spans="1:13" x14ac:dyDescent="0.35">
      <c r="A65" s="406"/>
      <c r="C65" t="s">
        <v>93</v>
      </c>
      <c r="I65" s="739"/>
      <c r="J65" s="130">
        <f>ROUND(I65*J$63,0)</f>
        <v>0</v>
      </c>
    </row>
    <row r="66" spans="1:13" x14ac:dyDescent="0.35">
      <c r="A66" s="406"/>
      <c r="C66" t="s">
        <v>92</v>
      </c>
      <c r="I66" s="739"/>
      <c r="J66" s="130">
        <f>ROUND(I66*J$63,0)</f>
        <v>0</v>
      </c>
      <c r="K66" s="132">
        <f>J64+J65+J66</f>
        <v>0</v>
      </c>
      <c r="M66" s="61"/>
    </row>
    <row r="67" spans="1:13" x14ac:dyDescent="0.35">
      <c r="A67" s="406"/>
      <c r="C67" s="131" t="s">
        <v>91</v>
      </c>
      <c r="D67" s="131"/>
      <c r="E67" s="131"/>
      <c r="F67" s="131"/>
      <c r="K67" s="130">
        <f>K61-K66</f>
        <v>9458489</v>
      </c>
      <c r="M67" s="61" t="s">
        <v>178</v>
      </c>
    </row>
    <row r="68" spans="1:13" x14ac:dyDescent="0.35">
      <c r="A68" s="406"/>
      <c r="J68" s="130"/>
    </row>
    <row r="69" spans="1:13" x14ac:dyDescent="0.35">
      <c r="A69" s="406"/>
      <c r="C69" t="s">
        <v>90</v>
      </c>
      <c r="K69" s="129"/>
      <c r="L69" s="130">
        <f>L56+K67</f>
        <v>394782844</v>
      </c>
      <c r="M69" s="61" t="s">
        <v>1928</v>
      </c>
    </row>
    <row r="70" spans="1:13" x14ac:dyDescent="0.35">
      <c r="A70" s="406"/>
      <c r="C70" t="s">
        <v>88</v>
      </c>
      <c r="K70" s="129"/>
      <c r="L70" s="130">
        <f>L57</f>
        <v>0</v>
      </c>
      <c r="M70" s="61"/>
    </row>
    <row r="71" spans="1:13" ht="15" thickBot="1" x14ac:dyDescent="0.4">
      <c r="A71" s="406"/>
      <c r="C71" s="3" t="s">
        <v>87</v>
      </c>
      <c r="D71" s="3"/>
      <c r="E71" s="3"/>
      <c r="F71" s="3"/>
      <c r="K71" s="129"/>
      <c r="L71" s="130">
        <f>I50</f>
        <v>0</v>
      </c>
      <c r="M71" s="61"/>
    </row>
    <row r="72" spans="1:13" ht="15.5" thickTop="1" thickBot="1" x14ac:dyDescent="0.4">
      <c r="A72" s="406"/>
      <c r="C72" s="75" t="s">
        <v>85</v>
      </c>
      <c r="D72" s="75"/>
      <c r="E72" s="75"/>
      <c r="F72" s="75"/>
      <c r="K72" s="129"/>
      <c r="L72" s="997">
        <f>L69+L70-L71</f>
        <v>394782844</v>
      </c>
      <c r="M72" s="61" t="s">
        <v>1778</v>
      </c>
    </row>
    <row r="73" spans="1:13" ht="15" thickTop="1" x14ac:dyDescent="0.35">
      <c r="A73" s="406"/>
      <c r="L73" s="1"/>
    </row>
    <row r="74" spans="1:13" x14ac:dyDescent="0.35">
      <c r="A74" s="406"/>
      <c r="C74" s="75" t="s">
        <v>84</v>
      </c>
      <c r="D74" s="75"/>
      <c r="E74" s="75"/>
      <c r="F74" s="75"/>
      <c r="L74" s="964">
        <f>ROUND(L72/L59-1,8)</f>
        <v>2.454682E-2</v>
      </c>
      <c r="M74" s="61" t="s">
        <v>1929</v>
      </c>
    </row>
    <row r="75" spans="1:13" x14ac:dyDescent="0.35">
      <c r="A75" s="406"/>
      <c r="L75" s="1"/>
    </row>
    <row r="76" spans="1:13" x14ac:dyDescent="0.35">
      <c r="A76" s="406"/>
    </row>
    <row r="77" spans="1:13" x14ac:dyDescent="0.35">
      <c r="A77" s="407" t="s">
        <v>83</v>
      </c>
    </row>
    <row r="78" spans="1:13" x14ac:dyDescent="0.35">
      <c r="A78" s="406"/>
    </row>
    <row r="79" spans="1:13" x14ac:dyDescent="0.35">
      <c r="A79" s="406"/>
    </row>
    <row r="80" spans="1:13" ht="15" thickBot="1" x14ac:dyDescent="0.4"/>
    <row r="81" spans="2:15" ht="15.5" thickTop="1" thickBot="1" x14ac:dyDescent="0.4">
      <c r="B81" s="41" t="str">
        <f>$A$4</f>
        <v>NYPA</v>
      </c>
      <c r="C81" s="3"/>
      <c r="D81" s="3"/>
      <c r="E81" s="3"/>
      <c r="F81" s="3"/>
      <c r="G81" s="3"/>
      <c r="H81" s="1316" t="s">
        <v>82</v>
      </c>
      <c r="I81" s="1317"/>
      <c r="J81" s="1318"/>
      <c r="K81" s="3"/>
      <c r="L81" s="1307" t="s">
        <v>81</v>
      </c>
      <c r="M81" s="1308"/>
      <c r="N81" s="1309"/>
    </row>
    <row r="82" spans="2:15" ht="15" thickTop="1" x14ac:dyDescent="0.35">
      <c r="B82" s="3"/>
      <c r="C82" s="3"/>
      <c r="E82" s="30" t="s">
        <v>80</v>
      </c>
      <c r="F82" s="3"/>
      <c r="G82" s="3"/>
      <c r="H82" s="30" t="s">
        <v>42</v>
      </c>
      <c r="I82" s="30"/>
      <c r="J82" s="30" t="s">
        <v>40</v>
      </c>
      <c r="K82" s="3"/>
      <c r="L82" s="30" t="s">
        <v>42</v>
      </c>
      <c r="M82" s="86"/>
      <c r="N82" s="30" t="s">
        <v>40</v>
      </c>
    </row>
    <row r="83" spans="2:15" x14ac:dyDescent="0.35">
      <c r="B83" s="3" t="s">
        <v>43</v>
      </c>
      <c r="C83" s="3"/>
      <c r="D83" s="121">
        <f>Q6</f>
        <v>0</v>
      </c>
      <c r="E83" s="122" t="str">
        <f>R6</f>
        <v>-</v>
      </c>
      <c r="F83" s="121">
        <f>S6</f>
        <v>0</v>
      </c>
      <c r="G83" s="123"/>
      <c r="H83" s="35"/>
      <c r="I83" s="35"/>
      <c r="J83" s="35"/>
      <c r="K83" s="3"/>
      <c r="L83" s="3"/>
      <c r="M83" s="17"/>
      <c r="N83" s="3"/>
    </row>
    <row r="84" spans="2:15" x14ac:dyDescent="0.35">
      <c r="B84" s="3"/>
      <c r="C84" s="3"/>
      <c r="D84" s="121"/>
      <c r="E84" s="122"/>
      <c r="F84" s="121"/>
      <c r="G84" s="36"/>
      <c r="H84" s="939"/>
      <c r="I84" s="939"/>
      <c r="J84" s="939"/>
      <c r="K84" s="3"/>
    </row>
    <row r="85" spans="2:15" x14ac:dyDescent="0.35">
      <c r="B85" s="3"/>
      <c r="C85" s="3"/>
      <c r="D85" s="2"/>
      <c r="E85" s="122" t="str">
        <f>R7</f>
        <v>&gt;</v>
      </c>
      <c r="F85" s="121">
        <f>S7</f>
        <v>0</v>
      </c>
      <c r="G85" s="36"/>
      <c r="H85" s="939">
        <f>G11</f>
        <v>27.55</v>
      </c>
      <c r="I85" s="61" t="s">
        <v>165</v>
      </c>
      <c r="J85" s="940">
        <f>G13</f>
        <v>27.55</v>
      </c>
      <c r="K85" s="61" t="s">
        <v>138</v>
      </c>
      <c r="L85" s="27">
        <f>H85-J$85</f>
        <v>0</v>
      </c>
      <c r="M85" s="61" t="s">
        <v>1930</v>
      </c>
      <c r="N85" s="112"/>
      <c r="O85" s="61" t="s">
        <v>1090</v>
      </c>
    </row>
    <row r="86" spans="2:15" x14ac:dyDescent="0.35">
      <c r="B86" s="3"/>
      <c r="C86" s="3"/>
      <c r="D86" s="2"/>
      <c r="E86" s="122"/>
      <c r="F86" s="122"/>
      <c r="G86" s="36"/>
      <c r="H86" s="939"/>
      <c r="J86" s="939"/>
      <c r="L86" s="27"/>
      <c r="N86" s="61"/>
    </row>
    <row r="87" spans="2:15" x14ac:dyDescent="0.35">
      <c r="B87" s="3" t="s">
        <v>41</v>
      </c>
      <c r="C87" s="3"/>
      <c r="D87" s="121">
        <f>D83</f>
        <v>0</v>
      </c>
      <c r="E87" s="122" t="str">
        <f>E83</f>
        <v>-</v>
      </c>
      <c r="F87" s="121">
        <f>F83</f>
        <v>0</v>
      </c>
      <c r="G87" s="123"/>
      <c r="H87" s="939"/>
      <c r="J87" s="939"/>
      <c r="K87" s="3"/>
      <c r="L87" s="3"/>
      <c r="N87" s="3"/>
    </row>
    <row r="88" spans="2:15" x14ac:dyDescent="0.35">
      <c r="B88" s="3"/>
      <c r="C88" s="3"/>
      <c r="D88" s="121"/>
      <c r="E88" s="122"/>
      <c r="F88" s="121"/>
      <c r="G88" s="36"/>
      <c r="H88" s="939"/>
      <c r="J88" s="939"/>
      <c r="K88" s="3"/>
    </row>
    <row r="89" spans="2:15" x14ac:dyDescent="0.35">
      <c r="B89" s="3"/>
      <c r="C89" s="3"/>
      <c r="D89" s="2"/>
      <c r="E89" s="122" t="str">
        <f>E85</f>
        <v>&gt;</v>
      </c>
      <c r="F89" s="121">
        <f>F85</f>
        <v>0</v>
      </c>
      <c r="G89" s="36"/>
      <c r="H89" s="939">
        <f>G17</f>
        <v>19.14</v>
      </c>
      <c r="I89" s="61" t="s">
        <v>166</v>
      </c>
      <c r="J89" s="939">
        <f>G19</f>
        <v>19.14</v>
      </c>
      <c r="K89" s="61" t="s">
        <v>101</v>
      </c>
      <c r="L89" s="27">
        <f>H89-J$85</f>
        <v>-8.41</v>
      </c>
      <c r="M89" s="61" t="s">
        <v>1931</v>
      </c>
      <c r="N89" s="27">
        <f>J89-J$85</f>
        <v>-8.41</v>
      </c>
      <c r="O89" s="61" t="s">
        <v>1932</v>
      </c>
    </row>
    <row r="90" spans="2:15" x14ac:dyDescent="0.35">
      <c r="H90" s="406"/>
      <c r="J90" s="406"/>
    </row>
    <row r="91" spans="2:15" ht="15" thickBot="1" x14ac:dyDescent="0.4"/>
    <row r="92" spans="2:15" ht="15.5" thickTop="1" thickBot="1" x14ac:dyDescent="0.4">
      <c r="B92" s="119" t="s">
        <v>77</v>
      </c>
      <c r="L92" s="1307" t="s">
        <v>76</v>
      </c>
      <c r="M92" s="1308"/>
      <c r="N92" s="1309"/>
    </row>
    <row r="93" spans="2:15" ht="15.5" thickTop="1" thickBot="1" x14ac:dyDescent="0.4">
      <c r="G93" s="118" t="s">
        <v>42</v>
      </c>
      <c r="H93" s="118" t="s">
        <v>40</v>
      </c>
      <c r="L93" s="30" t="s">
        <v>42</v>
      </c>
      <c r="M93" s="86"/>
      <c r="N93" s="30" t="s">
        <v>40</v>
      </c>
    </row>
    <row r="94" spans="2:15" x14ac:dyDescent="0.35">
      <c r="B94" s="3"/>
      <c r="G94" s="117"/>
      <c r="H94" s="116"/>
      <c r="K94" t="str">
        <f>B83</f>
        <v>Low Tension (LT)</v>
      </c>
      <c r="L94" s="3"/>
      <c r="M94" s="17"/>
      <c r="N94" s="3"/>
    </row>
    <row r="95" spans="2:15" x14ac:dyDescent="0.35">
      <c r="B95" s="3" t="s">
        <v>75</v>
      </c>
      <c r="G95" s="114" t="str">
        <f>CONCATENATE("X + ",L96)</f>
        <v>X + 0</v>
      </c>
      <c r="H95" s="115" t="s">
        <v>32</v>
      </c>
      <c r="L95" s="27"/>
      <c r="M95" s="17"/>
      <c r="N95" s="27"/>
    </row>
    <row r="96" spans="2:15" x14ac:dyDescent="0.35">
      <c r="B96" s="3"/>
      <c r="G96" s="114"/>
      <c r="H96" s="113"/>
      <c r="L96" s="27">
        <f>ROUND(L85*(1+$L$74),2)</f>
        <v>0</v>
      </c>
      <c r="M96" s="61" t="s">
        <v>1933</v>
      </c>
      <c r="N96" s="112"/>
      <c r="O96" s="61" t="s">
        <v>1090</v>
      </c>
    </row>
    <row r="97" spans="2:15" ht="15" thickBot="1" x14ac:dyDescent="0.4">
      <c r="B97" s="3" t="s">
        <v>73</v>
      </c>
      <c r="G97" s="111" t="str">
        <f>CONCATENATE("X + ",L100)</f>
        <v>X + -8.62</v>
      </c>
      <c r="H97" s="110" t="str">
        <f>CONCATENATE("X + ",N100)</f>
        <v>X + -8.62</v>
      </c>
      <c r="L97" s="27"/>
      <c r="N97" s="109"/>
    </row>
    <row r="98" spans="2:15" x14ac:dyDescent="0.35">
      <c r="K98" t="str">
        <f>B87</f>
        <v>High Tension (HT)</v>
      </c>
      <c r="L98" s="3"/>
      <c r="M98" s="109"/>
      <c r="N98" s="3"/>
    </row>
    <row r="99" spans="2:15" x14ac:dyDescent="0.35">
      <c r="L99" s="27"/>
      <c r="N99" s="27"/>
    </row>
    <row r="100" spans="2:15" x14ac:dyDescent="0.35">
      <c r="L100" s="223">
        <f>ROUND(L89*(1+$L$74),2)</f>
        <v>-8.6199999999999992</v>
      </c>
      <c r="M100" s="61" t="s">
        <v>1934</v>
      </c>
      <c r="N100" s="27">
        <f>ROUND(N89*(1+$L$74),2)</f>
        <v>-8.6199999999999992</v>
      </c>
      <c r="O100" s="61" t="s">
        <v>1935</v>
      </c>
    </row>
    <row r="101" spans="2:15" x14ac:dyDescent="0.35">
      <c r="L101" s="27"/>
      <c r="N101" s="27"/>
      <c r="O101" s="61"/>
    </row>
    <row r="102" spans="2:15" x14ac:dyDescent="0.35">
      <c r="B102" s="334" t="s">
        <v>70</v>
      </c>
      <c r="M102" s="61"/>
    </row>
    <row r="103" spans="2:15" x14ac:dyDescent="0.35">
      <c r="B103" s="41" t="str">
        <f>$A$4</f>
        <v>NYPA</v>
      </c>
    </row>
    <row r="104" spans="2:15" ht="15" thickBot="1" x14ac:dyDescent="0.4">
      <c r="B104" s="70" t="s">
        <v>69</v>
      </c>
      <c r="C104" s="70"/>
      <c r="D104" s="70"/>
      <c r="E104" s="3"/>
      <c r="F104" s="3"/>
      <c r="G104" s="3"/>
      <c r="I104" s="69" t="s">
        <v>25</v>
      </c>
      <c r="J104" s="3"/>
      <c r="K104" s="3"/>
    </row>
    <row r="105" spans="2:15" x14ac:dyDescent="0.35">
      <c r="B105" s="3" t="s">
        <v>43</v>
      </c>
      <c r="C105" s="70"/>
      <c r="D105" s="70"/>
      <c r="E105" s="3" t="s">
        <v>42</v>
      </c>
      <c r="F105" s="3"/>
      <c r="G105" s="108" t="str">
        <f>CONCATENATE(D83,E83,F83," kW")</f>
        <v>0-0 kW</v>
      </c>
      <c r="I105" s="72"/>
      <c r="J105" s="36"/>
      <c r="K105" s="74"/>
    </row>
    <row r="106" spans="2:15" x14ac:dyDescent="0.35">
      <c r="B106" s="3" t="s">
        <v>43</v>
      </c>
      <c r="C106" s="3"/>
      <c r="D106" s="3"/>
      <c r="E106" s="3" t="s">
        <v>42</v>
      </c>
      <c r="F106" s="3"/>
      <c r="G106" s="108" t="str">
        <f>CONCATENATE(D85,E85,F85," kW")</f>
        <v>&gt;0 kW</v>
      </c>
      <c r="I106" s="72">
        <f>U7</f>
        <v>3707547</v>
      </c>
      <c r="J106" s="36" t="s">
        <v>39</v>
      </c>
      <c r="K106" s="107" t="str">
        <f>CONCATENATE("[",G95,"]")</f>
        <v>[X + 0]</v>
      </c>
      <c r="L106" s="61" t="s">
        <v>1558</v>
      </c>
    </row>
    <row r="107" spans="2:15" x14ac:dyDescent="0.35">
      <c r="B107" s="3" t="s">
        <v>43</v>
      </c>
      <c r="C107" s="3"/>
      <c r="D107" s="3"/>
      <c r="E107" s="3" t="s">
        <v>40</v>
      </c>
      <c r="F107" s="3"/>
      <c r="G107" s="3" t="str">
        <f>G105</f>
        <v>0-0 kW</v>
      </c>
      <c r="I107" s="72"/>
      <c r="J107" s="36"/>
      <c r="K107" s="73"/>
    </row>
    <row r="108" spans="2:15" x14ac:dyDescent="0.35">
      <c r="B108" s="3" t="s">
        <v>43</v>
      </c>
      <c r="C108" s="3"/>
      <c r="D108" s="3"/>
      <c r="E108" s="3" t="s">
        <v>40</v>
      </c>
      <c r="F108" s="3"/>
      <c r="G108" s="3" t="str">
        <f>G106</f>
        <v>&gt;0 kW</v>
      </c>
      <c r="I108" s="72">
        <f>U12</f>
        <v>6297072</v>
      </c>
      <c r="J108" s="36" t="s">
        <v>39</v>
      </c>
      <c r="K108" s="73" t="str">
        <f>CONCATENATE("[",H95,"]")</f>
        <v>[X]</v>
      </c>
      <c r="L108" s="61" t="s">
        <v>1642</v>
      </c>
    </row>
    <row r="109" spans="2:15" x14ac:dyDescent="0.35">
      <c r="B109" s="3" t="s">
        <v>41</v>
      </c>
      <c r="C109" s="3"/>
      <c r="D109" s="3"/>
      <c r="E109" s="3" t="s">
        <v>42</v>
      </c>
      <c r="F109" s="3"/>
      <c r="G109" s="3" t="str">
        <f>G105</f>
        <v>0-0 kW</v>
      </c>
      <c r="I109" s="72"/>
      <c r="J109" s="36"/>
      <c r="K109" s="73"/>
    </row>
    <row r="110" spans="2:15" x14ac:dyDescent="0.35">
      <c r="B110" s="3" t="s">
        <v>41</v>
      </c>
      <c r="C110" s="3"/>
      <c r="D110" s="3"/>
      <c r="E110" s="3" t="s">
        <v>42</v>
      </c>
      <c r="F110" s="3"/>
      <c r="G110" s="3" t="str">
        <f>G106</f>
        <v>&gt;0 kW</v>
      </c>
      <c r="I110" s="72">
        <f>U17</f>
        <v>1965888</v>
      </c>
      <c r="J110" s="36" t="s">
        <v>39</v>
      </c>
      <c r="K110" s="73" t="str">
        <f>CONCATENATE("[",G97,"]")</f>
        <v>[X + -8.62]</v>
      </c>
      <c r="L110" s="61" t="s">
        <v>1559</v>
      </c>
    </row>
    <row r="111" spans="2:15" x14ac:dyDescent="0.35">
      <c r="B111" s="3" t="s">
        <v>41</v>
      </c>
      <c r="C111" s="3"/>
      <c r="D111" s="3"/>
      <c r="E111" s="3" t="s">
        <v>40</v>
      </c>
      <c r="F111" s="3"/>
      <c r="G111" s="3" t="str">
        <f>G105</f>
        <v>0-0 kW</v>
      </c>
      <c r="I111" s="72"/>
      <c r="J111" s="36"/>
      <c r="K111" s="73"/>
    </row>
    <row r="112" spans="2:15" ht="15" thickBot="1" x14ac:dyDescent="0.4">
      <c r="B112" s="3" t="s">
        <v>41</v>
      </c>
      <c r="C112" s="3"/>
      <c r="D112" s="3"/>
      <c r="E112" s="3" t="s">
        <v>40</v>
      </c>
      <c r="F112" s="3"/>
      <c r="G112" s="3" t="str">
        <f>G106</f>
        <v>&gt;0 kW</v>
      </c>
      <c r="I112" s="67">
        <f>U22</f>
        <v>3765413</v>
      </c>
      <c r="J112" s="36" t="s">
        <v>39</v>
      </c>
      <c r="K112" s="71" t="str">
        <f>CONCATENATE("[",H97,"]")</f>
        <v>[X + -8.62]</v>
      </c>
      <c r="L112" s="61" t="s">
        <v>1560</v>
      </c>
    </row>
    <row r="113" spans="2:14" x14ac:dyDescent="0.35">
      <c r="I113" s="28">
        <f>SUM(I105:I112)</f>
        <v>15735920</v>
      </c>
      <c r="J113" s="61" t="s">
        <v>1936</v>
      </c>
    </row>
    <row r="114" spans="2:14" x14ac:dyDescent="0.35">
      <c r="J114" s="61"/>
    </row>
    <row r="115" spans="2:14" x14ac:dyDescent="0.35">
      <c r="B115" s="70" t="s">
        <v>38</v>
      </c>
    </row>
    <row r="116" spans="2:14" x14ac:dyDescent="0.35">
      <c r="B116" s="41" t="str">
        <f>$A$4</f>
        <v>NYPA</v>
      </c>
      <c r="F116" s="3"/>
      <c r="G116" s="3"/>
      <c r="H116" s="3"/>
      <c r="I116" s="69" t="s">
        <v>25</v>
      </c>
      <c r="J116" s="3"/>
      <c r="K116" s="106"/>
      <c r="L116" s="3"/>
      <c r="M116" s="3"/>
      <c r="N116" s="17"/>
    </row>
    <row r="117" spans="2:14" x14ac:dyDescent="0.35">
      <c r="B117" s="3" t="s">
        <v>727</v>
      </c>
      <c r="C117" s="3"/>
      <c r="F117" s="3"/>
      <c r="G117" s="3"/>
      <c r="H117" s="3"/>
      <c r="I117" s="105"/>
      <c r="J117" s="65"/>
      <c r="K117" s="34"/>
      <c r="L117" s="3"/>
      <c r="M117" s="17"/>
      <c r="N117" s="17"/>
    </row>
    <row r="118" spans="2:14" x14ac:dyDescent="0.35">
      <c r="B118" s="3" t="s">
        <v>37</v>
      </c>
      <c r="C118" s="3"/>
      <c r="F118" s="3"/>
      <c r="G118" s="3"/>
      <c r="H118" s="3"/>
      <c r="I118" s="105">
        <f>I106</f>
        <v>3707547</v>
      </c>
      <c r="J118" s="65" t="s">
        <v>63</v>
      </c>
      <c r="K118" s="34">
        <f>ROUND(I118*L96,0)</f>
        <v>0</v>
      </c>
      <c r="L118" s="3" t="s">
        <v>62</v>
      </c>
      <c r="M118" s="61" t="s">
        <v>1564</v>
      </c>
      <c r="N118" s="17"/>
    </row>
    <row r="119" spans="2:14" x14ac:dyDescent="0.35">
      <c r="B119" s="3" t="s">
        <v>728</v>
      </c>
      <c r="C119" s="3"/>
      <c r="F119" s="3"/>
      <c r="G119" s="3"/>
      <c r="H119" s="3"/>
      <c r="I119" s="105"/>
      <c r="J119" s="65"/>
      <c r="K119" s="34"/>
      <c r="L119" s="3"/>
      <c r="M119" s="17"/>
      <c r="N119" s="17"/>
    </row>
    <row r="120" spans="2:14" x14ac:dyDescent="0.35">
      <c r="B120" s="3" t="s">
        <v>36</v>
      </c>
      <c r="C120" s="3"/>
      <c r="F120" s="3"/>
      <c r="G120" s="3"/>
      <c r="H120" s="3"/>
      <c r="I120" s="105">
        <f t="shared" ref="I120:I124" si="0">I108</f>
        <v>6297072</v>
      </c>
      <c r="J120" s="65" t="s">
        <v>63</v>
      </c>
      <c r="K120" s="34">
        <f>ROUND(I120*N96,0)</f>
        <v>0</v>
      </c>
      <c r="L120" s="3" t="s">
        <v>62</v>
      </c>
      <c r="M120" s="61" t="s">
        <v>1707</v>
      </c>
      <c r="N120" s="17"/>
    </row>
    <row r="121" spans="2:14" x14ac:dyDescent="0.35">
      <c r="B121" s="3" t="s">
        <v>729</v>
      </c>
      <c r="C121" s="3"/>
      <c r="F121" s="3"/>
      <c r="G121" s="3"/>
      <c r="H121" s="3"/>
      <c r="I121" s="105"/>
      <c r="J121" s="65"/>
      <c r="K121" s="34"/>
      <c r="L121" s="3"/>
      <c r="M121" s="17"/>
      <c r="N121" s="17"/>
    </row>
    <row r="122" spans="2:14" x14ac:dyDescent="0.35">
      <c r="B122" s="3" t="s">
        <v>35</v>
      </c>
      <c r="C122" s="3"/>
      <c r="F122" s="3"/>
      <c r="G122" s="3"/>
      <c r="H122" s="3"/>
      <c r="I122" s="105">
        <f t="shared" si="0"/>
        <v>1965888</v>
      </c>
      <c r="J122" s="104" t="s">
        <v>63</v>
      </c>
      <c r="K122" s="34">
        <f>ROUND(I122*L100,0)</f>
        <v>-16945955</v>
      </c>
      <c r="L122" s="44" t="s">
        <v>62</v>
      </c>
      <c r="M122" s="61" t="s">
        <v>1565</v>
      </c>
      <c r="N122" s="17"/>
    </row>
    <row r="123" spans="2:14" x14ac:dyDescent="0.35">
      <c r="B123" s="3" t="s">
        <v>730</v>
      </c>
      <c r="C123" s="3"/>
      <c r="F123" s="3"/>
      <c r="G123" s="3"/>
      <c r="H123" s="3"/>
      <c r="I123" s="105"/>
      <c r="J123" s="104"/>
      <c r="K123" s="34"/>
      <c r="L123" s="44"/>
      <c r="M123" s="17"/>
      <c r="N123" s="17"/>
    </row>
    <row r="124" spans="2:14" x14ac:dyDescent="0.35">
      <c r="B124" s="3" t="s">
        <v>34</v>
      </c>
      <c r="C124" s="3"/>
      <c r="F124" s="3"/>
      <c r="G124" s="3"/>
      <c r="H124" s="3"/>
      <c r="I124" s="67">
        <f t="shared" si="0"/>
        <v>3765413</v>
      </c>
      <c r="J124" s="104" t="s">
        <v>63</v>
      </c>
      <c r="K124" s="37">
        <f>ROUND(I124*N100,0)</f>
        <v>-32457860</v>
      </c>
      <c r="L124" s="44" t="s">
        <v>62</v>
      </c>
      <c r="M124" s="61" t="s">
        <v>1566</v>
      </c>
      <c r="N124" s="17"/>
    </row>
    <row r="125" spans="2:14" x14ac:dyDescent="0.35">
      <c r="B125" s="3" t="s">
        <v>33</v>
      </c>
      <c r="C125" s="3"/>
      <c r="F125" s="66"/>
      <c r="G125" s="824">
        <f>L72</f>
        <v>394782844</v>
      </c>
      <c r="H125" s="63" t="s">
        <v>31</v>
      </c>
      <c r="I125" s="28">
        <f>SUM(I117:I124)</f>
        <v>15735920</v>
      </c>
      <c r="J125" s="65" t="s">
        <v>63</v>
      </c>
      <c r="K125" s="308">
        <f>SUM(K117:K124)</f>
        <v>-49403815</v>
      </c>
      <c r="L125" s="3" t="s">
        <v>1937</v>
      </c>
      <c r="M125" s="61" t="s">
        <v>1938</v>
      </c>
      <c r="N125" s="17"/>
    </row>
    <row r="126" spans="2:14" x14ac:dyDescent="0.35">
      <c r="F126" s="3"/>
      <c r="G126" s="3"/>
      <c r="H126" s="3"/>
      <c r="I126" s="3"/>
      <c r="J126" s="3"/>
      <c r="K126" s="3"/>
      <c r="L126" s="3"/>
      <c r="M126" s="61" t="s">
        <v>1939</v>
      </c>
      <c r="N126" s="17"/>
    </row>
    <row r="127" spans="2:14" x14ac:dyDescent="0.35">
      <c r="F127" s="34"/>
      <c r="G127" s="34">
        <f>G125-K125</f>
        <v>444186659</v>
      </c>
      <c r="H127" s="63" t="s">
        <v>31</v>
      </c>
      <c r="I127" s="28">
        <f>I125</f>
        <v>15735920</v>
      </c>
      <c r="J127" s="65" t="s">
        <v>32</v>
      </c>
      <c r="K127" s="3"/>
      <c r="L127" s="3"/>
      <c r="M127" s="61" t="s">
        <v>1973</v>
      </c>
      <c r="N127" s="17"/>
    </row>
    <row r="128" spans="2:14" x14ac:dyDescent="0.35">
      <c r="F128" s="3"/>
      <c r="G128" s="3"/>
      <c r="H128" s="3"/>
      <c r="I128" s="3"/>
      <c r="J128" s="3"/>
      <c r="K128" s="3"/>
      <c r="L128" s="3"/>
      <c r="M128" s="3"/>
      <c r="N128" s="17"/>
    </row>
    <row r="129" spans="2:16" x14ac:dyDescent="0.35">
      <c r="F129" s="101"/>
      <c r="G129" s="101"/>
      <c r="H129" s="101"/>
      <c r="I129" s="101"/>
      <c r="J129" s="3"/>
      <c r="K129" s="3"/>
      <c r="L129" s="3"/>
      <c r="N129" s="17"/>
    </row>
    <row r="130" spans="2:16" x14ac:dyDescent="0.35">
      <c r="F130" s="101"/>
      <c r="G130" s="101"/>
      <c r="H130" s="101"/>
      <c r="I130" s="101"/>
      <c r="J130" s="3"/>
      <c r="K130" s="3"/>
      <c r="L130" s="3"/>
      <c r="M130" s="3"/>
      <c r="N130" s="17"/>
    </row>
    <row r="131" spans="2:16" ht="15" thickBot="1" x14ac:dyDescent="0.4">
      <c r="F131" s="101"/>
      <c r="G131" s="101"/>
      <c r="H131" s="101"/>
      <c r="I131" s="101"/>
      <c r="J131" s="3"/>
      <c r="K131" s="3"/>
      <c r="L131" s="100"/>
      <c r="M131" s="34"/>
      <c r="N131" s="17"/>
    </row>
    <row r="132" spans="2:16" ht="15.5" thickTop="1" thickBot="1" x14ac:dyDescent="0.4">
      <c r="F132" s="64"/>
      <c r="G132" s="64" t="s">
        <v>32</v>
      </c>
      <c r="H132" s="63" t="s">
        <v>31</v>
      </c>
      <c r="I132" s="102">
        <f>ROUND(G127/I127,2)</f>
        <v>28.23</v>
      </c>
      <c r="J132" s="61" t="s">
        <v>1095</v>
      </c>
      <c r="K132" s="3"/>
      <c r="L132" s="3"/>
      <c r="M132" s="61" t="s">
        <v>1940</v>
      </c>
      <c r="N132" s="17"/>
    </row>
    <row r="133" spans="2:16" ht="15" thickTop="1" x14ac:dyDescent="0.35"/>
    <row r="135" spans="2:16" x14ac:dyDescent="0.35">
      <c r="B135" s="334" t="str">
        <f>CONCATENATE($A$4," at Proposed Demand Rates")</f>
        <v>NYPA at Proposed Demand Rates</v>
      </c>
    </row>
    <row r="136" spans="2:16" ht="15" thickBot="1" x14ac:dyDescent="0.4">
      <c r="B136" s="406"/>
      <c r="C136" s="3" t="s">
        <v>5</v>
      </c>
      <c r="D136" s="1319">
        <f>$L$4</f>
        <v>2020</v>
      </c>
      <c r="E136" s="1319"/>
      <c r="F136" s="1319"/>
      <c r="G136" s="3"/>
      <c r="H136" s="3"/>
      <c r="I136" s="3"/>
      <c r="J136" s="3"/>
      <c r="K136" s="3"/>
      <c r="L136" s="3"/>
      <c r="M136" s="3"/>
      <c r="N136" s="17"/>
      <c r="O136" s="3"/>
    </row>
    <row r="137" spans="2:16" ht="15.5" thickTop="1" thickBot="1" x14ac:dyDescent="0.4">
      <c r="C137" s="3"/>
      <c r="D137" s="3"/>
      <c r="E137" s="3"/>
      <c r="F137" s="3"/>
      <c r="G137" s="700"/>
      <c r="H137" s="1307" t="s">
        <v>59</v>
      </c>
      <c r="I137" s="1308"/>
      <c r="J137" s="1309"/>
      <c r="K137" s="3"/>
      <c r="L137" s="3"/>
      <c r="M137" s="3"/>
      <c r="N137" s="3"/>
    </row>
    <row r="138" spans="2:16" ht="15" thickTop="1" x14ac:dyDescent="0.35">
      <c r="C138" s="3"/>
      <c r="D138" s="3"/>
      <c r="E138" s="3"/>
      <c r="F138" s="3"/>
      <c r="G138" s="700"/>
      <c r="H138" s="36" t="s">
        <v>10</v>
      </c>
      <c r="I138" s="3"/>
      <c r="J138" s="36" t="s">
        <v>7</v>
      </c>
      <c r="K138" s="3"/>
      <c r="L138" s="3"/>
      <c r="M138" s="3"/>
      <c r="N138" s="3"/>
    </row>
    <row r="139" spans="2:16" x14ac:dyDescent="0.35">
      <c r="C139" s="3" t="s">
        <v>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6" x14ac:dyDescent="0.35">
      <c r="C140" s="3" t="s">
        <v>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6" ht="15" thickBot="1" x14ac:dyDescent="0.4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6" ht="15" thickBot="1" x14ac:dyDescent="0.4">
      <c r="C142" s="60"/>
      <c r="D142" s="59"/>
      <c r="E142" s="59"/>
      <c r="F142" s="59"/>
      <c r="G142" s="59"/>
      <c r="H142" s="59"/>
      <c r="I142" s="59"/>
      <c r="J142" s="59"/>
      <c r="K142" s="59"/>
      <c r="L142" s="98"/>
      <c r="M142" s="3"/>
      <c r="N142" s="3"/>
    </row>
    <row r="143" spans="2:16" ht="15.5" thickTop="1" thickBot="1" x14ac:dyDescent="0.4">
      <c r="C143" s="96"/>
      <c r="D143" s="44"/>
      <c r="E143" s="44"/>
      <c r="F143" s="44"/>
      <c r="G143" s="44"/>
      <c r="H143" s="1313" t="s">
        <v>58</v>
      </c>
      <c r="I143" s="1314"/>
      <c r="J143" s="1315"/>
      <c r="K143" s="44"/>
      <c r="L143" s="94"/>
      <c r="M143" s="1348" t="s">
        <v>57</v>
      </c>
      <c r="N143" s="1349"/>
      <c r="O143" s="1349"/>
      <c r="P143" s="1349"/>
    </row>
    <row r="144" spans="2:16" ht="15" thickTop="1" x14ac:dyDescent="0.35">
      <c r="C144" s="96"/>
      <c r="D144" s="44"/>
      <c r="E144" s="44"/>
      <c r="F144" s="44"/>
      <c r="G144" s="44"/>
      <c r="H144" s="56" t="s">
        <v>10</v>
      </c>
      <c r="I144" s="44"/>
      <c r="J144" s="56" t="s">
        <v>7</v>
      </c>
      <c r="K144" s="44"/>
      <c r="L144" s="94"/>
      <c r="M144" s="36" t="s">
        <v>10</v>
      </c>
      <c r="O144" s="36" t="s">
        <v>7</v>
      </c>
    </row>
    <row r="145" spans="1:16" x14ac:dyDescent="0.35">
      <c r="C145" s="96" t="s">
        <v>9</v>
      </c>
      <c r="D145" s="44"/>
      <c r="E145" s="44"/>
      <c r="F145" s="44"/>
      <c r="G145" s="44"/>
      <c r="H145" s="44"/>
      <c r="I145" s="44"/>
      <c r="J145" s="44"/>
      <c r="K145" s="44"/>
      <c r="L145" s="94"/>
      <c r="M145" s="81"/>
      <c r="O145" s="81"/>
    </row>
    <row r="146" spans="1:16" x14ac:dyDescent="0.35">
      <c r="C146" s="96"/>
      <c r="D146" s="56"/>
      <c r="E146" s="56"/>
      <c r="F146" s="56"/>
      <c r="G146" s="44"/>
      <c r="H146" s="54"/>
      <c r="I146" s="54"/>
      <c r="J146" s="54"/>
      <c r="K146" s="54"/>
      <c r="L146" s="94"/>
      <c r="M146" s="81"/>
      <c r="O146" s="81"/>
    </row>
    <row r="147" spans="1:16" x14ac:dyDescent="0.35">
      <c r="C147" s="96"/>
      <c r="D147" s="44"/>
      <c r="E147" s="56" t="str">
        <f>E85</f>
        <v>&gt;</v>
      </c>
      <c r="F147" s="56">
        <f>F85</f>
        <v>0</v>
      </c>
      <c r="G147" s="44"/>
      <c r="H147" s="737">
        <f>$I$132+L96</f>
        <v>28.23</v>
      </c>
      <c r="I147" s="52" t="s">
        <v>1941</v>
      </c>
      <c r="J147" s="737">
        <f>$I$132+N96</f>
        <v>28.23</v>
      </c>
      <c r="K147" s="52" t="s">
        <v>1943</v>
      </c>
      <c r="L147" s="94"/>
      <c r="M147" s="81">
        <f>ROUND(H147/H85-1,4)</f>
        <v>2.47E-2</v>
      </c>
      <c r="N147" s="358" t="s">
        <v>1945</v>
      </c>
      <c r="O147" s="81">
        <f>ROUND(J147/J85-1,4)</f>
        <v>2.47E-2</v>
      </c>
      <c r="P147" s="358" t="s">
        <v>1951</v>
      </c>
    </row>
    <row r="148" spans="1:16" ht="14.25" customHeight="1" x14ac:dyDescent="0.35">
      <c r="C148" s="96"/>
      <c r="D148" s="44"/>
      <c r="E148" s="44"/>
      <c r="F148" s="44"/>
      <c r="G148" s="44"/>
      <c r="H148" s="731"/>
      <c r="J148" s="731"/>
      <c r="L148" s="94"/>
      <c r="M148" s="17"/>
    </row>
    <row r="149" spans="1:16" x14ac:dyDescent="0.35">
      <c r="C149" s="96" t="s">
        <v>8</v>
      </c>
      <c r="D149" s="44"/>
      <c r="E149" s="44"/>
      <c r="F149" s="44"/>
      <c r="G149" s="44"/>
      <c r="H149" s="360"/>
      <c r="J149" s="360"/>
      <c r="K149" s="44"/>
      <c r="L149" s="94"/>
      <c r="M149" s="81"/>
      <c r="O149" s="81"/>
    </row>
    <row r="150" spans="1:16" x14ac:dyDescent="0.35">
      <c r="C150" s="96"/>
      <c r="D150" s="56"/>
      <c r="E150" s="56"/>
      <c r="F150" s="56"/>
      <c r="G150" s="44"/>
      <c r="H150" s="52"/>
      <c r="J150" s="52"/>
      <c r="K150" s="54"/>
      <c r="L150" s="94"/>
      <c r="M150" s="81"/>
      <c r="O150" s="81"/>
    </row>
    <row r="151" spans="1:16" x14ac:dyDescent="0.35">
      <c r="C151" s="96"/>
      <c r="D151" s="56"/>
      <c r="E151" s="56" t="str">
        <f>E147</f>
        <v>&gt;</v>
      </c>
      <c r="F151" s="56">
        <f>F147</f>
        <v>0</v>
      </c>
      <c r="G151" s="44"/>
      <c r="H151" s="737">
        <f>$I$132+L100</f>
        <v>19.61</v>
      </c>
      <c r="I151" s="52" t="s">
        <v>1942</v>
      </c>
      <c r="J151" s="737">
        <f>$I$132+N100</f>
        <v>19.61</v>
      </c>
      <c r="K151" s="52" t="s">
        <v>1944</v>
      </c>
      <c r="L151" s="94"/>
      <c r="M151" s="81">
        <f>ROUND(H151/H89-1,4)</f>
        <v>2.46E-2</v>
      </c>
      <c r="N151" s="358" t="s">
        <v>1950</v>
      </c>
      <c r="O151" s="81">
        <f>ROUND(J151/J89-1,4)</f>
        <v>2.46E-2</v>
      </c>
      <c r="P151" s="358" t="s">
        <v>1952</v>
      </c>
    </row>
    <row r="152" spans="1:16" ht="15" thickBot="1" x14ac:dyDescent="0.4">
      <c r="C152" s="93"/>
      <c r="D152" s="46"/>
      <c r="E152" s="46"/>
      <c r="F152" s="46"/>
      <c r="G152" s="46"/>
      <c r="H152" s="46"/>
      <c r="I152" s="92"/>
      <c r="J152" s="46"/>
      <c r="K152" s="92"/>
      <c r="L152" s="91"/>
      <c r="M152" s="17"/>
    </row>
    <row r="154" spans="1:16" x14ac:dyDescent="0.35">
      <c r="A154" s="406"/>
      <c r="B154" s="406"/>
    </row>
    <row r="155" spans="1:16" x14ac:dyDescent="0.35">
      <c r="A155" s="334" t="s">
        <v>56</v>
      </c>
      <c r="B155" s="410"/>
      <c r="C155" s="3"/>
      <c r="D155" s="3"/>
      <c r="E155" s="3"/>
      <c r="F155" s="3"/>
      <c r="G155" s="3"/>
      <c r="H155" s="3"/>
      <c r="I155" s="3"/>
    </row>
    <row r="156" spans="1:16" x14ac:dyDescent="0.35">
      <c r="A156" s="334"/>
      <c r="B156" s="410"/>
      <c r="C156" s="3"/>
      <c r="D156" s="3"/>
      <c r="E156" s="3"/>
      <c r="F156" s="3"/>
      <c r="G156" s="3"/>
      <c r="H156" s="3"/>
      <c r="I156" s="3"/>
    </row>
    <row r="157" spans="1:16" x14ac:dyDescent="0.35">
      <c r="A157" s="334"/>
      <c r="B157" s="334" t="s">
        <v>55</v>
      </c>
      <c r="C157" s="3"/>
      <c r="D157" s="3"/>
      <c r="E157" s="3"/>
      <c r="F157" s="3"/>
      <c r="G157" s="3"/>
      <c r="H157" s="3"/>
      <c r="I157" s="3"/>
    </row>
    <row r="158" spans="1:16" x14ac:dyDescent="0.35">
      <c r="A158" s="42"/>
      <c r="B158" s="41" t="str">
        <f>$A$4</f>
        <v>NYPA</v>
      </c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3" t="s">
        <v>54</v>
      </c>
      <c r="C159" s="3"/>
      <c r="D159" s="3"/>
      <c r="E159" s="3"/>
      <c r="F159" s="3"/>
      <c r="G159" s="3"/>
      <c r="H159" s="3"/>
      <c r="I159" s="90">
        <f>L21</f>
        <v>12175678</v>
      </c>
      <c r="J159" s="61" t="s">
        <v>50</v>
      </c>
      <c r="L159" s="3"/>
    </row>
    <row r="160" spans="1:16" x14ac:dyDescent="0.35">
      <c r="A160" s="42"/>
      <c r="B160" s="3" t="str">
        <f>CONCATENATE("Less: ",$L$5," Energy Revenues to Demand at Current Rates Level")</f>
        <v>Less: Shift of 5% Energy Revenues to Demand at Current Rates Level</v>
      </c>
      <c r="C160" s="3"/>
      <c r="D160" s="3"/>
      <c r="E160" s="3"/>
      <c r="F160" s="3"/>
      <c r="G160" s="3"/>
      <c r="H160" s="3"/>
      <c r="I160" s="90">
        <f>L20</f>
        <v>0</v>
      </c>
      <c r="J160" s="61" t="s">
        <v>49</v>
      </c>
      <c r="L160" s="3"/>
    </row>
    <row r="161" spans="1:15" x14ac:dyDescent="0.35">
      <c r="A161" s="42"/>
      <c r="B161" s="3" t="str">
        <f>CONCATENATE("Add: ",B158," Energy Share of Proposed Rate Change")</f>
        <v>Add: NYPA Energy Share of Proposed Rate Change</v>
      </c>
      <c r="C161" s="3"/>
      <c r="D161" s="3"/>
      <c r="E161" s="3"/>
      <c r="F161" s="3"/>
      <c r="G161" s="3"/>
      <c r="H161" s="3"/>
      <c r="I161" s="90">
        <f>L29</f>
        <v>298915.32072579506</v>
      </c>
      <c r="J161" s="61" t="s">
        <v>48</v>
      </c>
      <c r="L161" s="3"/>
    </row>
    <row r="162" spans="1:15" x14ac:dyDescent="0.35">
      <c r="A162" s="42"/>
      <c r="B162" s="410"/>
      <c r="C162" s="3"/>
      <c r="D162" s="3"/>
      <c r="E162" s="3"/>
      <c r="F162" s="3"/>
      <c r="G162" s="3"/>
      <c r="H162" s="3"/>
      <c r="I162" s="3"/>
      <c r="L162" s="3"/>
    </row>
    <row r="163" spans="1:15" x14ac:dyDescent="0.35">
      <c r="A163" s="42"/>
      <c r="B163" s="838" t="s">
        <v>52</v>
      </c>
      <c r="C163" s="3"/>
      <c r="D163" s="3"/>
      <c r="E163" s="3"/>
      <c r="F163" s="3"/>
      <c r="G163" s="3"/>
      <c r="H163" s="3"/>
      <c r="I163" s="32">
        <f>I159-I160+I161</f>
        <v>12474593.320725795</v>
      </c>
      <c r="J163" s="61" t="s">
        <v>1953</v>
      </c>
      <c r="L163" s="3"/>
    </row>
    <row r="164" spans="1:15" x14ac:dyDescent="0.35">
      <c r="A164" s="42"/>
      <c r="B164" s="410"/>
      <c r="C164" s="3"/>
      <c r="D164" s="3"/>
      <c r="E164" s="3"/>
      <c r="F164" s="3"/>
      <c r="G164" s="3"/>
      <c r="H164" s="3"/>
    </row>
    <row r="165" spans="1:15" x14ac:dyDescent="0.35">
      <c r="A165" s="42"/>
      <c r="B165" s="3"/>
      <c r="C165" s="3"/>
      <c r="D165" s="3"/>
      <c r="E165" s="3"/>
      <c r="F165" s="3"/>
      <c r="G165" s="3"/>
      <c r="H165" s="3"/>
      <c r="I165" s="3"/>
    </row>
    <row r="166" spans="1:15" ht="15" thickBot="1" x14ac:dyDescent="0.4">
      <c r="H166" s="88"/>
      <c r="I166" s="87"/>
    </row>
    <row r="167" spans="1:15" ht="15.5" thickTop="1" thickBot="1" x14ac:dyDescent="0.4">
      <c r="B167" s="41" t="str">
        <f>$A$4</f>
        <v>NYPA</v>
      </c>
      <c r="H167" s="1307" t="s">
        <v>51</v>
      </c>
      <c r="I167" s="1308"/>
      <c r="J167" s="1309"/>
      <c r="K167" s="3"/>
      <c r="L167" s="1307" t="s">
        <v>1955</v>
      </c>
      <c r="M167" s="1308"/>
      <c r="N167" s="1309"/>
    </row>
    <row r="168" spans="1:15" ht="15" thickTop="1" x14ac:dyDescent="0.35">
      <c r="B168" s="3"/>
      <c r="H168" s="36" t="s">
        <v>10</v>
      </c>
      <c r="I168" s="3"/>
      <c r="J168" s="36" t="s">
        <v>7</v>
      </c>
      <c r="K168" s="3"/>
      <c r="L168" s="30" t="s">
        <v>42</v>
      </c>
      <c r="M168" s="86"/>
      <c r="N168" s="30" t="s">
        <v>40</v>
      </c>
    </row>
    <row r="169" spans="1:15" x14ac:dyDescent="0.35">
      <c r="K169" s="3"/>
    </row>
    <row r="170" spans="1:15" x14ac:dyDescent="0.35">
      <c r="A170" s="406"/>
      <c r="B170" s="406"/>
      <c r="C170" s="3" t="s">
        <v>9</v>
      </c>
      <c r="H170" s="83">
        <f>G8</f>
        <v>0.20440000000000003</v>
      </c>
      <c r="I170" s="61" t="s">
        <v>53</v>
      </c>
      <c r="J170" s="85">
        <f>G9</f>
        <v>0.20440000000000003</v>
      </c>
      <c r="K170" s="61" t="s">
        <v>30</v>
      </c>
      <c r="L170" s="945">
        <f>ROUND(H170/$J$170,2)</f>
        <v>1</v>
      </c>
      <c r="M170" s="61" t="s">
        <v>1954</v>
      </c>
      <c r="N170" s="947"/>
      <c r="O170" s="61" t="s">
        <v>1792</v>
      </c>
    </row>
    <row r="171" spans="1:15" x14ac:dyDescent="0.35">
      <c r="A171" s="406"/>
      <c r="B171" s="406"/>
      <c r="C171" s="3"/>
      <c r="H171" s="3"/>
      <c r="J171" s="3"/>
      <c r="L171" s="946"/>
      <c r="N171" s="946"/>
    </row>
    <row r="172" spans="1:15" x14ac:dyDescent="0.35">
      <c r="A172" s="406"/>
      <c r="B172" s="406"/>
      <c r="C172" s="3"/>
      <c r="K172" s="3"/>
      <c r="L172" s="933"/>
      <c r="N172" s="933"/>
    </row>
    <row r="173" spans="1:15" x14ac:dyDescent="0.35">
      <c r="A173" s="406"/>
      <c r="B173" s="406"/>
      <c r="C173" s="3" t="s">
        <v>8</v>
      </c>
      <c r="H173" s="83">
        <f>G14</f>
        <v>0.20440000000000003</v>
      </c>
      <c r="I173" s="61" t="s">
        <v>1127</v>
      </c>
      <c r="J173" s="83">
        <f>G15</f>
        <v>0.20440000000000003</v>
      </c>
      <c r="K173" s="61" t="s">
        <v>1790</v>
      </c>
      <c r="L173" s="945">
        <f>ROUND(H173/$J$170,2)</f>
        <v>1</v>
      </c>
      <c r="M173" s="61" t="s">
        <v>1956</v>
      </c>
      <c r="N173" s="945">
        <f>ROUND(J173/$J$170,2)</f>
        <v>1</v>
      </c>
      <c r="O173" s="61" t="s">
        <v>1957</v>
      </c>
    </row>
    <row r="174" spans="1:15" x14ac:dyDescent="0.35">
      <c r="A174" s="406"/>
      <c r="B174" s="406"/>
      <c r="C174" s="3"/>
      <c r="H174" s="3"/>
      <c r="I174" s="3"/>
      <c r="J174" s="3"/>
      <c r="L174" s="3"/>
      <c r="M174" s="3"/>
      <c r="N174" s="945"/>
    </row>
    <row r="175" spans="1:15" x14ac:dyDescent="0.35">
      <c r="A175" s="406"/>
      <c r="B175" s="406"/>
      <c r="C175" s="3"/>
      <c r="H175" s="36"/>
      <c r="I175" s="3"/>
      <c r="J175" s="36"/>
      <c r="K175" s="3"/>
      <c r="L175" s="3"/>
      <c r="M175" s="17"/>
      <c r="N175" s="3"/>
    </row>
    <row r="176" spans="1:15" x14ac:dyDescent="0.35">
      <c r="A176" s="406"/>
      <c r="B176" s="406"/>
      <c r="C176" s="3" t="s">
        <v>9</v>
      </c>
      <c r="H176" s="36" t="str">
        <f>IF(L170=1,$J$176,CONCATENATE(L170," * ",$J$176))</f>
        <v>X</v>
      </c>
      <c r="I176" s="3"/>
      <c r="J176" s="80" t="s">
        <v>32</v>
      </c>
      <c r="K176" s="3"/>
      <c r="L176" s="3"/>
      <c r="M176" s="17"/>
      <c r="N176" s="3"/>
    </row>
    <row r="177" spans="1:14" x14ac:dyDescent="0.35">
      <c r="A177" s="406"/>
      <c r="B177" s="406"/>
      <c r="C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406"/>
      <c r="B178" s="406"/>
      <c r="C178" s="3"/>
      <c r="H178" s="36"/>
      <c r="I178" s="3"/>
      <c r="J178" s="36"/>
      <c r="K178" s="3"/>
      <c r="L178" s="3"/>
      <c r="M178" s="17"/>
      <c r="N178" s="3"/>
    </row>
    <row r="179" spans="1:14" x14ac:dyDescent="0.35">
      <c r="A179" s="406"/>
      <c r="B179" s="406"/>
      <c r="C179" s="3" t="s">
        <v>8</v>
      </c>
      <c r="H179" s="36" t="str">
        <f>IF(L173=1,$J$176,CONCATENATE(L173," * ",$J$176))</f>
        <v>X</v>
      </c>
      <c r="I179" s="3"/>
      <c r="J179" s="36" t="str">
        <f>IF(N173=1,$J$176,CONCATENATE(N173," * ",$J$176))</f>
        <v>X</v>
      </c>
      <c r="K179" s="3"/>
      <c r="L179" s="3"/>
      <c r="M179" s="17"/>
      <c r="N179" s="3"/>
    </row>
    <row r="180" spans="1:14" x14ac:dyDescent="0.35">
      <c r="A180" s="406"/>
      <c r="B180" s="406"/>
      <c r="H180" s="3"/>
      <c r="I180" s="3"/>
      <c r="J180" s="3"/>
      <c r="K180" s="3"/>
      <c r="L180" s="3"/>
      <c r="M180" s="3"/>
      <c r="N180" s="3"/>
    </row>
    <row r="181" spans="1:14" x14ac:dyDescent="0.35">
      <c r="A181" s="406"/>
      <c r="B181" s="406"/>
      <c r="H181" s="3"/>
      <c r="I181" s="3"/>
      <c r="J181" s="3"/>
      <c r="K181" s="3"/>
      <c r="L181" s="3"/>
      <c r="M181" s="3"/>
      <c r="N181" s="3"/>
    </row>
    <row r="182" spans="1:14" x14ac:dyDescent="0.35">
      <c r="A182" s="406"/>
      <c r="B182" s="334" t="s">
        <v>46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406"/>
      <c r="B183" s="41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" thickBot="1" x14ac:dyDescent="0.4">
      <c r="A184" s="406"/>
      <c r="B184" s="410"/>
      <c r="C184" s="75"/>
      <c r="E184" s="70" t="s">
        <v>45</v>
      </c>
      <c r="F184" s="70"/>
      <c r="G184" s="70"/>
      <c r="H184" s="3"/>
      <c r="I184" s="69" t="s">
        <v>44</v>
      </c>
      <c r="J184" s="3"/>
      <c r="K184" s="3"/>
      <c r="L184" s="3"/>
    </row>
    <row r="185" spans="1:14" x14ac:dyDescent="0.35">
      <c r="A185" s="406"/>
      <c r="B185" s="410"/>
      <c r="C185" s="3"/>
      <c r="E185" s="3" t="s">
        <v>43</v>
      </c>
      <c r="F185" s="3"/>
      <c r="G185" s="3"/>
      <c r="H185" s="3" t="s">
        <v>42</v>
      </c>
      <c r="I185" s="72">
        <f>$V$7</f>
        <v>17728864.030000001</v>
      </c>
      <c r="J185" s="36" t="s">
        <v>39</v>
      </c>
      <c r="K185" s="74" t="str">
        <f>CONCATENATE("[",$H$176,"]")</f>
        <v>[X]</v>
      </c>
      <c r="L185" s="61" t="s">
        <v>1958</v>
      </c>
    </row>
    <row r="186" spans="1:14" x14ac:dyDescent="0.35">
      <c r="A186" s="406"/>
      <c r="B186" s="410"/>
      <c r="C186" s="3"/>
      <c r="E186" s="3" t="s">
        <v>43</v>
      </c>
      <c r="F186" s="3"/>
      <c r="G186" s="3"/>
      <c r="H186" s="3" t="s">
        <v>40</v>
      </c>
      <c r="I186" s="72">
        <f>$V$12</f>
        <v>41839031.450000003</v>
      </c>
      <c r="J186" s="36" t="s">
        <v>39</v>
      </c>
      <c r="K186" s="73" t="str">
        <f>CONCATENATE("[",$J$176,"]")</f>
        <v>[X]</v>
      </c>
      <c r="L186" s="61" t="s">
        <v>1959</v>
      </c>
    </row>
    <row r="187" spans="1:14" x14ac:dyDescent="0.35">
      <c r="B187" s="3"/>
      <c r="C187" s="3"/>
      <c r="E187" s="3" t="s">
        <v>41</v>
      </c>
      <c r="F187" s="3"/>
      <c r="G187" s="3"/>
      <c r="H187" s="3" t="s">
        <v>42</v>
      </c>
      <c r="I187" s="72">
        <f>$V$17</f>
        <v>0</v>
      </c>
      <c r="J187" s="36" t="s">
        <v>39</v>
      </c>
      <c r="K187" s="73" t="str">
        <f>CONCATENATE("[",H179,"]")</f>
        <v>[X]</v>
      </c>
      <c r="L187" s="61" t="s">
        <v>1960</v>
      </c>
    </row>
    <row r="188" spans="1:14" ht="15" thickBot="1" x14ac:dyDescent="0.4">
      <c r="B188" s="3"/>
      <c r="C188" s="3"/>
      <c r="E188" s="3" t="s">
        <v>41</v>
      </c>
      <c r="F188" s="3"/>
      <c r="G188" s="3"/>
      <c r="H188" s="3" t="s">
        <v>40</v>
      </c>
      <c r="I188" s="67">
        <f>$V$22</f>
        <v>0</v>
      </c>
      <c r="J188" s="36" t="s">
        <v>39</v>
      </c>
      <c r="K188" s="71" t="str">
        <f>CONCATENATE("[",J179,"]")</f>
        <v>[X]</v>
      </c>
      <c r="L188" s="61" t="s">
        <v>1961</v>
      </c>
    </row>
    <row r="189" spans="1:14" x14ac:dyDescent="0.35">
      <c r="I189" s="28">
        <f>SUM(I185:I188)</f>
        <v>59567895.480000004</v>
      </c>
      <c r="J189" s="61" t="s">
        <v>1962</v>
      </c>
    </row>
    <row r="191" spans="1:14" x14ac:dyDescent="0.35">
      <c r="A191" s="42"/>
      <c r="B191" s="70" t="s">
        <v>472</v>
      </c>
      <c r="C191" s="3"/>
      <c r="D191" s="3"/>
      <c r="E191" s="3"/>
      <c r="F191" s="3"/>
      <c r="G191" s="3"/>
      <c r="H191" s="3"/>
    </row>
    <row r="192" spans="1:14" x14ac:dyDescent="0.35">
      <c r="A192" s="42"/>
      <c r="B192" s="41" t="str">
        <f>$A$4</f>
        <v>NYPA</v>
      </c>
      <c r="C192" s="3"/>
      <c r="D192" s="3"/>
      <c r="E192" s="3"/>
      <c r="F192" s="3"/>
      <c r="G192" s="3"/>
      <c r="I192" s="69" t="s">
        <v>44</v>
      </c>
    </row>
    <row r="193" spans="1:12" x14ac:dyDescent="0.35">
      <c r="A193" s="42"/>
      <c r="B193" s="3" t="s">
        <v>43</v>
      </c>
      <c r="C193" s="3"/>
      <c r="D193" s="3"/>
      <c r="E193" s="3"/>
      <c r="F193" s="3"/>
      <c r="G193" s="3"/>
      <c r="H193" s="1"/>
      <c r="I193" s="68">
        <f>I185*L170</f>
        <v>17728864.030000001</v>
      </c>
      <c r="J193" s="65" t="s">
        <v>32</v>
      </c>
      <c r="K193" s="61" t="s">
        <v>1707</v>
      </c>
    </row>
    <row r="194" spans="1:12" x14ac:dyDescent="0.35">
      <c r="A194" s="42"/>
      <c r="B194" s="3" t="s">
        <v>43</v>
      </c>
      <c r="C194" s="3"/>
      <c r="D194" s="3"/>
      <c r="E194" s="3"/>
      <c r="F194" s="3"/>
      <c r="G194" s="3"/>
      <c r="H194" s="1"/>
      <c r="I194" s="68">
        <f t="shared" ref="I194" si="1">I186</f>
        <v>41839031.450000003</v>
      </c>
      <c r="J194" s="65" t="s">
        <v>32</v>
      </c>
      <c r="K194" s="61" t="s">
        <v>1707</v>
      </c>
    </row>
    <row r="195" spans="1:12" x14ac:dyDescent="0.35">
      <c r="A195" s="42"/>
      <c r="B195" s="3" t="s">
        <v>41</v>
      </c>
      <c r="C195" s="3"/>
      <c r="D195" s="3"/>
      <c r="E195" s="3"/>
      <c r="F195" s="3"/>
      <c r="G195" s="3"/>
      <c r="H195" s="1"/>
      <c r="I195" s="68">
        <f>I187*L173</f>
        <v>0</v>
      </c>
      <c r="J195" s="65" t="s">
        <v>32</v>
      </c>
      <c r="K195" s="61" t="s">
        <v>1707</v>
      </c>
    </row>
    <row r="196" spans="1:12" x14ac:dyDescent="0.35">
      <c r="A196" s="42"/>
      <c r="B196" s="3" t="s">
        <v>41</v>
      </c>
      <c r="C196" s="3"/>
      <c r="D196" s="3"/>
      <c r="E196" s="3"/>
      <c r="F196" s="3"/>
      <c r="G196" s="3"/>
      <c r="H196" s="1"/>
      <c r="I196" s="67">
        <f>I188*N173</f>
        <v>0</v>
      </c>
      <c r="J196" s="65" t="s">
        <v>32</v>
      </c>
      <c r="K196" s="61" t="s">
        <v>1707</v>
      </c>
    </row>
    <row r="197" spans="1:12" x14ac:dyDescent="0.35">
      <c r="A197" s="42"/>
      <c r="B197" s="3" t="s">
        <v>33</v>
      </c>
      <c r="C197" s="3"/>
      <c r="D197" s="3"/>
      <c r="E197" s="3"/>
      <c r="G197" s="824">
        <f>I163</f>
        <v>12474593.320725795</v>
      </c>
      <c r="H197" s="1227" t="s">
        <v>31</v>
      </c>
      <c r="I197" s="220">
        <f>SUM(I193:I196)</f>
        <v>59567895.480000004</v>
      </c>
      <c r="J197" s="65" t="s">
        <v>32</v>
      </c>
      <c r="K197" s="61" t="s">
        <v>1963</v>
      </c>
    </row>
    <row r="198" spans="1:12" x14ac:dyDescent="0.35">
      <c r="A198" s="42"/>
      <c r="B198" s="3"/>
      <c r="C198" s="3"/>
      <c r="D198" s="3"/>
      <c r="E198" s="3"/>
      <c r="G198" s="3"/>
      <c r="H198" s="3"/>
      <c r="I198" s="3"/>
      <c r="J198" s="3"/>
    </row>
    <row r="199" spans="1:12" x14ac:dyDescent="0.35">
      <c r="A199" s="42"/>
      <c r="B199" s="3"/>
      <c r="C199" s="3"/>
      <c r="D199" s="3"/>
      <c r="E199" s="3"/>
      <c r="G199" s="34">
        <f>G197</f>
        <v>12474593.320725795</v>
      </c>
      <c r="H199" s="63" t="s">
        <v>31</v>
      </c>
      <c r="I199" s="28">
        <f>I197</f>
        <v>59567895.480000004</v>
      </c>
      <c r="J199" s="65" t="s">
        <v>32</v>
      </c>
      <c r="K199" s="61" t="s">
        <v>1964</v>
      </c>
    </row>
    <row r="200" spans="1:12" ht="15" thickBot="1" x14ac:dyDescent="0.4">
      <c r="A200" s="42"/>
      <c r="B200" s="3"/>
      <c r="C200" s="3"/>
      <c r="D200" s="3"/>
      <c r="E200" s="3"/>
      <c r="G200" s="3"/>
      <c r="H200" s="3"/>
      <c r="I200" s="3"/>
    </row>
    <row r="201" spans="1:12" ht="15.5" thickTop="1" thickBot="1" x14ac:dyDescent="0.4">
      <c r="A201" s="42"/>
      <c r="B201" s="3"/>
      <c r="C201" s="3"/>
      <c r="D201" s="3"/>
      <c r="E201" s="3"/>
      <c r="G201" s="64" t="s">
        <v>32</v>
      </c>
      <c r="H201" s="63" t="s">
        <v>31</v>
      </c>
      <c r="I201" s="950">
        <f>ROUND(G199/I199,4)</f>
        <v>0.2094</v>
      </c>
      <c r="J201" s="61" t="s">
        <v>2157</v>
      </c>
      <c r="K201" s="61" t="s">
        <v>1965</v>
      </c>
    </row>
    <row r="202" spans="1:12" ht="15.5" thickTop="1" thickBot="1" x14ac:dyDescent="0.4">
      <c r="A202" s="42"/>
      <c r="B202" s="3"/>
      <c r="C202" s="3"/>
      <c r="D202" s="3"/>
      <c r="E202" s="3"/>
      <c r="F202" s="3"/>
      <c r="G202" s="3"/>
      <c r="H202" s="3"/>
      <c r="I202" s="3"/>
    </row>
    <row r="203" spans="1:12" ht="15" thickBot="1" x14ac:dyDescent="0.4">
      <c r="A203" s="42"/>
      <c r="B203" s="3"/>
      <c r="C203" s="3"/>
      <c r="D203" s="3"/>
      <c r="E203" s="3"/>
      <c r="F203" s="60"/>
      <c r="G203" s="59"/>
      <c r="H203" s="59"/>
      <c r="I203" s="59"/>
      <c r="J203" s="58"/>
      <c r="K203" s="58"/>
      <c r="L203" s="57"/>
    </row>
    <row r="204" spans="1:12" ht="15.5" thickTop="1" thickBot="1" x14ac:dyDescent="0.4">
      <c r="F204" s="50"/>
      <c r="G204" s="44"/>
      <c r="H204" s="44"/>
      <c r="I204" s="1313" t="s">
        <v>29</v>
      </c>
      <c r="J204" s="1314"/>
      <c r="K204" s="1315"/>
      <c r="L204" s="48"/>
    </row>
    <row r="205" spans="1:12" ht="15" thickTop="1" x14ac:dyDescent="0.35">
      <c r="F205" s="50"/>
      <c r="G205" s="44"/>
      <c r="H205" s="44"/>
      <c r="I205" s="56" t="s">
        <v>10</v>
      </c>
      <c r="J205" s="44"/>
      <c r="K205" s="56" t="s">
        <v>7</v>
      </c>
      <c r="L205" s="48"/>
    </row>
    <row r="206" spans="1:12" x14ac:dyDescent="0.35">
      <c r="F206" s="50"/>
      <c r="G206" s="44"/>
      <c r="H206" s="44"/>
      <c r="I206" s="51"/>
      <c r="J206" s="52"/>
      <c r="K206" s="51"/>
      <c r="L206" s="48"/>
    </row>
    <row r="207" spans="1:12" x14ac:dyDescent="0.35">
      <c r="F207" s="50"/>
      <c r="G207" s="44" t="s">
        <v>9</v>
      </c>
      <c r="H207" s="44"/>
      <c r="I207" s="51">
        <f>ROUND($I$201*L170,4)</f>
        <v>0.2094</v>
      </c>
      <c r="J207" s="52" t="s">
        <v>2169</v>
      </c>
      <c r="K207" s="51">
        <f>I201</f>
        <v>0.2094</v>
      </c>
      <c r="L207" s="359" t="s">
        <v>2172</v>
      </c>
    </row>
    <row r="208" spans="1:12" x14ac:dyDescent="0.35">
      <c r="F208" s="50"/>
      <c r="G208" s="44"/>
      <c r="H208" s="44"/>
      <c r="I208" s="51"/>
      <c r="J208" s="52"/>
      <c r="K208" s="51"/>
      <c r="L208" s="48"/>
    </row>
    <row r="209" spans="1:17" x14ac:dyDescent="0.35">
      <c r="F209" s="50"/>
      <c r="G209" s="44"/>
      <c r="H209" s="44"/>
      <c r="I209" s="51"/>
      <c r="J209" s="52"/>
      <c r="K209" s="51"/>
      <c r="L209" s="48"/>
    </row>
    <row r="210" spans="1:17" x14ac:dyDescent="0.35">
      <c r="F210" s="50"/>
      <c r="G210" s="44" t="s">
        <v>8</v>
      </c>
      <c r="H210" s="44"/>
      <c r="I210" s="51">
        <f>ROUND($I$201*L173,4)</f>
        <v>0.2094</v>
      </c>
      <c r="J210" s="52" t="s">
        <v>2170</v>
      </c>
      <c r="K210" s="51">
        <f>ROUND($I$201*N173,4)</f>
        <v>0.2094</v>
      </c>
      <c r="L210" s="359" t="s">
        <v>2171</v>
      </c>
    </row>
    <row r="211" spans="1:17" ht="15" thickBot="1" x14ac:dyDescent="0.4">
      <c r="F211" s="47"/>
      <c r="G211" s="46"/>
      <c r="H211" s="46"/>
      <c r="I211" s="46"/>
      <c r="J211" s="46"/>
      <c r="K211" s="46"/>
      <c r="L211" s="45"/>
    </row>
    <row r="212" spans="1:17" x14ac:dyDescent="0.35">
      <c r="F212" s="43"/>
      <c r="G212" s="44"/>
      <c r="H212" s="44"/>
      <c r="I212" s="44"/>
      <c r="J212" s="44"/>
      <c r="K212" s="44"/>
      <c r="L212" s="43"/>
    </row>
    <row r="213" spans="1:17" x14ac:dyDescent="0.35">
      <c r="A213" s="334" t="s">
        <v>28</v>
      </c>
    </row>
    <row r="214" spans="1:17" x14ac:dyDescent="0.35">
      <c r="A214" s="42"/>
    </row>
    <row r="215" spans="1:17" x14ac:dyDescent="0.35">
      <c r="A215" s="42"/>
      <c r="B215" s="41" t="str">
        <f>$A$4</f>
        <v>NYPA</v>
      </c>
    </row>
    <row r="216" spans="1:17" x14ac:dyDescent="0.35">
      <c r="A216" s="3"/>
      <c r="B216" s="407" t="s">
        <v>5</v>
      </c>
      <c r="C216" s="406"/>
      <c r="D216" s="1304">
        <f>L4</f>
        <v>2020</v>
      </c>
      <c r="E216" s="1304"/>
      <c r="F216" s="3"/>
      <c r="G216" s="3"/>
      <c r="H216" s="3"/>
      <c r="I216" s="3"/>
      <c r="J216" s="3"/>
      <c r="K216" s="3"/>
      <c r="L216" s="3"/>
      <c r="M216" s="17"/>
      <c r="N216" s="3"/>
      <c r="O216" s="3"/>
      <c r="P216" s="2"/>
    </row>
    <row r="217" spans="1:17" x14ac:dyDescent="0.35">
      <c r="A217" s="3"/>
      <c r="B217" s="3"/>
      <c r="C217" s="410"/>
      <c r="D217" s="3"/>
      <c r="E217" s="3"/>
      <c r="F217" s="3"/>
      <c r="G217" s="3"/>
      <c r="H217" s="3"/>
      <c r="I217" s="3"/>
      <c r="K217" s="3"/>
      <c r="L217" s="3"/>
      <c r="M217" s="36" t="s">
        <v>10</v>
      </c>
      <c r="N217" s="3"/>
      <c r="O217" s="3"/>
      <c r="P217" s="2"/>
    </row>
    <row r="218" spans="1:17" x14ac:dyDescent="0.35">
      <c r="A218" s="3"/>
      <c r="B218" s="3"/>
      <c r="C218" s="410"/>
      <c r="D218" s="3"/>
      <c r="E218" s="3"/>
      <c r="F218" s="3"/>
      <c r="G218" s="3"/>
      <c r="H218" s="3"/>
      <c r="I218" s="3"/>
      <c r="K218" s="30" t="s">
        <v>15</v>
      </c>
      <c r="L218" s="3"/>
      <c r="M218" s="30" t="s">
        <v>14</v>
      </c>
      <c r="N218" s="3"/>
      <c r="O218" s="3"/>
      <c r="P218" s="2"/>
    </row>
    <row r="219" spans="1:17" x14ac:dyDescent="0.35">
      <c r="C219" s="835" t="s">
        <v>27</v>
      </c>
      <c r="D219" s="3"/>
      <c r="E219" s="3"/>
      <c r="F219" s="3"/>
      <c r="G219" s="30" t="s">
        <v>26</v>
      </c>
      <c r="H219" s="3"/>
      <c r="I219" s="30" t="s">
        <v>25</v>
      </c>
      <c r="J219" s="3"/>
      <c r="K219" s="30" t="s">
        <v>11</v>
      </c>
      <c r="L219" s="3"/>
      <c r="M219" s="30" t="s">
        <v>6</v>
      </c>
      <c r="N219" s="3"/>
      <c r="O219" s="3"/>
      <c r="P219" s="2"/>
      <c r="Q219" s="2"/>
    </row>
    <row r="220" spans="1:17" x14ac:dyDescent="0.35">
      <c r="B220" s="3"/>
      <c r="C220" s="410" t="s">
        <v>9</v>
      </c>
      <c r="D220" s="36">
        <f>D83</f>
        <v>0</v>
      </c>
      <c r="E220" s="36" t="str">
        <f>E83</f>
        <v>-</v>
      </c>
      <c r="F220" s="36">
        <f>F83</f>
        <v>0</v>
      </c>
      <c r="G220" s="29">
        <f>T6</f>
        <v>0</v>
      </c>
      <c r="H220" s="3"/>
      <c r="I220" s="29">
        <f>U6</f>
        <v>0</v>
      </c>
      <c r="J220" s="3"/>
      <c r="K220" s="35">
        <f>H145</f>
        <v>0</v>
      </c>
      <c r="L220" s="3"/>
      <c r="M220" s="421"/>
      <c r="N220" s="3"/>
      <c r="O220" s="3"/>
      <c r="P220" s="2"/>
      <c r="Q220" s="2"/>
    </row>
    <row r="221" spans="1:17" x14ac:dyDescent="0.35">
      <c r="B221" s="3"/>
      <c r="C221" s="410"/>
      <c r="D221" s="36"/>
      <c r="E221" s="36" t="str">
        <f>E$85</f>
        <v>&gt;</v>
      </c>
      <c r="F221" s="36">
        <f>F$85</f>
        <v>0</v>
      </c>
      <c r="G221" s="29">
        <f>T7</f>
        <v>0</v>
      </c>
      <c r="H221" s="3"/>
      <c r="I221" s="29">
        <f>U7</f>
        <v>3707547</v>
      </c>
      <c r="J221" s="3"/>
      <c r="K221" s="35">
        <f>H147</f>
        <v>28.23</v>
      </c>
      <c r="L221" s="3"/>
      <c r="M221" s="26">
        <f>ROUND(K221*I221,0)</f>
        <v>104664052</v>
      </c>
      <c r="N221" s="3"/>
      <c r="O221" s="3"/>
      <c r="P221" s="2"/>
      <c r="Q221" s="2"/>
    </row>
    <row r="222" spans="1:17" x14ac:dyDescent="0.35">
      <c r="B222" s="3"/>
      <c r="C222" s="410"/>
      <c r="D222" s="36"/>
      <c r="E222" s="36"/>
      <c r="F222" s="36"/>
      <c r="G222" s="38">
        <f>T8</f>
        <v>0</v>
      </c>
      <c r="H222" s="3"/>
      <c r="I222" s="38">
        <f>U8</f>
        <v>0</v>
      </c>
      <c r="J222" s="3"/>
      <c r="K222" s="35"/>
      <c r="L222" s="3"/>
      <c r="M222" s="37">
        <f>ROUND(K222*I222,0)</f>
        <v>0</v>
      </c>
      <c r="N222" s="3"/>
      <c r="O222" s="3"/>
      <c r="P222" s="2"/>
      <c r="Q222" s="2"/>
    </row>
    <row r="223" spans="1:17" x14ac:dyDescent="0.35">
      <c r="B223" s="3"/>
      <c r="C223" s="410"/>
      <c r="D223" s="36"/>
      <c r="E223" s="36"/>
      <c r="F223" s="36"/>
      <c r="G223" s="28">
        <f>G220+G221+G222</f>
        <v>0</v>
      </c>
      <c r="H223" s="3"/>
      <c r="I223" s="28">
        <f>I220+I221+I222</f>
        <v>3707547</v>
      </c>
      <c r="J223" s="3"/>
      <c r="K223" s="35"/>
      <c r="L223" s="3"/>
      <c r="M223" s="34">
        <f>M220+M221+M222</f>
        <v>104664052</v>
      </c>
      <c r="N223" s="34"/>
      <c r="O223" s="36" t="s">
        <v>10</v>
      </c>
      <c r="P223" s="2"/>
      <c r="Q223" s="2"/>
    </row>
    <row r="224" spans="1:17" x14ac:dyDescent="0.35">
      <c r="B224" s="3"/>
      <c r="C224" s="410"/>
      <c r="D224" s="36"/>
      <c r="E224" s="36"/>
      <c r="F224" s="36"/>
      <c r="G224" s="28"/>
      <c r="H224" s="3"/>
      <c r="I224" s="28"/>
      <c r="J224" s="3"/>
      <c r="K224" s="35"/>
      <c r="L224" s="33" t="s">
        <v>22</v>
      </c>
      <c r="M224" s="34">
        <f>ROUND(M223*(O224-1),0)</f>
        <v>1159678</v>
      </c>
      <c r="N224" s="33" t="s">
        <v>23</v>
      </c>
      <c r="O224" s="689">
        <f>$L$9</f>
        <v>1.01108</v>
      </c>
      <c r="P224" s="2"/>
      <c r="Q224" s="2"/>
    </row>
    <row r="225" spans="2:17" x14ac:dyDescent="0.35">
      <c r="B225" s="3"/>
      <c r="C225" s="410"/>
      <c r="D225" s="36"/>
      <c r="E225" s="36"/>
      <c r="F225" s="36"/>
      <c r="G225" s="28"/>
      <c r="H225" s="3"/>
      <c r="I225" s="28"/>
      <c r="J225" s="3"/>
      <c r="K225" s="35"/>
      <c r="L225" s="33" t="s">
        <v>21</v>
      </c>
      <c r="M225" s="32">
        <f>M223+M224</f>
        <v>105823730</v>
      </c>
      <c r="N225" s="8"/>
      <c r="O225" s="3"/>
      <c r="P225" s="2"/>
      <c r="Q225" s="2"/>
    </row>
    <row r="226" spans="2:17" x14ac:dyDescent="0.35">
      <c r="B226" s="3"/>
      <c r="C226" s="4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  <c r="Q226" s="2"/>
    </row>
    <row r="227" spans="2:17" x14ac:dyDescent="0.35">
      <c r="B227" s="3"/>
      <c r="C227" s="410" t="s">
        <v>8</v>
      </c>
      <c r="D227" s="36">
        <f>D220</f>
        <v>0</v>
      </c>
      <c r="E227" s="36" t="str">
        <f>E220</f>
        <v>-</v>
      </c>
      <c r="F227" s="36">
        <f>F220</f>
        <v>0</v>
      </c>
      <c r="G227" s="29">
        <f>T16</f>
        <v>0</v>
      </c>
      <c r="H227" s="3"/>
      <c r="I227" s="29">
        <f>U16</f>
        <v>0</v>
      </c>
      <c r="J227" s="3"/>
      <c r="K227" s="35">
        <f>H149</f>
        <v>0</v>
      </c>
      <c r="L227" s="3"/>
      <c r="M227" s="421"/>
      <c r="N227" s="3"/>
      <c r="O227" s="3"/>
      <c r="P227" s="2"/>
      <c r="Q227" s="2"/>
    </row>
    <row r="228" spans="2:17" x14ac:dyDescent="0.35">
      <c r="B228" s="3"/>
      <c r="C228" s="410"/>
      <c r="D228" s="36"/>
      <c r="E228" s="36" t="str">
        <f>E221</f>
        <v>&gt;</v>
      </c>
      <c r="F228" s="36">
        <f>F221</f>
        <v>0</v>
      </c>
      <c r="G228" s="29">
        <f>T17</f>
        <v>0</v>
      </c>
      <c r="H228" s="3"/>
      <c r="I228" s="29">
        <f>U17</f>
        <v>1965888</v>
      </c>
      <c r="J228" s="3"/>
      <c r="K228" s="35">
        <f>H151</f>
        <v>19.61</v>
      </c>
      <c r="L228" s="3"/>
      <c r="M228" s="26">
        <f>ROUND(K228*I228,0)</f>
        <v>38551064</v>
      </c>
      <c r="N228" s="3"/>
      <c r="O228" s="3"/>
      <c r="P228" s="2"/>
      <c r="Q228" s="2"/>
    </row>
    <row r="229" spans="2:17" x14ac:dyDescent="0.35">
      <c r="B229" s="3"/>
      <c r="C229" s="410"/>
      <c r="D229" s="36"/>
      <c r="E229" s="36"/>
      <c r="F229" s="36"/>
      <c r="G229" s="38">
        <f>T18</f>
        <v>0</v>
      </c>
      <c r="H229" s="3"/>
      <c r="I229" s="38">
        <f>U18</f>
        <v>0</v>
      </c>
      <c r="J229" s="3"/>
      <c r="K229" s="35"/>
      <c r="L229" s="3"/>
      <c r="M229" s="37">
        <f>ROUND(K229*I229,0)</f>
        <v>0</v>
      </c>
      <c r="N229" s="3"/>
      <c r="O229" s="3"/>
      <c r="P229" s="2"/>
      <c r="Q229" s="2"/>
    </row>
    <row r="230" spans="2:17" x14ac:dyDescent="0.35">
      <c r="B230" s="3"/>
      <c r="C230" s="410"/>
      <c r="D230" s="36"/>
      <c r="E230" s="36"/>
      <c r="F230" s="36"/>
      <c r="G230" s="28">
        <f>G227+G228+G229</f>
        <v>0</v>
      </c>
      <c r="H230" s="3"/>
      <c r="I230" s="28">
        <f>I227+I228+I229</f>
        <v>1965888</v>
      </c>
      <c r="J230" s="3"/>
      <c r="K230" s="35"/>
      <c r="L230" s="3"/>
      <c r="M230" s="34">
        <f>M227+M228+M229</f>
        <v>38551064</v>
      </c>
      <c r="N230" s="3"/>
      <c r="O230" s="3"/>
      <c r="P230" s="2"/>
      <c r="Q230" s="2"/>
    </row>
    <row r="231" spans="2:17" x14ac:dyDescent="0.35">
      <c r="B231" s="3"/>
      <c r="C231" s="410"/>
      <c r="D231" s="36"/>
      <c r="E231" s="36"/>
      <c r="F231" s="36"/>
      <c r="G231" s="28"/>
      <c r="H231" s="3"/>
      <c r="I231" s="28"/>
      <c r="J231" s="3"/>
      <c r="K231" s="35"/>
      <c r="L231" s="33" t="s">
        <v>22</v>
      </c>
      <c r="M231" s="34">
        <f>ROUND(M230*(O224-1),0)</f>
        <v>427146</v>
      </c>
      <c r="N231" s="3"/>
      <c r="O231" s="3"/>
      <c r="P231" s="2"/>
      <c r="Q231" s="2"/>
    </row>
    <row r="232" spans="2:17" x14ac:dyDescent="0.35">
      <c r="B232" s="3"/>
      <c r="C232" s="410"/>
      <c r="D232" s="36"/>
      <c r="E232" s="36"/>
      <c r="F232" s="36"/>
      <c r="G232" s="28"/>
      <c r="H232" s="3"/>
      <c r="I232" s="28"/>
      <c r="J232" s="3"/>
      <c r="K232" s="35"/>
      <c r="L232" s="33" t="s">
        <v>21</v>
      </c>
      <c r="M232" s="32">
        <f>M230+M231</f>
        <v>38978210</v>
      </c>
      <c r="N232" s="8"/>
      <c r="O232" s="3"/>
      <c r="P232" s="2"/>
      <c r="Q232" s="2"/>
    </row>
    <row r="233" spans="2:17" x14ac:dyDescent="0.35">
      <c r="B233" s="3"/>
      <c r="C233" s="4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"/>
      <c r="Q233" s="2"/>
    </row>
    <row r="234" spans="2:17" x14ac:dyDescent="0.35">
      <c r="B234" s="3"/>
      <c r="C234" s="4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"/>
      <c r="Q234" s="2"/>
    </row>
    <row r="235" spans="2:17" x14ac:dyDescent="0.35">
      <c r="B235" s="3"/>
      <c r="C235" s="410"/>
      <c r="D235" s="3"/>
      <c r="E235" s="3"/>
      <c r="F235" s="3"/>
      <c r="G235" s="3"/>
      <c r="H235" s="3"/>
      <c r="I235" s="3"/>
      <c r="J235" s="3"/>
      <c r="K235" s="3"/>
      <c r="L235" s="3"/>
      <c r="M235" s="36" t="s">
        <v>7</v>
      </c>
      <c r="N235" s="17"/>
      <c r="O235" s="3"/>
      <c r="P235" s="2"/>
      <c r="Q235" s="2"/>
    </row>
    <row r="236" spans="2:17" x14ac:dyDescent="0.35">
      <c r="B236" s="3"/>
      <c r="C236" s="410"/>
      <c r="D236" s="3"/>
      <c r="E236" s="3"/>
      <c r="F236" s="3"/>
      <c r="G236" s="3"/>
      <c r="H236" s="3"/>
      <c r="I236" s="3"/>
      <c r="J236" s="3"/>
      <c r="K236" s="30" t="s">
        <v>15</v>
      </c>
      <c r="L236" s="3"/>
      <c r="M236" s="30" t="s">
        <v>14</v>
      </c>
      <c r="N236" s="17"/>
      <c r="O236" s="3"/>
      <c r="P236" s="2"/>
      <c r="Q236" s="2"/>
    </row>
    <row r="237" spans="2:17" x14ac:dyDescent="0.35">
      <c r="C237" s="835" t="s">
        <v>24</v>
      </c>
      <c r="D237" s="3"/>
      <c r="E237" s="3"/>
      <c r="F237" s="3"/>
      <c r="G237" s="3"/>
      <c r="H237" s="3"/>
      <c r="I237" s="3"/>
      <c r="J237" s="3"/>
      <c r="K237" s="30" t="s">
        <v>11</v>
      </c>
      <c r="L237" s="3"/>
      <c r="M237" s="30" t="s">
        <v>6</v>
      </c>
      <c r="N237" s="17"/>
      <c r="O237" s="3"/>
      <c r="P237" s="2"/>
      <c r="Q237" s="2"/>
    </row>
    <row r="238" spans="2:17" x14ac:dyDescent="0.35">
      <c r="B238" s="3"/>
      <c r="C238" s="410" t="s">
        <v>9</v>
      </c>
      <c r="D238" s="36">
        <f>D220</f>
        <v>0</v>
      </c>
      <c r="E238" s="36" t="str">
        <f>E220</f>
        <v>-</v>
      </c>
      <c r="F238" s="36">
        <f>F220</f>
        <v>0</v>
      </c>
      <c r="G238" s="29">
        <f>T11</f>
        <v>0</v>
      </c>
      <c r="H238" s="3"/>
      <c r="I238" s="29">
        <f>U11</f>
        <v>0</v>
      </c>
      <c r="J238" s="3"/>
      <c r="K238" s="35">
        <f>J145</f>
        <v>0</v>
      </c>
      <c r="L238" s="3"/>
      <c r="M238" s="421"/>
      <c r="N238" s="17"/>
      <c r="O238" s="3"/>
      <c r="P238" s="2"/>
      <c r="Q238" s="2"/>
    </row>
    <row r="239" spans="2:17" x14ac:dyDescent="0.35">
      <c r="B239" s="3"/>
      <c r="C239" s="410"/>
      <c r="D239" s="36"/>
      <c r="E239" s="36" t="str">
        <f>E221</f>
        <v>&gt;</v>
      </c>
      <c r="F239" s="36">
        <f>F221</f>
        <v>0</v>
      </c>
      <c r="G239" s="29">
        <f>T12</f>
        <v>0</v>
      </c>
      <c r="H239" s="3"/>
      <c r="I239" s="29">
        <f>U12</f>
        <v>6297072</v>
      </c>
      <c r="J239" s="3"/>
      <c r="K239" s="35">
        <f>J147</f>
        <v>28.23</v>
      </c>
      <c r="L239" s="3"/>
      <c r="M239" s="26">
        <f>ROUND(K239*I239,0)</f>
        <v>177766343</v>
      </c>
      <c r="N239" s="17"/>
      <c r="O239" s="3"/>
      <c r="P239" s="2"/>
      <c r="Q239" s="2"/>
    </row>
    <row r="240" spans="2:17" x14ac:dyDescent="0.35">
      <c r="B240" s="3"/>
      <c r="C240" s="410"/>
      <c r="D240" s="36"/>
      <c r="E240" s="36"/>
      <c r="F240" s="36"/>
      <c r="G240" s="38">
        <f>T13</f>
        <v>0</v>
      </c>
      <c r="H240" s="3"/>
      <c r="I240" s="38">
        <f>U13</f>
        <v>0</v>
      </c>
      <c r="J240" s="3"/>
      <c r="K240" s="35"/>
      <c r="L240" s="3"/>
      <c r="M240" s="37">
        <f>ROUND(K240*I240,0)</f>
        <v>0</v>
      </c>
      <c r="N240" s="17"/>
      <c r="O240" s="3"/>
      <c r="P240" s="2"/>
      <c r="Q240" s="2"/>
    </row>
    <row r="241" spans="2:17" x14ac:dyDescent="0.35">
      <c r="B241" s="3"/>
      <c r="C241" s="410"/>
      <c r="D241" s="36"/>
      <c r="E241" s="36"/>
      <c r="F241" s="36"/>
      <c r="G241" s="28">
        <f>G238+G239+G240</f>
        <v>0</v>
      </c>
      <c r="H241" s="3"/>
      <c r="I241" s="28">
        <f>I238+I239+I240</f>
        <v>6297072</v>
      </c>
      <c r="J241" s="3"/>
      <c r="K241" s="35"/>
      <c r="L241" s="3"/>
      <c r="M241" s="34">
        <f>M238+M239+M240</f>
        <v>177766343</v>
      </c>
      <c r="N241" s="3"/>
      <c r="O241" s="36" t="s">
        <v>7</v>
      </c>
      <c r="P241" s="2"/>
      <c r="Q241" s="2"/>
    </row>
    <row r="242" spans="2:17" x14ac:dyDescent="0.35">
      <c r="B242" s="3"/>
      <c r="C242" s="410"/>
      <c r="D242" s="36"/>
      <c r="E242" s="36"/>
      <c r="F242" s="36"/>
      <c r="G242" s="28"/>
      <c r="H242" s="3"/>
      <c r="I242" s="28"/>
      <c r="J242" s="3"/>
      <c r="K242" s="35"/>
      <c r="L242" s="33" t="s">
        <v>22</v>
      </c>
      <c r="M242" s="34">
        <f>ROUND(M241*(O242-1),0)</f>
        <v>1969651</v>
      </c>
      <c r="N242" s="33" t="s">
        <v>23</v>
      </c>
      <c r="O242" s="689">
        <f>$L$9</f>
        <v>1.01108</v>
      </c>
      <c r="P242" s="2"/>
      <c r="Q242" s="2"/>
    </row>
    <row r="243" spans="2:17" x14ac:dyDescent="0.35">
      <c r="B243" s="3"/>
      <c r="C243" s="410"/>
      <c r="D243" s="36"/>
      <c r="E243" s="36"/>
      <c r="F243" s="36"/>
      <c r="G243" s="28"/>
      <c r="H243" s="3"/>
      <c r="I243" s="28"/>
      <c r="J243" s="3"/>
      <c r="K243" s="35"/>
      <c r="L243" s="33" t="s">
        <v>21</v>
      </c>
      <c r="M243" s="32">
        <f>M241+M242</f>
        <v>179735994</v>
      </c>
      <c r="N243" s="8"/>
      <c r="O243" s="3"/>
      <c r="P243" s="2"/>
      <c r="Q243" s="2"/>
    </row>
    <row r="244" spans="2:17" x14ac:dyDescent="0.35">
      <c r="B244" s="3"/>
      <c r="C244" s="4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"/>
      <c r="Q244" s="2"/>
    </row>
    <row r="245" spans="2:17" x14ac:dyDescent="0.35">
      <c r="B245" s="3"/>
      <c r="C245" s="410" t="s">
        <v>8</v>
      </c>
      <c r="D245" s="36">
        <f>D220</f>
        <v>0</v>
      </c>
      <c r="E245" s="36" t="str">
        <f>E220</f>
        <v>-</v>
      </c>
      <c r="F245" s="36">
        <f>F220</f>
        <v>0</v>
      </c>
      <c r="G245" s="29">
        <f>T21</f>
        <v>0</v>
      </c>
      <c r="H245" s="3"/>
      <c r="I245" s="29">
        <f>U21</f>
        <v>0</v>
      </c>
      <c r="J245" s="3"/>
      <c r="K245" s="35">
        <f>J149</f>
        <v>0</v>
      </c>
      <c r="L245" s="3"/>
      <c r="M245" s="421"/>
      <c r="N245" s="17"/>
      <c r="O245" s="3"/>
      <c r="P245" s="2"/>
      <c r="Q245" s="2"/>
    </row>
    <row r="246" spans="2:17" x14ac:dyDescent="0.35">
      <c r="B246" s="3"/>
      <c r="C246" s="410"/>
      <c r="D246" s="36"/>
      <c r="E246" s="36" t="str">
        <f>E221</f>
        <v>&gt;</v>
      </c>
      <c r="F246" s="36">
        <f>F221</f>
        <v>0</v>
      </c>
      <c r="G246" s="29">
        <f>T22</f>
        <v>0</v>
      </c>
      <c r="H246" s="3"/>
      <c r="I246" s="29">
        <f>U22</f>
        <v>3765413</v>
      </c>
      <c r="J246" s="3"/>
      <c r="K246" s="35">
        <f>J151</f>
        <v>19.61</v>
      </c>
      <c r="L246" s="3"/>
      <c r="M246" s="26">
        <f>ROUND(K246*I246,0)</f>
        <v>73839749</v>
      </c>
      <c r="N246" s="17"/>
      <c r="O246" s="3"/>
      <c r="P246" s="2"/>
      <c r="Q246" s="2"/>
    </row>
    <row r="247" spans="2:17" x14ac:dyDescent="0.35">
      <c r="B247" s="3"/>
      <c r="C247" s="410"/>
      <c r="D247" s="36"/>
      <c r="E247" s="36"/>
      <c r="F247" s="36"/>
      <c r="G247" s="38">
        <f>T23</f>
        <v>0</v>
      </c>
      <c r="H247" s="3"/>
      <c r="I247" s="38">
        <f>U23</f>
        <v>0</v>
      </c>
      <c r="J247" s="3"/>
      <c r="K247" s="35"/>
      <c r="L247" s="3"/>
      <c r="M247" s="37">
        <f>ROUND(K247*I247,0)</f>
        <v>0</v>
      </c>
      <c r="N247" s="17"/>
      <c r="O247" s="3"/>
      <c r="P247" s="2"/>
      <c r="Q247" s="2"/>
    </row>
    <row r="248" spans="2:17" x14ac:dyDescent="0.35">
      <c r="B248" s="3"/>
      <c r="C248" s="410"/>
      <c r="D248" s="36"/>
      <c r="E248" s="36"/>
      <c r="F248" s="36"/>
      <c r="G248" s="28">
        <f>G245+G246+G247</f>
        <v>0</v>
      </c>
      <c r="H248" s="3"/>
      <c r="I248" s="28">
        <f>I245+I246+I247</f>
        <v>3765413</v>
      </c>
      <c r="J248" s="3"/>
      <c r="K248" s="35"/>
      <c r="L248" s="3"/>
      <c r="M248" s="34">
        <f>M245+M246+M247</f>
        <v>73839749</v>
      </c>
      <c r="N248" s="17"/>
      <c r="O248" s="3"/>
      <c r="P248" s="2"/>
      <c r="Q248" s="2"/>
    </row>
    <row r="249" spans="2:17" x14ac:dyDescent="0.35">
      <c r="B249" s="3"/>
      <c r="C249" s="410"/>
      <c r="D249" s="3"/>
      <c r="E249" s="3"/>
      <c r="F249" s="3"/>
      <c r="G249" s="3"/>
      <c r="H249" s="3"/>
      <c r="I249" s="3"/>
      <c r="J249" s="3"/>
      <c r="K249" s="3"/>
      <c r="L249" s="33" t="s">
        <v>22</v>
      </c>
      <c r="M249" s="34">
        <f>ROUND(M248*(O242-1),0)</f>
        <v>818144</v>
      </c>
      <c r="N249" s="17"/>
      <c r="O249" s="3"/>
      <c r="P249" s="2"/>
      <c r="Q249" s="2"/>
    </row>
    <row r="250" spans="2:17" x14ac:dyDescent="0.35">
      <c r="B250" s="3"/>
      <c r="C250" s="410"/>
      <c r="D250" s="3"/>
      <c r="E250" s="3"/>
      <c r="F250" s="3"/>
      <c r="G250" s="3"/>
      <c r="H250" s="3"/>
      <c r="I250" s="3"/>
      <c r="J250" s="3"/>
      <c r="K250" s="3"/>
      <c r="L250" s="33" t="s">
        <v>21</v>
      </c>
      <c r="M250" s="32">
        <f>M248+M249</f>
        <v>74657893</v>
      </c>
      <c r="N250" s="8"/>
      <c r="O250" s="3"/>
      <c r="P250" s="2"/>
      <c r="Q250" s="2"/>
    </row>
    <row r="251" spans="2:17" x14ac:dyDescent="0.35">
      <c r="B251" s="3"/>
      <c r="C251" s="4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  <c r="Q251" s="2"/>
    </row>
    <row r="252" spans="2:17" x14ac:dyDescent="0.35">
      <c r="B252" s="3"/>
      <c r="C252" s="410" t="s">
        <v>20</v>
      </c>
      <c r="D252" s="3"/>
      <c r="E252" s="3"/>
      <c r="F252" s="3"/>
      <c r="G252" s="3"/>
      <c r="H252" s="3"/>
      <c r="I252" s="3"/>
      <c r="J252" s="3"/>
      <c r="K252" s="3"/>
      <c r="L252" s="3"/>
      <c r="M252" s="32">
        <f>M225+M232+M243+M250</f>
        <v>399195827</v>
      </c>
      <c r="N252" s="17"/>
      <c r="O252" s="3"/>
      <c r="P252" s="2"/>
      <c r="Q252" s="2"/>
    </row>
    <row r="253" spans="2:17" x14ac:dyDescent="0.35">
      <c r="B253" s="3"/>
      <c r="C253" s="410" t="s">
        <v>1728</v>
      </c>
      <c r="D253" s="3"/>
      <c r="E253" s="3"/>
      <c r="F253" s="3"/>
      <c r="G253" s="3"/>
      <c r="H253" s="3"/>
      <c r="I253" s="3"/>
      <c r="J253" s="3"/>
      <c r="K253" s="3"/>
      <c r="L253" s="3"/>
      <c r="M253" s="26">
        <f>L22+L23</f>
        <v>0</v>
      </c>
      <c r="N253" s="17"/>
      <c r="O253" s="3"/>
      <c r="P253" s="2"/>
      <c r="Q253" s="2"/>
    </row>
    <row r="254" spans="2:17" x14ac:dyDescent="0.35">
      <c r="B254" s="3"/>
      <c r="C254" s="410" t="s">
        <v>1729</v>
      </c>
      <c r="D254" s="3"/>
      <c r="E254" s="3"/>
      <c r="F254" s="3"/>
      <c r="G254" s="3"/>
      <c r="H254" s="3"/>
      <c r="I254" s="3"/>
      <c r="J254" s="3"/>
      <c r="K254" s="3"/>
      <c r="L254" s="3"/>
      <c r="M254" s="26">
        <f>ROUND((J65+J66)*$L$9,0)</f>
        <v>0</v>
      </c>
      <c r="N254" s="17"/>
      <c r="O254" s="3"/>
      <c r="P254" s="2"/>
      <c r="Q254" s="2"/>
    </row>
    <row r="255" spans="2:17" x14ac:dyDescent="0.35">
      <c r="B255" s="3"/>
      <c r="C255" s="410" t="s">
        <v>1730</v>
      </c>
      <c r="D255" s="3"/>
      <c r="E255" s="3"/>
      <c r="F255" s="3"/>
      <c r="G255" s="3"/>
      <c r="H255" s="3"/>
      <c r="I255" s="3"/>
      <c r="J255" s="3"/>
      <c r="K255" s="3"/>
      <c r="L255" s="3"/>
      <c r="M255" s="278">
        <f>L18</f>
        <v>0</v>
      </c>
      <c r="N255" s="17"/>
      <c r="O255" s="3"/>
      <c r="P255" s="2"/>
      <c r="Q255" s="2"/>
    </row>
    <row r="256" spans="2:17" ht="15" thickBot="1" x14ac:dyDescent="0.4">
      <c r="B256" s="3"/>
      <c r="C256" s="410" t="s">
        <v>1731</v>
      </c>
      <c r="D256" s="3"/>
      <c r="E256" s="3"/>
      <c r="F256" s="3"/>
      <c r="G256" s="3"/>
      <c r="H256" s="3"/>
      <c r="I256" s="3"/>
      <c r="J256" s="3"/>
      <c r="K256" s="3"/>
      <c r="L256" s="3"/>
      <c r="M256" s="278">
        <f>ROUND(J64*$L$9,0)</f>
        <v>0</v>
      </c>
      <c r="N256" s="17"/>
      <c r="O256" s="3"/>
      <c r="P256" s="2"/>
      <c r="Q256" s="2"/>
    </row>
    <row r="257" spans="2:17" ht="15.5" thickTop="1" thickBot="1" x14ac:dyDescent="0.4">
      <c r="B257" s="3"/>
      <c r="C257" s="837" t="str">
        <f>CONCATENATE($A$4," - Total Annual Demand Charge Incl EDB:")</f>
        <v>NYPA - Total Annual Demand Charge Incl EDB:</v>
      </c>
      <c r="D257" s="3"/>
      <c r="E257" s="3"/>
      <c r="F257" s="3"/>
      <c r="G257" s="3"/>
      <c r="H257" s="3"/>
      <c r="I257" s="3"/>
      <c r="J257" s="3"/>
      <c r="K257" s="3"/>
      <c r="L257" s="3"/>
      <c r="M257" s="925">
        <f>M252+M253+M254+M255+M256</f>
        <v>399195827</v>
      </c>
      <c r="N257" s="17"/>
      <c r="O257" s="3"/>
      <c r="P257" s="2"/>
      <c r="Q257" s="2"/>
    </row>
    <row r="258" spans="2:17" ht="15" thickTop="1" x14ac:dyDescent="0.35">
      <c r="B258" s="3"/>
      <c r="C258" s="410"/>
      <c r="D258" s="3"/>
      <c r="E258" s="3"/>
      <c r="F258" s="3"/>
      <c r="G258" s="3"/>
      <c r="H258" s="3"/>
      <c r="I258" s="3"/>
      <c r="J258" s="3"/>
      <c r="K258" s="3"/>
      <c r="L258" s="3"/>
      <c r="M258" s="2"/>
      <c r="N258" s="17"/>
      <c r="O258" s="3"/>
      <c r="P258" s="2"/>
      <c r="Q258" s="2"/>
    </row>
    <row r="259" spans="2:17" x14ac:dyDescent="0.35">
      <c r="B259" s="3"/>
      <c r="C259" s="410"/>
      <c r="D259" s="3"/>
      <c r="E259" s="3"/>
      <c r="F259" s="3"/>
      <c r="G259" s="3"/>
      <c r="H259" s="3"/>
      <c r="I259" s="3"/>
      <c r="J259" s="3"/>
      <c r="K259" s="30" t="s">
        <v>15</v>
      </c>
      <c r="L259" s="3"/>
      <c r="M259" s="219" t="s">
        <v>14</v>
      </c>
      <c r="N259" s="17"/>
      <c r="O259" s="3"/>
      <c r="P259" s="2"/>
      <c r="Q259" s="2"/>
    </row>
    <row r="260" spans="2:17" x14ac:dyDescent="0.35">
      <c r="B260" s="3"/>
      <c r="C260" s="835" t="s">
        <v>13</v>
      </c>
      <c r="D260" s="3"/>
      <c r="E260" s="3"/>
      <c r="F260" s="3"/>
      <c r="G260" s="3"/>
      <c r="H260" s="3"/>
      <c r="I260" s="30" t="s">
        <v>44</v>
      </c>
      <c r="J260" s="3"/>
      <c r="K260" s="30" t="s">
        <v>11</v>
      </c>
      <c r="L260" s="3"/>
      <c r="M260" s="219" t="s">
        <v>6</v>
      </c>
      <c r="N260" s="17"/>
      <c r="O260" s="3"/>
      <c r="P260" s="2"/>
      <c r="Q260" s="2"/>
    </row>
    <row r="261" spans="2:17" x14ac:dyDescent="0.35">
      <c r="B261" s="3"/>
      <c r="C261" s="410" t="s">
        <v>9</v>
      </c>
      <c r="D261" s="3" t="s">
        <v>10</v>
      </c>
      <c r="E261" s="3"/>
      <c r="F261" s="3"/>
      <c r="G261" s="3"/>
      <c r="H261" s="3"/>
      <c r="I261" s="29">
        <f>I185</f>
        <v>17728864.030000001</v>
      </c>
      <c r="J261" s="3"/>
      <c r="K261" s="27">
        <f>I207</f>
        <v>0.2094</v>
      </c>
      <c r="L261" s="3"/>
      <c r="M261" s="278">
        <f>ROUND(I261*K261,0)</f>
        <v>3712424</v>
      </c>
      <c r="N261" s="17"/>
      <c r="O261" s="3"/>
      <c r="P261" s="2"/>
      <c r="Q261" s="2"/>
    </row>
    <row r="262" spans="2:17" x14ac:dyDescent="0.35">
      <c r="B262" s="3"/>
      <c r="C262" s="410"/>
      <c r="D262" s="3"/>
      <c r="E262" s="3"/>
      <c r="F262" s="3"/>
      <c r="G262" s="3"/>
      <c r="H262" s="3"/>
      <c r="I262" s="3"/>
      <c r="J262" s="3"/>
      <c r="K262" s="3"/>
      <c r="L262" s="3"/>
      <c r="M262" s="2"/>
      <c r="N262" s="3"/>
      <c r="O262" s="3"/>
      <c r="P262" s="2"/>
      <c r="Q262" s="2"/>
    </row>
    <row r="263" spans="2:17" x14ac:dyDescent="0.35">
      <c r="B263" s="3"/>
      <c r="C263" s="410" t="s">
        <v>8</v>
      </c>
      <c r="D263" s="3" t="s">
        <v>10</v>
      </c>
      <c r="E263" s="3"/>
      <c r="F263" s="3"/>
      <c r="G263" s="3"/>
      <c r="H263" s="3"/>
      <c r="I263" s="28">
        <f>I187</f>
        <v>0</v>
      </c>
      <c r="J263" s="3"/>
      <c r="K263" s="27">
        <f>I210</f>
        <v>0.2094</v>
      </c>
      <c r="L263" s="3"/>
      <c r="M263" s="278">
        <f>ROUND(I263*K263,0)</f>
        <v>0</v>
      </c>
      <c r="N263" s="17"/>
      <c r="O263" s="3"/>
      <c r="P263" s="2"/>
      <c r="Q263" s="2"/>
    </row>
    <row r="264" spans="2:17" x14ac:dyDescent="0.35">
      <c r="B264" s="3"/>
      <c r="C264" s="410"/>
      <c r="D264" s="3"/>
      <c r="E264" s="3"/>
      <c r="F264" s="3"/>
      <c r="G264" s="3"/>
      <c r="H264" s="3"/>
      <c r="I264" s="3"/>
      <c r="J264" s="3"/>
      <c r="K264" s="3"/>
      <c r="L264" s="3"/>
      <c r="M264" s="2"/>
      <c r="N264" s="3"/>
      <c r="O264" s="3"/>
      <c r="P264" s="2"/>
      <c r="Q264" s="2"/>
    </row>
    <row r="265" spans="2:17" x14ac:dyDescent="0.35">
      <c r="B265" s="3"/>
      <c r="C265" s="410" t="s">
        <v>9</v>
      </c>
      <c r="D265" s="3" t="s">
        <v>7</v>
      </c>
      <c r="E265" s="3"/>
      <c r="F265" s="3"/>
      <c r="G265" s="3"/>
      <c r="H265" s="3"/>
      <c r="I265" s="28">
        <f>I186</f>
        <v>41839031.450000003</v>
      </c>
      <c r="J265" s="3"/>
      <c r="K265" s="27">
        <f>K207</f>
        <v>0.2094</v>
      </c>
      <c r="L265" s="3"/>
      <c r="M265" s="278">
        <f>ROUND(I265*K265,0)</f>
        <v>8761093</v>
      </c>
      <c r="N265" s="17"/>
      <c r="O265" s="3"/>
      <c r="P265" s="2"/>
      <c r="Q265" s="2"/>
    </row>
    <row r="266" spans="2:17" x14ac:dyDescent="0.35">
      <c r="B266" s="3"/>
      <c r="C266" s="410"/>
      <c r="D266" s="3"/>
      <c r="E266" s="3"/>
      <c r="F266" s="3"/>
      <c r="G266" s="3"/>
      <c r="H266" s="3"/>
      <c r="I266" s="3"/>
      <c r="J266" s="3"/>
      <c r="K266" s="3"/>
      <c r="L266" s="3"/>
      <c r="M266" s="2"/>
      <c r="N266" s="3"/>
      <c r="O266" s="3"/>
      <c r="P266" s="2"/>
      <c r="Q266" s="2"/>
    </row>
    <row r="267" spans="2:17" x14ac:dyDescent="0.35">
      <c r="B267" s="3"/>
      <c r="C267" s="410" t="s">
        <v>8</v>
      </c>
      <c r="D267" s="3" t="s">
        <v>7</v>
      </c>
      <c r="E267" s="3"/>
      <c r="F267" s="3"/>
      <c r="G267" s="3"/>
      <c r="H267" s="3"/>
      <c r="I267" s="28">
        <f>I188</f>
        <v>0</v>
      </c>
      <c r="J267" s="3"/>
      <c r="K267" s="27">
        <f>K210</f>
        <v>0.2094</v>
      </c>
      <c r="L267" s="3"/>
      <c r="M267" s="278">
        <f>ROUND(I267*K267,0)</f>
        <v>0</v>
      </c>
      <c r="N267" s="17"/>
      <c r="O267" s="3"/>
      <c r="P267" s="2"/>
      <c r="Q267" s="2"/>
    </row>
    <row r="268" spans="2:17" ht="15" thickBot="1" x14ac:dyDescent="0.4">
      <c r="B268" s="3"/>
      <c r="C268" s="410"/>
      <c r="D268" s="3"/>
      <c r="E268" s="3"/>
      <c r="F268" s="3"/>
      <c r="G268" s="3"/>
      <c r="H268" s="3"/>
      <c r="I268" s="3"/>
      <c r="J268" s="3"/>
      <c r="K268" s="3"/>
      <c r="L268" s="3"/>
      <c r="M268" s="2"/>
      <c r="N268" s="17"/>
      <c r="O268" s="3"/>
      <c r="P268" s="2"/>
      <c r="Q268" s="2"/>
    </row>
    <row r="269" spans="2:17" ht="15.5" thickTop="1" thickBot="1" x14ac:dyDescent="0.4">
      <c r="B269" s="3"/>
      <c r="C269" s="837" t="str">
        <f>CONCATENATE($A$4," - Total Annual Energy Charge:")</f>
        <v>NYPA - Total Annual Energy Charge:</v>
      </c>
      <c r="D269" s="3"/>
      <c r="E269" s="3"/>
      <c r="F269" s="3"/>
      <c r="G269" s="3"/>
      <c r="H269" s="3"/>
      <c r="I269" s="3"/>
      <c r="J269" s="3"/>
      <c r="K269" s="3"/>
      <c r="L269" s="3"/>
      <c r="M269" s="925">
        <f>M261+M263+M265+M267</f>
        <v>12473517</v>
      </c>
      <c r="N269" s="17"/>
      <c r="O269" s="3"/>
      <c r="P269"/>
      <c r="Q269"/>
    </row>
    <row r="270" spans="2:17" ht="15.5" thickTop="1" thickBot="1" x14ac:dyDescent="0.4">
      <c r="B270" s="3"/>
      <c r="C270" s="410"/>
      <c r="D270" s="3"/>
      <c r="E270" s="3"/>
      <c r="F270" s="3"/>
      <c r="G270" s="3"/>
      <c r="H270" s="3"/>
      <c r="I270" s="3"/>
      <c r="J270" s="3"/>
      <c r="K270" s="3"/>
      <c r="L270" s="3"/>
      <c r="M270" s="2"/>
      <c r="N270" s="17"/>
      <c r="O270" s="3"/>
      <c r="P270"/>
      <c r="Q270"/>
    </row>
    <row r="271" spans="2:17" ht="15.5" thickTop="1" thickBot="1" x14ac:dyDescent="0.4">
      <c r="B271" s="3"/>
      <c r="C271" s="837" t="str">
        <f>CONCATENATE($A$4," - Total Charge Price-Out at Proposed Rates:")</f>
        <v>NYPA - Total Charge Price-Out at Proposed Rates:</v>
      </c>
      <c r="D271" s="3"/>
      <c r="E271" s="3"/>
      <c r="F271" s="3"/>
      <c r="G271" s="3"/>
      <c r="H271" s="3"/>
      <c r="I271" s="3"/>
      <c r="J271" s="3"/>
      <c r="K271" s="3"/>
      <c r="L271" s="3"/>
      <c r="M271" s="925">
        <f>M257+M269</f>
        <v>411669344</v>
      </c>
      <c r="N271" s="17"/>
      <c r="O271" s="3"/>
      <c r="P271"/>
      <c r="Q271"/>
    </row>
    <row r="272" spans="2:17" ht="15" thickTop="1" x14ac:dyDescent="0.35">
      <c r="B272" s="3"/>
      <c r="C272" s="4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7"/>
      <c r="P272"/>
      <c r="Q272"/>
    </row>
    <row r="273" spans="2:17" x14ac:dyDescent="0.35">
      <c r="B273" s="3"/>
      <c r="C273" s="4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7"/>
      <c r="P273"/>
      <c r="Q273"/>
    </row>
    <row r="274" spans="2:17" x14ac:dyDescent="0.35">
      <c r="B274" s="3"/>
      <c r="C274" s="835" t="s">
        <v>768</v>
      </c>
      <c r="D274" s="3"/>
      <c r="E274" s="3"/>
      <c r="F274" s="3"/>
      <c r="G274" s="3"/>
      <c r="H274" s="3"/>
      <c r="I274" s="3"/>
      <c r="J274" s="462" t="s">
        <v>775</v>
      </c>
      <c r="K274" s="462" t="s">
        <v>776</v>
      </c>
      <c r="L274" s="3"/>
      <c r="M274" s="3"/>
      <c r="N274" s="17"/>
      <c r="P274"/>
      <c r="Q274"/>
    </row>
    <row r="275" spans="2:17" x14ac:dyDescent="0.35">
      <c r="B275" s="3"/>
      <c r="C275" s="410"/>
      <c r="D275" s="3"/>
      <c r="E275" s="3"/>
      <c r="F275" s="3"/>
      <c r="H275" s="30" t="s">
        <v>771</v>
      </c>
      <c r="I275" s="30" t="s">
        <v>772</v>
      </c>
      <c r="J275" s="30" t="s">
        <v>773</v>
      </c>
      <c r="K275" s="30" t="s">
        <v>774</v>
      </c>
      <c r="L275" s="3"/>
      <c r="M275" s="3"/>
      <c r="N275" s="17"/>
      <c r="P275"/>
      <c r="Q275"/>
    </row>
    <row r="276" spans="2:17" ht="15" thickBot="1" x14ac:dyDescent="0.4">
      <c r="B276" s="3"/>
      <c r="C276" s="410" t="s">
        <v>769</v>
      </c>
      <c r="D276" s="3"/>
      <c r="E276" s="3"/>
      <c r="F276" s="3"/>
      <c r="G276" t="s">
        <v>170</v>
      </c>
      <c r="H276" s="28">
        <f>T26</f>
        <v>215409</v>
      </c>
      <c r="I276" s="27">
        <f>G20</f>
        <v>11.45</v>
      </c>
      <c r="J276" s="103">
        <f>ROUND(H276*I276,2)</f>
        <v>2466433.0499999998</v>
      </c>
      <c r="K276" s="103">
        <f>ROUND(J276*12,0)</f>
        <v>29597197</v>
      </c>
      <c r="L276" s="3"/>
      <c r="M276" s="3"/>
      <c r="N276" s="17"/>
      <c r="P276"/>
      <c r="Q276"/>
    </row>
    <row r="277" spans="2:17" ht="15.5" thickTop="1" thickBot="1" x14ac:dyDescent="0.4">
      <c r="B277" s="3"/>
      <c r="C277" s="410"/>
      <c r="D277" s="3"/>
      <c r="E277" s="3"/>
      <c r="F277" s="3"/>
      <c r="G277" s="3" t="s">
        <v>521</v>
      </c>
      <c r="H277" s="28">
        <f>H276</f>
        <v>215409</v>
      </c>
      <c r="I277" s="413">
        <f>ROUND(I276*(1+L13),2)</f>
        <v>11.73</v>
      </c>
      <c r="J277" s="103">
        <f>ROUND(H277*I277,2)</f>
        <v>2526747.5699999998</v>
      </c>
      <c r="K277" s="217">
        <f>ROUND(J277*12,0)</f>
        <v>30320971</v>
      </c>
      <c r="L277" s="34">
        <f>K277-K276</f>
        <v>723774</v>
      </c>
      <c r="M277" s="3"/>
      <c r="N277" s="17"/>
      <c r="P277"/>
      <c r="Q277"/>
    </row>
    <row r="278" spans="2:17" ht="15.5" thickTop="1" thickBot="1" x14ac:dyDescent="0.4">
      <c r="B278" s="3"/>
      <c r="C278" s="410"/>
      <c r="D278" s="3"/>
      <c r="E278" s="3"/>
      <c r="F278" s="3"/>
      <c r="G278" s="3"/>
      <c r="H278" s="3"/>
      <c r="I278" s="3"/>
      <c r="J278" s="3"/>
      <c r="K278" s="81"/>
      <c r="L278" s="3"/>
      <c r="M278" s="3"/>
      <c r="N278" s="17"/>
      <c r="P278"/>
      <c r="Q278"/>
    </row>
    <row r="279" spans="2:17" ht="15.5" thickTop="1" thickBot="1" x14ac:dyDescent="0.4">
      <c r="B279" s="3"/>
      <c r="C279" s="837" t="str">
        <f>CONCATENATE($A$4," - Total Charge Price-Out at Proposed Rates - Incl. Facilities Charge:")</f>
        <v>NYPA - Total Charge Price-Out at Proposed Rates - Incl. Facilities Charge:</v>
      </c>
      <c r="D279" s="3"/>
      <c r="E279" s="3"/>
      <c r="F279" s="3"/>
      <c r="G279" s="3"/>
      <c r="H279" s="3"/>
      <c r="I279" s="3"/>
      <c r="J279" s="3"/>
      <c r="K279" s="3"/>
      <c r="L279" s="3"/>
      <c r="M279" s="24">
        <f>M271+K277</f>
        <v>441990315</v>
      </c>
      <c r="N279" s="17"/>
      <c r="P279"/>
      <c r="Q279"/>
    </row>
    <row r="280" spans="2:17" ht="15" thickTop="1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7"/>
      <c r="P280"/>
      <c r="Q280"/>
    </row>
    <row r="281" spans="2:17" ht="15" thickBot="1" x14ac:dyDescent="0.4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7"/>
      <c r="P281"/>
      <c r="Q281"/>
    </row>
    <row r="282" spans="2:17" x14ac:dyDescent="0.35">
      <c r="B282" s="3"/>
      <c r="C282" s="882" t="str">
        <f>$A$4</f>
        <v>NYPA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1" t="s">
        <v>6</v>
      </c>
      <c r="N282" s="3"/>
      <c r="P282"/>
      <c r="Q282"/>
    </row>
    <row r="283" spans="2:17" x14ac:dyDescent="0.35">
      <c r="B283" s="3"/>
      <c r="C283" s="11" t="s">
        <v>5</v>
      </c>
      <c r="D283" s="1305">
        <f>L4</f>
        <v>2020</v>
      </c>
      <c r="E283" s="1305"/>
      <c r="F283" s="1305"/>
      <c r="G283" s="10"/>
      <c r="H283" s="10"/>
      <c r="I283" s="10"/>
      <c r="J283" s="10"/>
      <c r="K283" s="10"/>
      <c r="L283" s="10"/>
      <c r="M283" s="13"/>
      <c r="P283"/>
      <c r="Q283"/>
    </row>
    <row r="284" spans="2:17" x14ac:dyDescent="0.35">
      <c r="B284" s="3"/>
      <c r="C284" s="699" t="s">
        <v>777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2">
        <f>M279</f>
        <v>441990315</v>
      </c>
      <c r="P284"/>
      <c r="Q284"/>
    </row>
    <row r="285" spans="2:17" x14ac:dyDescent="0.35">
      <c r="B285" s="3"/>
      <c r="C285" s="920"/>
      <c r="D285" s="10"/>
      <c r="E285" s="10"/>
      <c r="F285" s="10"/>
      <c r="G285" s="10"/>
      <c r="H285" s="10"/>
      <c r="I285" s="10"/>
      <c r="J285" s="10"/>
      <c r="K285" s="10"/>
      <c r="L285" s="10"/>
      <c r="M285" s="13"/>
      <c r="P285"/>
      <c r="Q285"/>
    </row>
    <row r="286" spans="2:17" x14ac:dyDescent="0.35">
      <c r="B286" s="3"/>
      <c r="C286" s="920"/>
      <c r="D286" s="10" t="s">
        <v>2</v>
      </c>
      <c r="E286" s="10"/>
      <c r="F286" s="10"/>
      <c r="G286" s="10"/>
      <c r="H286" s="10"/>
      <c r="I286" s="10"/>
      <c r="J286" s="10"/>
      <c r="K286" s="10"/>
      <c r="L286" s="10"/>
      <c r="M286" s="924">
        <f>L25+L26</f>
        <v>441901876.66933841</v>
      </c>
      <c r="P286"/>
      <c r="Q286"/>
    </row>
    <row r="287" spans="2:17" x14ac:dyDescent="0.35">
      <c r="B287" s="3"/>
      <c r="C287" s="920"/>
      <c r="D287" s="10" t="s">
        <v>1</v>
      </c>
      <c r="E287" s="10"/>
      <c r="F287" s="10"/>
      <c r="G287" s="10"/>
      <c r="H287" s="10"/>
      <c r="I287" s="10"/>
      <c r="J287" s="10"/>
      <c r="K287" s="10"/>
      <c r="L287" s="10"/>
      <c r="M287" s="12">
        <f>M284-M286</f>
        <v>88438.330661594868</v>
      </c>
      <c r="P287"/>
      <c r="Q287"/>
    </row>
    <row r="288" spans="2:17" x14ac:dyDescent="0.35">
      <c r="B288" s="3"/>
      <c r="C288" s="920"/>
      <c r="D288" s="10" t="s">
        <v>0</v>
      </c>
      <c r="E288" s="10"/>
      <c r="F288" s="10"/>
      <c r="G288" s="10"/>
      <c r="H288" s="10"/>
      <c r="I288" s="10"/>
      <c r="J288" s="10"/>
      <c r="K288" s="10"/>
      <c r="L288" s="10"/>
      <c r="M288" s="9">
        <f>M284/M286-1</f>
        <v>2.0013114976591417E-4</v>
      </c>
      <c r="P288"/>
      <c r="Q288"/>
    </row>
    <row r="289" spans="1:17" ht="15" thickBot="1" x14ac:dyDescent="0.4">
      <c r="B289" s="3"/>
      <c r="C289" s="998"/>
      <c r="D289" s="6"/>
      <c r="E289" s="6"/>
      <c r="F289" s="6"/>
      <c r="G289" s="6"/>
      <c r="H289" s="6"/>
      <c r="I289" s="6"/>
      <c r="J289" s="6"/>
      <c r="K289" s="6"/>
      <c r="L289" s="6"/>
      <c r="M289" s="5"/>
      <c r="P289"/>
      <c r="Q289"/>
    </row>
    <row r="290" spans="1:17" x14ac:dyDescent="0.35">
      <c r="A290" s="3"/>
      <c r="B290" s="3"/>
      <c r="C290" s="882" t="str">
        <f>$A$4</f>
        <v>NYPA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1" t="s">
        <v>6</v>
      </c>
      <c r="P290"/>
      <c r="Q290"/>
    </row>
    <row r="291" spans="1:17" x14ac:dyDescent="0.35">
      <c r="A291" s="3"/>
      <c r="B291" s="3"/>
      <c r="C291" s="920" t="s">
        <v>5</v>
      </c>
      <c r="D291" s="1305">
        <f>D283</f>
        <v>2020</v>
      </c>
      <c r="E291" s="1305"/>
      <c r="F291" s="1305"/>
      <c r="G291" s="10"/>
      <c r="H291" s="10"/>
      <c r="I291" s="10"/>
      <c r="J291" s="10"/>
      <c r="K291" s="10"/>
      <c r="L291" s="10"/>
      <c r="M291" s="13"/>
      <c r="P291"/>
      <c r="Q291"/>
    </row>
    <row r="292" spans="1:17" x14ac:dyDescent="0.35">
      <c r="A292" s="3"/>
      <c r="B292" s="3"/>
      <c r="C292" s="699" t="s">
        <v>778</v>
      </c>
      <c r="D292" s="10"/>
      <c r="E292" s="10"/>
      <c r="F292" s="10"/>
      <c r="G292" s="10"/>
      <c r="H292" s="10"/>
      <c r="I292" s="10"/>
      <c r="J292" s="10"/>
      <c r="K292" s="10"/>
      <c r="L292" s="10"/>
      <c r="M292" s="12">
        <f>M257+K277</f>
        <v>429516798</v>
      </c>
      <c r="P292"/>
      <c r="Q292"/>
    </row>
    <row r="293" spans="1:17" x14ac:dyDescent="0.35">
      <c r="C293" s="920"/>
      <c r="D293" s="10"/>
      <c r="E293" s="10"/>
      <c r="F293" s="10"/>
      <c r="G293" s="10"/>
      <c r="H293" s="10"/>
      <c r="I293" s="10"/>
      <c r="J293" s="10"/>
      <c r="K293" s="10"/>
      <c r="L293" s="10"/>
      <c r="M293" s="13"/>
      <c r="P293"/>
      <c r="Q293"/>
    </row>
    <row r="294" spans="1:17" x14ac:dyDescent="0.35">
      <c r="C294" s="920"/>
      <c r="D294" s="10" t="s">
        <v>2</v>
      </c>
      <c r="E294" s="10"/>
      <c r="F294" s="10"/>
      <c r="G294" s="10"/>
      <c r="H294" s="10"/>
      <c r="I294" s="10"/>
      <c r="J294" s="10"/>
      <c r="K294" s="10"/>
      <c r="L294" s="10"/>
      <c r="M294" s="924">
        <f>L25</f>
        <v>429427283.34861261</v>
      </c>
      <c r="P294"/>
      <c r="Q294"/>
    </row>
    <row r="295" spans="1:17" x14ac:dyDescent="0.35">
      <c r="C295" s="920"/>
      <c r="D295" s="10" t="s">
        <v>1</v>
      </c>
      <c r="E295" s="10"/>
      <c r="F295" s="10"/>
      <c r="G295" s="10"/>
      <c r="H295" s="10"/>
      <c r="I295" s="10"/>
      <c r="J295" s="10"/>
      <c r="K295" s="10"/>
      <c r="L295" s="10"/>
      <c r="M295" s="12">
        <f>M292-M294</f>
        <v>89514.651387393475</v>
      </c>
      <c r="P295"/>
      <c r="Q295"/>
    </row>
    <row r="296" spans="1:17" x14ac:dyDescent="0.35">
      <c r="C296" s="920"/>
      <c r="D296" s="10" t="s">
        <v>0</v>
      </c>
      <c r="E296" s="10"/>
      <c r="F296" s="10"/>
      <c r="G296" s="10"/>
      <c r="H296" s="10"/>
      <c r="I296" s="10"/>
      <c r="J296" s="10"/>
      <c r="K296" s="10"/>
      <c r="L296" s="10"/>
      <c r="M296" s="9">
        <f>M292/M294-1</f>
        <v>2.0845124392043779E-4</v>
      </c>
      <c r="P296"/>
      <c r="Q296"/>
    </row>
    <row r="297" spans="1:17" ht="15" thickBot="1" x14ac:dyDescent="0.4">
      <c r="C297" s="998"/>
      <c r="D297" s="6"/>
      <c r="E297" s="6"/>
      <c r="F297" s="6"/>
      <c r="G297" s="6"/>
      <c r="H297" s="6"/>
      <c r="I297" s="6"/>
      <c r="J297" s="6"/>
      <c r="K297" s="6"/>
      <c r="L297" s="6"/>
      <c r="M297" s="5"/>
      <c r="P297"/>
      <c r="Q297"/>
    </row>
    <row r="298" spans="1:17" x14ac:dyDescent="0.35">
      <c r="C298" s="882" t="str">
        <f>$A$4</f>
        <v>NYPA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1" t="s">
        <v>6</v>
      </c>
      <c r="P298"/>
      <c r="Q298"/>
    </row>
    <row r="299" spans="1:17" x14ac:dyDescent="0.35">
      <c r="C299" s="920" t="s">
        <v>5</v>
      </c>
      <c r="D299" s="1305">
        <f>D291</f>
        <v>2020</v>
      </c>
      <c r="E299" s="1305"/>
      <c r="F299" s="1305"/>
      <c r="G299" s="10"/>
      <c r="H299" s="10"/>
      <c r="I299" s="10"/>
      <c r="J299" s="10"/>
      <c r="K299" s="10"/>
      <c r="L299" s="10"/>
      <c r="M299" s="13"/>
      <c r="P299"/>
      <c r="Q299"/>
    </row>
    <row r="300" spans="1:17" x14ac:dyDescent="0.35">
      <c r="C300" s="699" t="s">
        <v>779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2">
        <f>M269</f>
        <v>12473517</v>
      </c>
      <c r="P300"/>
      <c r="Q300"/>
    </row>
    <row r="301" spans="1:17" x14ac:dyDescent="0.35">
      <c r="C301" s="920"/>
      <c r="D301" s="10"/>
      <c r="E301" s="10"/>
      <c r="F301" s="10"/>
      <c r="G301" s="10"/>
      <c r="H301" s="10"/>
      <c r="I301" s="10"/>
      <c r="J301" s="10"/>
      <c r="K301" s="10"/>
      <c r="L301" s="10"/>
      <c r="M301" s="13"/>
      <c r="P301"/>
      <c r="Q301"/>
    </row>
    <row r="302" spans="1:17" x14ac:dyDescent="0.35">
      <c r="C302" s="920"/>
      <c r="D302" s="10" t="s">
        <v>2</v>
      </c>
      <c r="E302" s="10"/>
      <c r="F302" s="10"/>
      <c r="G302" s="10"/>
      <c r="H302" s="10"/>
      <c r="I302" s="10"/>
      <c r="J302" s="10"/>
      <c r="K302" s="10"/>
      <c r="L302" s="10"/>
      <c r="M302" s="924">
        <f>+L26</f>
        <v>12474593.320725795</v>
      </c>
      <c r="P302"/>
      <c r="Q302"/>
    </row>
    <row r="303" spans="1:17" x14ac:dyDescent="0.35">
      <c r="C303" s="920"/>
      <c r="D303" s="10" t="s">
        <v>1</v>
      </c>
      <c r="E303" s="10"/>
      <c r="F303" s="10"/>
      <c r="G303" s="10"/>
      <c r="H303" s="10"/>
      <c r="I303" s="10"/>
      <c r="J303" s="10"/>
      <c r="K303" s="10"/>
      <c r="L303" s="10"/>
      <c r="M303" s="12">
        <f>M300-M302</f>
        <v>-1076.3207257948816</v>
      </c>
      <c r="P303"/>
      <c r="Q303"/>
    </row>
    <row r="304" spans="1:17" x14ac:dyDescent="0.35">
      <c r="C304" s="11"/>
      <c r="D304" s="10" t="s">
        <v>0</v>
      </c>
      <c r="E304" s="10"/>
      <c r="F304" s="10"/>
      <c r="G304" s="10"/>
      <c r="H304" s="10"/>
      <c r="I304" s="10"/>
      <c r="J304" s="10"/>
      <c r="K304" s="10"/>
      <c r="L304" s="10"/>
      <c r="M304" s="9">
        <f>M300/M302-1</f>
        <v>-8.6281027214418771E-5</v>
      </c>
      <c r="P304"/>
      <c r="Q304"/>
    </row>
    <row r="305" spans="3:17" ht="15" thickBot="1" x14ac:dyDescent="0.4"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5"/>
      <c r="P305"/>
      <c r="Q305"/>
    </row>
    <row r="306" spans="3:17" x14ac:dyDescent="0.35">
      <c r="N306" s="8"/>
      <c r="P306"/>
      <c r="Q306"/>
    </row>
    <row r="307" spans="3:17" x14ac:dyDescent="0.35">
      <c r="N307" s="8"/>
      <c r="P307"/>
      <c r="Q307"/>
    </row>
    <row r="308" spans="3:17" x14ac:dyDescent="0.35">
      <c r="P308"/>
      <c r="Q308"/>
    </row>
    <row r="309" spans="3:17" x14ac:dyDescent="0.35">
      <c r="P309"/>
      <c r="Q309"/>
    </row>
    <row r="310" spans="3:17" x14ac:dyDescent="0.35">
      <c r="P310"/>
      <c r="Q310"/>
    </row>
  </sheetData>
  <mergeCells count="14">
    <mergeCell ref="H143:J143"/>
    <mergeCell ref="D299:F299"/>
    <mergeCell ref="H167:J167"/>
    <mergeCell ref="L167:N167"/>
    <mergeCell ref="I204:K204"/>
    <mergeCell ref="D216:E216"/>
    <mergeCell ref="D283:F283"/>
    <mergeCell ref="D291:F291"/>
    <mergeCell ref="M143:P143"/>
    <mergeCell ref="H81:J81"/>
    <mergeCell ref="L81:N81"/>
    <mergeCell ref="L92:N92"/>
    <mergeCell ref="D136:F136"/>
    <mergeCell ref="H137:J137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6" max="16383" man="1"/>
    <brk id="154" max="16383" man="1"/>
    <brk id="212" max="16383" man="1"/>
  </rowBreaks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6">
    <tabColor theme="5"/>
  </sheetPr>
  <dimension ref="A1"/>
  <sheetViews>
    <sheetView workbookViewId="0">
      <selection activeCell="K23" sqref="K23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>
    <tabColor rgb="FFFFFF00"/>
  </sheetPr>
  <dimension ref="B1:I181"/>
  <sheetViews>
    <sheetView workbookViewId="0">
      <selection activeCell="P16" sqref="P16"/>
    </sheetView>
  </sheetViews>
  <sheetFormatPr defaultRowHeight="14.5" outlineLevelCol="1" x14ac:dyDescent="0.35"/>
  <cols>
    <col min="1" max="1" width="4" customWidth="1"/>
    <col min="2" max="2" width="7" customWidth="1"/>
    <col min="3" max="3" width="52.7265625" customWidth="1"/>
    <col min="4" max="4" width="16.453125" style="406" customWidth="1"/>
    <col min="5" max="5" width="16.453125" customWidth="1"/>
    <col min="6" max="6" width="16.453125" style="425" customWidth="1"/>
    <col min="7" max="7" width="14.26953125" customWidth="1"/>
    <col min="8" max="8" width="16.453125" customWidth="1" outlineLevel="1"/>
    <col min="9" max="9" width="14.26953125" customWidth="1"/>
    <col min="10" max="10" width="7.7265625" customWidth="1"/>
    <col min="11" max="12" width="14.26953125" customWidth="1"/>
  </cols>
  <sheetData>
    <row r="1" spans="2:8" ht="15.5" x14ac:dyDescent="0.35">
      <c r="B1" s="448" t="s">
        <v>832</v>
      </c>
      <c r="C1" s="438" t="s">
        <v>839</v>
      </c>
    </row>
    <row r="2" spans="2:8" x14ac:dyDescent="0.35">
      <c r="C2" s="372" t="str">
        <f>CONCATENATE('12B.)TODL_RateDesign_SC5_II'!$D$3," $",'12B.)TODL_RateDesign_SC5_II'!$G$3/1000000,"M")</f>
        <v>Proposed Rate Change: $113.251M</v>
      </c>
    </row>
    <row r="3" spans="2:8" x14ac:dyDescent="0.35">
      <c r="C3" s="1072" t="s">
        <v>150</v>
      </c>
      <c r="D3" s="1216">
        <f>'[1]A1.)RatesInput'!$G$4</f>
        <v>2019</v>
      </c>
    </row>
    <row r="4" spans="2:8" x14ac:dyDescent="0.35">
      <c r="C4" s="367" t="s">
        <v>5</v>
      </c>
      <c r="D4" s="1216">
        <f>'[1]A1.)RatesInput'!$I$3</f>
        <v>2020</v>
      </c>
      <c r="E4" s="1" t="str">
        <f>'[1]A1.)RatesInput'!$I$2</f>
        <v>RY1</v>
      </c>
    </row>
    <row r="5" spans="2:8" ht="15" thickBot="1" x14ac:dyDescent="0.4"/>
    <row r="6" spans="2:8" ht="15" thickBot="1" x14ac:dyDescent="0.4">
      <c r="B6" s="131" t="s">
        <v>533</v>
      </c>
      <c r="C6" s="435" t="s">
        <v>529</v>
      </c>
      <c r="D6" s="1217" t="str">
        <f>'12B.)TODL_RateDesign_SC5_II'!$A$4</f>
        <v>SC5 Rate II</v>
      </c>
      <c r="E6" s="436"/>
    </row>
    <row r="7" spans="2:8" x14ac:dyDescent="0.35">
      <c r="C7" s="435" t="s">
        <v>528</v>
      </c>
      <c r="D7" s="407" t="s">
        <v>867</v>
      </c>
    </row>
    <row r="8" spans="2:8" x14ac:dyDescent="0.35">
      <c r="H8" s="296" t="s">
        <v>964</v>
      </c>
    </row>
    <row r="9" spans="2:8" x14ac:dyDescent="0.35">
      <c r="C9" s="435" t="s">
        <v>527</v>
      </c>
      <c r="D9" s="1218" t="s">
        <v>2149</v>
      </c>
      <c r="E9" s="428" t="s">
        <v>521</v>
      </c>
      <c r="F9" s="428" t="s">
        <v>526</v>
      </c>
      <c r="H9" s="845">
        <v>2019</v>
      </c>
    </row>
    <row r="10" spans="2:8" x14ac:dyDescent="0.35">
      <c r="D10" s="577"/>
      <c r="E10" s="296" t="s">
        <v>538</v>
      </c>
      <c r="H10" s="296" t="s">
        <v>963</v>
      </c>
    </row>
    <row r="11" spans="2:8" x14ac:dyDescent="0.35">
      <c r="C11" t="s">
        <v>938</v>
      </c>
      <c r="D11" s="643">
        <f>IF('[1]A1.)RatesInput'!$P$99="Y",IF(ISNUMBER(VLOOKUP($C11,'[1]A1.)RatesInput'!$B$195:$Q$281,HLOOKUP(D$9,'[1]A1.)RatesInput'!$O$195:$Q$197,3,0),0)),VLOOKUP($C11,'[1]A1.)RatesInput'!$B$195:$Q$281,HLOOKUP(D$9,'[1]A1.)RatesInput'!$O$195:$Q$197,3,0),0),0),IF(ISNUMBER(VLOOKUP($C11,'[1]A1.)RatesInput'!$B$195:$I$281,HLOOKUP(D$9,'[1]A1.)RatesInput'!$D$195:$I$281,3,0),0)),VLOOKUP($C11,'[1]A1.)RatesInput'!$B$195:$I$281,HLOOKUP(D$9,'[1]A1.)RatesInput'!$D$195:$I$281,3,0),0),0))</f>
        <v>0</v>
      </c>
      <c r="E11" s="848">
        <f>'12B.)TODL_RateDesign_SC5_II'!$H$8</f>
        <v>0</v>
      </c>
      <c r="F11" s="952" t="str">
        <f t="shared" ref="F11:F24" si="0">IF(ISNUMBER(E11/D11-1),E11/D11-1,"")</f>
        <v/>
      </c>
      <c r="G11" s="406"/>
      <c r="H11" s="572">
        <f>IF(ISNUMBER(VLOOKUP($C11,'[1]A1.)RatesInput'!$B$195:$L$281,HLOOKUP(H$9,'[1]A1.)RatesInput'!$D$195:$L$281,3,0),0)),VLOOKUP($C11,'[1]A1.)RatesInput'!$B$195:$L$281,HLOOKUP(H$9,'[1]A1.)RatesInput'!$D$195:$L$281,3,0),0),0)</f>
        <v>0</v>
      </c>
    </row>
    <row r="12" spans="2:8" x14ac:dyDescent="0.35">
      <c r="C12" t="s">
        <v>939</v>
      </c>
      <c r="D12" s="645">
        <f>IF('[1]A1.)RatesInput'!$P$99="Y",IF(ISNUMBER(VLOOKUP($C12,'[1]A1.)RatesInput'!$B$195:$Q$281,HLOOKUP(D$9,'[1]A1.)RatesInput'!$O$195:$Q$197,3,0),0)),VLOOKUP($C12,'[1]A1.)RatesInput'!$B$195:$Q$281,HLOOKUP(D$9,'[1]A1.)RatesInput'!$O$195:$Q$197,3,0),0),0),IF(ISNUMBER(VLOOKUP($C12,'[1]A1.)RatesInput'!$B$195:$I$281,HLOOKUP(D$9,'[1]A1.)RatesInput'!$D$195:$I$281,3,0),0)),VLOOKUP($C12,'[1]A1.)RatesInput'!$B$195:$I$281,HLOOKUP(D$9,'[1]A1.)RatesInput'!$D$195:$I$281,3,0),0),0))</f>
        <v>7.93</v>
      </c>
      <c r="E12" s="846">
        <f>'12B.)TODL_RateDesign_SC5_II'!$H$9</f>
        <v>8.1999999999999993</v>
      </c>
      <c r="F12" s="953">
        <f t="shared" si="0"/>
        <v>3.4047919293820783E-2</v>
      </c>
      <c r="G12" s="406"/>
      <c r="H12" s="645">
        <f>IF(ISNUMBER(VLOOKUP($C12,'[1]A1.)RatesInput'!$B$195:$L$281,HLOOKUP(H$9,'[1]A1.)RatesInput'!$D$195:$L$281,3,0),0)),VLOOKUP($C12,'[1]A1.)RatesInput'!$B$195:$L$281,HLOOKUP(H$9,'[1]A1.)RatesInput'!$D$195:$L$281,3,0),0),0)</f>
        <v>8.0399999999999991</v>
      </c>
    </row>
    <row r="13" spans="2:8" x14ac:dyDescent="0.35">
      <c r="C13" t="s">
        <v>940</v>
      </c>
      <c r="D13" s="645">
        <f>IF('[1]A1.)RatesInput'!$P$99="Y",IF(ISNUMBER(VLOOKUP($C13,'[1]A1.)RatesInput'!$B$195:$Q$281,HLOOKUP(D$9,'[1]A1.)RatesInput'!$O$195:$Q$197,3,0),0)),VLOOKUP($C13,'[1]A1.)RatesInput'!$B$195:$Q$281,HLOOKUP(D$9,'[1]A1.)RatesInput'!$O$195:$Q$197,3,0),0),0),IF(ISNUMBER(VLOOKUP($C13,'[1]A1.)RatesInput'!$B$195:$I$281,HLOOKUP(D$9,'[1]A1.)RatesInput'!$D$195:$I$281,3,0),0)),VLOOKUP($C13,'[1]A1.)RatesInput'!$B$195:$I$281,HLOOKUP(D$9,'[1]A1.)RatesInput'!$D$195:$I$281,3,0),0),0))</f>
        <v>3.78</v>
      </c>
      <c r="E13" s="846">
        <f>'12B.)TODL_RateDesign_SC5_II'!$H$10</f>
        <v>3.9099999999999993</v>
      </c>
      <c r="F13" s="953">
        <f t="shared" si="0"/>
        <v>3.4391534391534195E-2</v>
      </c>
      <c r="G13" s="406"/>
      <c r="H13" s="645">
        <f>IF(ISNUMBER(VLOOKUP($C13,'[1]A1.)RatesInput'!$B$195:$L$281,HLOOKUP(H$9,'[1]A1.)RatesInput'!$D$195:$L$281,3,0),0)),VLOOKUP($C13,'[1]A1.)RatesInput'!$B$195:$L$281,HLOOKUP(H$9,'[1]A1.)RatesInput'!$D$195:$L$281,3,0),0),0)</f>
        <v>2.8599999999999994</v>
      </c>
    </row>
    <row r="14" spans="2:8" x14ac:dyDescent="0.35">
      <c r="C14" t="s">
        <v>941</v>
      </c>
      <c r="D14" s="645">
        <f>IF('[1]A1.)RatesInput'!$P$99="Y",IF(ISNUMBER(VLOOKUP($C14,'[1]A1.)RatesInput'!$B$195:$Q$281,HLOOKUP(D$9,'[1]A1.)RatesInput'!$O$195:$Q$197,3,0),0)),VLOOKUP($C14,'[1]A1.)RatesInput'!$B$195:$Q$281,HLOOKUP(D$9,'[1]A1.)RatesInput'!$O$195:$Q$197,3,0),0),0),IF(ISNUMBER(VLOOKUP($C14,'[1]A1.)RatesInput'!$B$195:$I$281,HLOOKUP(D$9,'[1]A1.)RatesInput'!$D$195:$I$281,3,0),0)),VLOOKUP($C14,'[1]A1.)RatesInput'!$B$195:$I$281,HLOOKUP(D$9,'[1]A1.)RatesInput'!$D$195:$I$281,3,0),0),0))</f>
        <v>4.5999999999999996</v>
      </c>
      <c r="E14" s="846">
        <f>'12B.)TODL_RateDesign_SC5_II'!$H$11</f>
        <v>4.76</v>
      </c>
      <c r="F14" s="953">
        <f t="shared" si="0"/>
        <v>3.4782608695652195E-2</v>
      </c>
      <c r="G14" s="406"/>
      <c r="H14" s="645">
        <f>IF(ISNUMBER(VLOOKUP($C14,'[1]A1.)RatesInput'!$B$195:$L$281,HLOOKUP(H$9,'[1]A1.)RatesInput'!$D$195:$L$281,3,0),0)),VLOOKUP($C14,'[1]A1.)RatesInput'!$B$195:$L$281,HLOOKUP(H$9,'[1]A1.)RatesInput'!$D$195:$L$281,3,0),0),0)</f>
        <v>4.5999999999999996</v>
      </c>
    </row>
    <row r="15" spans="2:8" x14ac:dyDescent="0.35">
      <c r="C15" t="s">
        <v>942</v>
      </c>
      <c r="D15" s="645">
        <f>IF('[1]A1.)RatesInput'!$P$99="Y",IF(ISNUMBER(VLOOKUP($C15,'[1]A1.)RatesInput'!$B$195:$Q$281,HLOOKUP(D$9,'[1]A1.)RatesInput'!$O$195:$Q$197,3,0),0)),VLOOKUP($C15,'[1]A1.)RatesInput'!$B$195:$Q$281,HLOOKUP(D$9,'[1]A1.)RatesInput'!$O$195:$Q$197,3,0),0),0),IF(ISNUMBER(VLOOKUP($C15,'[1]A1.)RatesInput'!$B$195:$I$281,HLOOKUP(D$9,'[1]A1.)RatesInput'!$D$195:$I$281,3,0),0)),VLOOKUP($C15,'[1]A1.)RatesInput'!$B$195:$I$281,HLOOKUP(D$9,'[1]A1.)RatesInput'!$D$195:$I$281,3,0),0),0))</f>
        <v>9.35</v>
      </c>
      <c r="E15" s="846">
        <f>'12B.)TODL_RateDesign_SC5_II'!$H$12</f>
        <v>9.67</v>
      </c>
      <c r="F15" s="953">
        <f t="shared" si="0"/>
        <v>3.4224598930481243E-2</v>
      </c>
      <c r="G15" s="406"/>
      <c r="H15" s="645">
        <f>IF(ISNUMBER(VLOOKUP($C15,'[1]A1.)RatesInput'!$B$195:$L$281,HLOOKUP(H$9,'[1]A1.)RatesInput'!$D$195:$L$281,3,0),0)),VLOOKUP($C15,'[1]A1.)RatesInput'!$B$195:$L$281,HLOOKUP(H$9,'[1]A1.)RatesInput'!$D$195:$L$281,3,0),0),0)</f>
        <v>9.4599999999999991</v>
      </c>
    </row>
    <row r="16" spans="2:8" x14ac:dyDescent="0.35">
      <c r="C16" t="s">
        <v>943</v>
      </c>
      <c r="D16" s="645">
        <f>IF('[1]A1.)RatesInput'!$P$99="Y",IF(ISNUMBER(VLOOKUP($C16,'[1]A1.)RatesInput'!$B$195:$Q$281,HLOOKUP(D$9,'[1]A1.)RatesInput'!$O$195:$Q$197,3,0),0)),VLOOKUP($C16,'[1]A1.)RatesInput'!$B$195:$Q$281,HLOOKUP(D$9,'[1]A1.)RatesInput'!$O$195:$Q$197,3,0),0),0),IF(ISNUMBER(VLOOKUP($C16,'[1]A1.)RatesInput'!$B$195:$I$281,HLOOKUP(D$9,'[1]A1.)RatesInput'!$D$195:$I$281,3,0),0)),VLOOKUP($C16,'[1]A1.)RatesInput'!$B$195:$I$281,HLOOKUP(D$9,'[1]A1.)RatesInput'!$D$195:$I$281,3,0),0),0))</f>
        <v>9.98</v>
      </c>
      <c r="E16" s="846">
        <f>'12B.)TODL_RateDesign_SC5_II'!$H$13</f>
        <v>10.32</v>
      </c>
      <c r="F16" s="953">
        <f t="shared" si="0"/>
        <v>3.4068136272545013E-2</v>
      </c>
      <c r="G16" s="406"/>
      <c r="H16" s="645">
        <f>IF(ISNUMBER(VLOOKUP($C16,'[1]A1.)RatesInput'!$B$195:$L$281,HLOOKUP(H$9,'[1]A1.)RatesInput'!$D$195:$L$281,3,0),0)),VLOOKUP($C16,'[1]A1.)RatesInput'!$B$195:$L$281,HLOOKUP(H$9,'[1]A1.)RatesInput'!$D$195:$L$281,3,0),0),0)</f>
        <v>9.0599999999999987</v>
      </c>
    </row>
    <row r="17" spans="3:8" x14ac:dyDescent="0.35">
      <c r="C17" t="s">
        <v>647</v>
      </c>
      <c r="D17" s="645">
        <f>IF('[1]A1.)RatesInput'!$P$99="Y",IF(ISNUMBER(VLOOKUP($C17,'[1]A1.)RatesInput'!$B$195:$Q$281,HLOOKUP(D$9,'[1]A1.)RatesInput'!$O$195:$Q$197,3,0),0)),VLOOKUP($C17,'[1]A1.)RatesInput'!$B$195:$Q$281,HLOOKUP(D$9,'[1]A1.)RatesInput'!$O$195:$Q$197,3,0),0),0),IF(ISNUMBER(VLOOKUP($C17,'[1]A1.)RatesInput'!$B$195:$I$281,HLOOKUP(D$9,'[1]A1.)RatesInput'!$D$195:$I$281,3,0),0)),VLOOKUP($C17,'[1]A1.)RatesInput'!$B$195:$I$281,HLOOKUP(D$9,'[1]A1.)RatesInput'!$D$195:$I$281,3,0),0),0))</f>
        <v>7.9000000000000008E-3</v>
      </c>
      <c r="E17" s="846">
        <f>'12B.)TODL_RateDesign_SC5_II'!$H$14</f>
        <v>7.9000000000000008E-3</v>
      </c>
      <c r="F17" s="953">
        <f t="shared" si="0"/>
        <v>0</v>
      </c>
      <c r="G17" s="406"/>
      <c r="H17" s="645">
        <f>IF(ISNUMBER(VLOOKUP($C17,'[1]A1.)RatesInput'!$B$195:$L$281,HLOOKUP(H$9,'[1]A1.)RatesInput'!$D$195:$L$281,3,0),0)),VLOOKUP($C17,'[1]A1.)RatesInput'!$B$195:$L$281,HLOOKUP(H$9,'[1]A1.)RatesInput'!$D$195:$L$281,3,0),0),0)</f>
        <v>7.9000000000000008E-3</v>
      </c>
    </row>
    <row r="18" spans="3:8" x14ac:dyDescent="0.35">
      <c r="C18" t="s">
        <v>648</v>
      </c>
      <c r="D18" s="645">
        <f>IF('[1]A1.)RatesInput'!$P$99="Y",IF(ISNUMBER(VLOOKUP($C18,'[1]A1.)RatesInput'!$B$195:$Q$281,HLOOKUP(D$9,'[1]A1.)RatesInput'!$O$195:$Q$197,3,0),0)),VLOOKUP($C18,'[1]A1.)RatesInput'!$B$195:$Q$281,HLOOKUP(D$9,'[1]A1.)RatesInput'!$O$195:$Q$197,3,0),0),0),IF(ISNUMBER(VLOOKUP($C18,'[1]A1.)RatesInput'!$B$195:$I$281,HLOOKUP(D$9,'[1]A1.)RatesInput'!$D$195:$I$281,3,0),0)),VLOOKUP($C18,'[1]A1.)RatesInput'!$B$195:$I$281,HLOOKUP(D$9,'[1]A1.)RatesInput'!$D$195:$I$281,3,0),0),0))</f>
        <v>7.9000000000000008E-3</v>
      </c>
      <c r="E18" s="846">
        <f>'12B.)TODL_RateDesign_SC5_II'!$H$15</f>
        <v>7.9000000000000008E-3</v>
      </c>
      <c r="F18" s="953">
        <f t="shared" si="0"/>
        <v>0</v>
      </c>
      <c r="G18" s="406"/>
      <c r="H18" s="645">
        <f>IF(ISNUMBER(VLOOKUP($C18,'[1]A1.)RatesInput'!$B$195:$L$281,HLOOKUP(H$9,'[1]A1.)RatesInput'!$D$195:$L$281,3,0),0)),VLOOKUP($C18,'[1]A1.)RatesInput'!$B$195:$L$281,HLOOKUP(H$9,'[1]A1.)RatesInput'!$D$195:$L$281,3,0),0),0)</f>
        <v>7.9000000000000008E-3</v>
      </c>
    </row>
    <row r="19" spans="3:8" x14ac:dyDescent="0.35">
      <c r="C19" t="s">
        <v>649</v>
      </c>
      <c r="D19" s="645">
        <f>IF('[1]A1.)RatesInput'!$P$99="Y",IF(ISNUMBER(VLOOKUP($C19,'[1]A1.)RatesInput'!$B$195:$Q$281,HLOOKUP(D$9,'[1]A1.)RatesInput'!$O$195:$Q$197,3,0),0)),VLOOKUP($C19,'[1]A1.)RatesInput'!$B$195:$Q$281,HLOOKUP(D$9,'[1]A1.)RatesInput'!$O$195:$Q$197,3,0),0),0),IF(ISNUMBER(VLOOKUP($C19,'[1]A1.)RatesInput'!$B$195:$I$281,HLOOKUP(D$9,'[1]A1.)RatesInput'!$D$195:$I$281,3,0),0)),VLOOKUP($C19,'[1]A1.)RatesInput'!$B$195:$I$281,HLOOKUP(D$9,'[1]A1.)RatesInput'!$D$195:$I$281,3,0),0),0))</f>
        <v>7.9000000000000008E-3</v>
      </c>
      <c r="E19" s="846">
        <f>'12B.)TODL_RateDesign_SC5_II'!$H$16</f>
        <v>7.9000000000000008E-3</v>
      </c>
      <c r="F19" s="953">
        <f t="shared" si="0"/>
        <v>0</v>
      </c>
      <c r="G19" s="406"/>
      <c r="H19" s="645">
        <f>IF(ISNUMBER(VLOOKUP($C19,'[1]A1.)RatesInput'!$B$195:$L$281,HLOOKUP(H$9,'[1]A1.)RatesInput'!$D$195:$L$281,3,0),0)),VLOOKUP($C19,'[1]A1.)RatesInput'!$B$195:$L$281,HLOOKUP(H$9,'[1]A1.)RatesInput'!$D$195:$L$281,3,0),0),0)</f>
        <v>7.9000000000000008E-3</v>
      </c>
    </row>
    <row r="20" spans="3:8" x14ac:dyDescent="0.35">
      <c r="C20" t="s">
        <v>650</v>
      </c>
      <c r="D20" s="645">
        <f>IF('[1]A1.)RatesInput'!$P$99="Y",IF(ISNUMBER(VLOOKUP($C20,'[1]A1.)RatesInput'!$B$195:$Q$281,HLOOKUP(D$9,'[1]A1.)RatesInput'!$O$195:$Q$197,3,0),0)),VLOOKUP($C20,'[1]A1.)RatesInput'!$B$195:$Q$281,HLOOKUP(D$9,'[1]A1.)RatesInput'!$O$195:$Q$197,3,0),0),0),IF(ISNUMBER(VLOOKUP($C20,'[1]A1.)RatesInput'!$B$195:$I$281,HLOOKUP(D$9,'[1]A1.)RatesInput'!$D$195:$I$281,3,0),0)),VLOOKUP($C20,'[1]A1.)RatesInput'!$B$195:$I$281,HLOOKUP(D$9,'[1]A1.)RatesInput'!$D$195:$I$281,3,0),0),0))</f>
        <v>7.9000000000000008E-3</v>
      </c>
      <c r="E20" s="846">
        <f>'12B.)TODL_RateDesign_SC5_II'!$H$17</f>
        <v>7.9000000000000008E-3</v>
      </c>
      <c r="F20" s="953">
        <f t="shared" si="0"/>
        <v>0</v>
      </c>
      <c r="G20" s="406"/>
      <c r="H20" s="645">
        <f>IF(ISNUMBER(VLOOKUP($C20,'[1]A1.)RatesInput'!$B$195:$L$281,HLOOKUP(H$9,'[1]A1.)RatesInput'!$D$195:$L$281,3,0),0)),VLOOKUP($C20,'[1]A1.)RatesInput'!$B$195:$L$281,HLOOKUP(H$9,'[1]A1.)RatesInput'!$D$195:$L$281,3,0),0),0)</f>
        <v>7.9000000000000008E-3</v>
      </c>
    </row>
    <row r="21" spans="3:8" x14ac:dyDescent="0.35">
      <c r="C21" t="s">
        <v>651</v>
      </c>
      <c r="D21" s="645">
        <f>IF('[1]A1.)RatesInput'!$P$99="Y",IF(ISNUMBER(VLOOKUP($C21,'[1]A1.)RatesInput'!$B$195:$Q$281,HLOOKUP(D$9,'[1]A1.)RatesInput'!$O$195:$Q$197,3,0),0)),VLOOKUP($C21,'[1]A1.)RatesInput'!$B$195:$Q$281,HLOOKUP(D$9,'[1]A1.)RatesInput'!$O$195:$Q$197,3,0),0),0),IF(ISNUMBER(VLOOKUP($C21,'[1]A1.)RatesInput'!$B$195:$I$281,HLOOKUP(D$9,'[1]A1.)RatesInput'!$D$195:$I$281,3,0),0)),VLOOKUP($C21,'[1]A1.)RatesInput'!$B$195:$I$281,HLOOKUP(D$9,'[1]A1.)RatesInput'!$D$195:$I$281,3,0),0),0))</f>
        <v>7.9000000000000008E-3</v>
      </c>
      <c r="E21" s="846">
        <f>'12B.)TODL_RateDesign_SC5_II'!$H$18</f>
        <v>7.9000000000000008E-3</v>
      </c>
      <c r="F21" s="953">
        <f t="shared" si="0"/>
        <v>0</v>
      </c>
      <c r="G21" s="406"/>
      <c r="H21" s="645">
        <f>IF(ISNUMBER(VLOOKUP($C21,'[1]A1.)RatesInput'!$B$195:$L$281,HLOOKUP(H$9,'[1]A1.)RatesInput'!$D$195:$L$281,3,0),0)),VLOOKUP($C21,'[1]A1.)RatesInput'!$B$195:$L$281,HLOOKUP(H$9,'[1]A1.)RatesInput'!$D$195:$L$281,3,0),0),0)</f>
        <v>7.9000000000000008E-3</v>
      </c>
    </row>
    <row r="22" spans="3:8" x14ac:dyDescent="0.35">
      <c r="C22" t="s">
        <v>652</v>
      </c>
      <c r="D22" s="645">
        <f>IF('[1]A1.)RatesInput'!$P$99="Y",IF(ISNUMBER(VLOOKUP($C22,'[1]A1.)RatesInput'!$B$195:$Q$281,HLOOKUP(D$9,'[1]A1.)RatesInput'!$O$195:$Q$197,3,0),0)),VLOOKUP($C22,'[1]A1.)RatesInput'!$B$195:$Q$281,HLOOKUP(D$9,'[1]A1.)RatesInput'!$O$195:$Q$197,3,0),0),0),IF(ISNUMBER(VLOOKUP($C22,'[1]A1.)RatesInput'!$B$195:$I$281,HLOOKUP(D$9,'[1]A1.)RatesInput'!$D$195:$I$281,3,0),0)),VLOOKUP($C22,'[1]A1.)RatesInput'!$B$195:$I$281,HLOOKUP(D$9,'[1]A1.)RatesInput'!$D$195:$I$281,3,0),0),0))</f>
        <v>7.9000000000000008E-3</v>
      </c>
      <c r="E22" s="846">
        <f>'12B.)TODL_RateDesign_SC5_II'!$H$19</f>
        <v>7.9000000000000008E-3</v>
      </c>
      <c r="F22" s="953">
        <f t="shared" si="0"/>
        <v>0</v>
      </c>
      <c r="G22" s="406"/>
      <c r="H22" s="645">
        <f>IF(ISNUMBER(VLOOKUP($C22,'[1]A1.)RatesInput'!$B$195:$L$281,HLOOKUP(H$9,'[1]A1.)RatesInput'!$D$195:$L$281,3,0),0)),VLOOKUP($C22,'[1]A1.)RatesInput'!$B$195:$L$281,HLOOKUP(H$9,'[1]A1.)RatesInput'!$D$195:$L$281,3,0),0),0)</f>
        <v>7.9000000000000008E-3</v>
      </c>
    </row>
    <row r="23" spans="3:8" x14ac:dyDescent="0.35">
      <c r="C23" t="s">
        <v>653</v>
      </c>
      <c r="D23" s="645">
        <f>IF('[1]A1.)RatesInput'!$P$99="Y",IF(ISNUMBER(VLOOKUP($C23,'[1]A1.)RatesInput'!$B$195:$Q$281,HLOOKUP(D$9,'[1]A1.)RatesInput'!$O$195:$Q$197,3,0),0)),VLOOKUP($C23,'[1]A1.)RatesInput'!$B$195:$Q$281,HLOOKUP(D$9,'[1]A1.)RatesInput'!$O$195:$Q$197,3,0),0),0),IF(ISNUMBER(VLOOKUP($C23,'[1]A1.)RatesInput'!$B$195:$I$281,HLOOKUP(D$9,'[1]A1.)RatesInput'!$D$195:$I$281,3,0),0)),VLOOKUP($C23,'[1]A1.)RatesInput'!$B$195:$I$281,HLOOKUP(D$9,'[1]A1.)RatesInput'!$D$195:$I$281,3,0),0),0))</f>
        <v>7.9000000000000008E-3</v>
      </c>
      <c r="E23" s="846">
        <f>'12B.)TODL_RateDesign_SC5_II'!$H$20</f>
        <v>7.9000000000000008E-3</v>
      </c>
      <c r="F23" s="953">
        <f t="shared" si="0"/>
        <v>0</v>
      </c>
      <c r="G23" s="406"/>
      <c r="H23" s="645">
        <f>IF(ISNUMBER(VLOOKUP($C23,'[1]A1.)RatesInput'!$B$195:$L$281,HLOOKUP(H$9,'[1]A1.)RatesInput'!$D$195:$L$281,3,0),0)),VLOOKUP($C23,'[1]A1.)RatesInput'!$B$195:$L$281,HLOOKUP(H$9,'[1]A1.)RatesInput'!$D$195:$L$281,3,0),0),0)</f>
        <v>7.9000000000000008E-3</v>
      </c>
    </row>
    <row r="24" spans="3:8" x14ac:dyDescent="0.35">
      <c r="C24" t="s">
        <v>654</v>
      </c>
      <c r="D24" s="644">
        <f>IF('[1]A1.)RatesInput'!$P$99="Y",IF(ISNUMBER(VLOOKUP($C24,'[1]A1.)RatesInput'!$B$195:$Q$281,HLOOKUP(D$9,'[1]A1.)RatesInput'!$O$195:$Q$197,3,0),0)),VLOOKUP($C24,'[1]A1.)RatesInput'!$B$195:$Q$281,HLOOKUP(D$9,'[1]A1.)RatesInput'!$O$195:$Q$197,3,0),0),0),IF(ISNUMBER(VLOOKUP($C24,'[1]A1.)RatesInput'!$B$195:$I$281,HLOOKUP(D$9,'[1]A1.)RatesInput'!$D$195:$I$281,3,0),0)),VLOOKUP($C24,'[1]A1.)RatesInput'!$B$195:$I$281,HLOOKUP(D$9,'[1]A1.)RatesInput'!$D$195:$I$281,3,0),0),0))</f>
        <v>7.9000000000000008E-3</v>
      </c>
      <c r="E24" s="847">
        <f>'12B.)TODL_RateDesign_SC5_II'!$H$21</f>
        <v>7.9000000000000008E-3</v>
      </c>
      <c r="F24" s="954">
        <f t="shared" si="0"/>
        <v>0</v>
      </c>
      <c r="G24" s="406"/>
      <c r="H24" s="644">
        <f>IF(ISNUMBER(VLOOKUP($C24,'[1]A1.)RatesInput'!$B$195:$L$281,HLOOKUP(H$9,'[1]A1.)RatesInput'!$D$195:$L$281,3,0),0)),VLOOKUP($C24,'[1]A1.)RatesInput'!$B$195:$L$281,HLOOKUP(H$9,'[1]A1.)RatesInput'!$D$195:$L$281,3,0),0),0)</f>
        <v>7.9000000000000008E-3</v>
      </c>
    </row>
    <row r="25" spans="3:8" x14ac:dyDescent="0.35">
      <c r="C25" s="464" t="s">
        <v>2233</v>
      </c>
      <c r="E25" s="530">
        <f>'12B.)TODL_RateDesign_SC5_II'!$H$24</f>
        <v>143.09</v>
      </c>
    </row>
    <row r="27" spans="3:8" hidden="1" x14ac:dyDescent="0.35"/>
    <row r="28" spans="3:8" x14ac:dyDescent="0.35">
      <c r="C28" s="133" t="s">
        <v>1147</v>
      </c>
      <c r="D28" s="408" t="s">
        <v>1148</v>
      </c>
      <c r="E28" s="408" t="s">
        <v>521</v>
      </c>
      <c r="F28" s="955"/>
      <c r="G28" s="406"/>
      <c r="H28" s="406"/>
    </row>
    <row r="29" spans="3:8" x14ac:dyDescent="0.35">
      <c r="C29" t="s">
        <v>1152</v>
      </c>
      <c r="E29" s="956">
        <f>'12B.)TODL_RateDesign_SC5_II'!M191</f>
        <v>2504816</v>
      </c>
      <c r="F29" s="955"/>
      <c r="G29" s="406"/>
      <c r="H29" s="406"/>
    </row>
    <row r="30" spans="3:8" x14ac:dyDescent="0.35">
      <c r="C30" t="s">
        <v>45</v>
      </c>
      <c r="E30" s="956">
        <f>'12B.)TODL_RateDesign_SC5_II'!M192</f>
        <v>861985</v>
      </c>
      <c r="F30" s="955"/>
      <c r="G30" s="406"/>
      <c r="H30" s="406"/>
    </row>
    <row r="31" spans="3:8" x14ac:dyDescent="0.35">
      <c r="C31" t="s">
        <v>758</v>
      </c>
      <c r="E31" s="957">
        <f>E29+E30</f>
        <v>3366801</v>
      </c>
      <c r="F31" s="955"/>
      <c r="G31" s="406"/>
      <c r="H31" s="406"/>
    </row>
    <row r="32" spans="3:8" ht="15" thickBot="1" x14ac:dyDescent="0.4">
      <c r="E32" s="962"/>
      <c r="F32" s="955"/>
      <c r="G32" s="406"/>
      <c r="H32" s="406"/>
    </row>
    <row r="33" spans="2:8" ht="15.5" thickTop="1" thickBot="1" x14ac:dyDescent="0.4">
      <c r="C33" t="s">
        <v>752</v>
      </c>
      <c r="D33" s="440">
        <f>'12B.)TODL_RateDesign_SC5_II'!$M$203</f>
        <v>3367982</v>
      </c>
      <c r="E33" s="440">
        <f>E31</f>
        <v>3366801</v>
      </c>
      <c r="F33" s="959">
        <f>IF(ISNUMBER(E33/D33-1),E33/D33-1,"")</f>
        <v>-3.5065508069820339E-4</v>
      </c>
      <c r="G33" s="406"/>
      <c r="H33" s="406"/>
    </row>
    <row r="34" spans="2:8" ht="15" thickTop="1" x14ac:dyDescent="0.35"/>
    <row r="35" spans="2:8" ht="15" thickBot="1" x14ac:dyDescent="0.4"/>
    <row r="36" spans="2:8" ht="15" thickBot="1" x14ac:dyDescent="0.4">
      <c r="B36" s="131" t="s">
        <v>532</v>
      </c>
      <c r="C36" s="435" t="s">
        <v>529</v>
      </c>
      <c r="D36" s="1217" t="str">
        <f>'12C.)TODL_RateDesign_SC8_II'!$A$4</f>
        <v>SC8 Rate II</v>
      </c>
      <c r="E36" s="436"/>
    </row>
    <row r="37" spans="2:8" x14ac:dyDescent="0.35">
      <c r="C37" s="435" t="s">
        <v>528</v>
      </c>
      <c r="D37" s="407" t="s">
        <v>868</v>
      </c>
    </row>
    <row r="39" spans="2:8" x14ac:dyDescent="0.35">
      <c r="C39" s="435" t="s">
        <v>527</v>
      </c>
      <c r="D39" s="960" t="str">
        <f>D$9</f>
        <v>Current(RY1)</v>
      </c>
      <c r="E39" s="428" t="str">
        <f>E$9</f>
        <v>Proposed</v>
      </c>
      <c r="F39" s="428" t="s">
        <v>526</v>
      </c>
      <c r="H39" s="428">
        <f>H$9</f>
        <v>2019</v>
      </c>
    </row>
    <row r="40" spans="2:8" x14ac:dyDescent="0.35">
      <c r="D40" s="577"/>
      <c r="E40" s="296" t="str">
        <f>E$10</f>
        <v>Year 1</v>
      </c>
      <c r="H40" s="296" t="str">
        <f>H$10</f>
        <v>(Currnet - Original)</v>
      </c>
    </row>
    <row r="41" spans="2:8" x14ac:dyDescent="0.35">
      <c r="C41" t="s">
        <v>876</v>
      </c>
      <c r="D41" s="643">
        <f>IF('[1]A1.)RatesInput'!$P$99="Y",IF(ISNUMBER(VLOOKUP($C41,'[1]A1.)RatesInput'!$B$195:$Q$281,HLOOKUP(D$39,'[1]A1.)RatesInput'!$O$195:$Q$197,3,0),0)),VLOOKUP($C41,'[1]A1.)RatesInput'!$B$195:$Q$281,HLOOKUP(D$39,'[1]A1.)RatesInput'!$O$195:$Q$197,3,0),0),0),IF(ISNUMBER(VLOOKUP($C41,'[1]A1.)RatesInput'!$B$195:$I$281,HLOOKUP(D$39,'[1]A1.)RatesInput'!$D$195:$I$281,3,0),0)),VLOOKUP($C41,'[1]A1.)RatesInput'!$B$195:$I$281,HLOOKUP(D$39,'[1]A1.)RatesInput'!$D$195:$I$281,3,0),0),0))</f>
        <v>0</v>
      </c>
      <c r="E41" s="848">
        <f>'12C.)TODL_RateDesign_SC8_II'!$H$8</f>
        <v>0</v>
      </c>
      <c r="F41" s="952" t="str">
        <f t="shared" ref="F41:F54" si="1">IF(ISNUMBER(E41/D41-1),E41/D41-1,"")</f>
        <v/>
      </c>
      <c r="G41" s="406"/>
      <c r="H41" s="572">
        <f>IF(ISNUMBER(VLOOKUP($C41,'[1]A1.)RatesInput'!$B$195:$L$281,HLOOKUP(H$39,'[1]A1.)RatesInput'!$D$195:$L$281,3,0),0)),VLOOKUP($C41,'[1]A1.)RatesInput'!$B$195:$L$281,HLOOKUP(H$39,'[1]A1.)RatesInput'!$D$195:$L$281,3,0),0),0)</f>
        <v>0</v>
      </c>
    </row>
    <row r="42" spans="2:8" x14ac:dyDescent="0.35">
      <c r="C42" t="s">
        <v>877</v>
      </c>
      <c r="D42" s="645">
        <f>IF('[1]A1.)RatesInput'!$P$99="Y",IF(ISNUMBER(VLOOKUP($C42,'[1]A1.)RatesInput'!$B$195:$Q$281,HLOOKUP(D$39,'[1]A1.)RatesInput'!$O$195:$Q$197,3,0),0)),VLOOKUP($C42,'[1]A1.)RatesInput'!$B$195:$Q$281,HLOOKUP(D$39,'[1]A1.)RatesInput'!$O$195:$Q$197,3,0),0),0),IF(ISNUMBER(VLOOKUP($C42,'[1]A1.)RatesInput'!$B$195:$I$281,HLOOKUP(D$39,'[1]A1.)RatesInput'!$D$195:$I$281,3,0),0)),VLOOKUP($C42,'[1]A1.)RatesInput'!$B$195:$I$281,HLOOKUP(D$39,'[1]A1.)RatesInput'!$D$195:$I$281,3,0),0),0))</f>
        <v>15.98</v>
      </c>
      <c r="E42" s="846">
        <f>'12C.)TODL_RateDesign_SC8_II'!$H$9</f>
        <v>16.39</v>
      </c>
      <c r="F42" s="953">
        <f t="shared" si="1"/>
        <v>2.5657071339173942E-2</v>
      </c>
      <c r="G42" s="406"/>
      <c r="H42" s="645">
        <f>IF(ISNUMBER(VLOOKUP($C42,'[1]A1.)RatesInput'!$B$195:$L$281,HLOOKUP(H$39,'[1]A1.)RatesInput'!$D$195:$L$281,3,0),0)),VLOOKUP($C42,'[1]A1.)RatesInput'!$B$195:$L$281,HLOOKUP(H$39,'[1]A1.)RatesInput'!$D$195:$L$281,3,0),0),0)</f>
        <v>15.98</v>
      </c>
    </row>
    <row r="43" spans="2:8" x14ac:dyDescent="0.35">
      <c r="C43" t="s">
        <v>878</v>
      </c>
      <c r="D43" s="645">
        <f>IF('[1]A1.)RatesInput'!$P$99="Y",IF(ISNUMBER(VLOOKUP($C43,'[1]A1.)RatesInput'!$B$195:$Q$281,HLOOKUP(D$39,'[1]A1.)RatesInput'!$O$195:$Q$197,3,0),0)),VLOOKUP($C43,'[1]A1.)RatesInput'!$B$195:$Q$281,HLOOKUP(D$39,'[1]A1.)RatesInput'!$O$195:$Q$197,3,0),0),0),IF(ISNUMBER(VLOOKUP($C43,'[1]A1.)RatesInput'!$B$195:$I$281,HLOOKUP(D$39,'[1]A1.)RatesInput'!$D$195:$I$281,3,0),0)),VLOOKUP($C43,'[1]A1.)RatesInput'!$B$195:$I$281,HLOOKUP(D$39,'[1]A1.)RatesInput'!$D$195:$I$281,3,0),0),0))</f>
        <v>3.74</v>
      </c>
      <c r="E43" s="846">
        <f>'12C.)TODL_RateDesign_SC8_II'!$H$10</f>
        <v>3.83</v>
      </c>
      <c r="F43" s="953">
        <f t="shared" si="1"/>
        <v>2.4064171122994527E-2</v>
      </c>
      <c r="G43" s="406"/>
      <c r="H43" s="645">
        <f>IF(ISNUMBER(VLOOKUP($C43,'[1]A1.)RatesInput'!$B$195:$L$281,HLOOKUP(H$39,'[1]A1.)RatesInput'!$D$195:$L$281,3,0),0)),VLOOKUP($C43,'[1]A1.)RatesInput'!$B$195:$L$281,HLOOKUP(H$39,'[1]A1.)RatesInput'!$D$195:$L$281,3,0),0),0)</f>
        <v>3.74</v>
      </c>
    </row>
    <row r="44" spans="2:8" x14ac:dyDescent="0.35">
      <c r="C44" t="s">
        <v>879</v>
      </c>
      <c r="D44" s="645">
        <f>IF('[1]A1.)RatesInput'!$P$99="Y",IF(ISNUMBER(VLOOKUP($C44,'[1]A1.)RatesInput'!$B$195:$Q$281,HLOOKUP(D$39,'[1]A1.)RatesInput'!$O$195:$Q$197,3,0),0)),VLOOKUP($C44,'[1]A1.)RatesInput'!$B$195:$Q$281,HLOOKUP(D$39,'[1]A1.)RatesInput'!$O$195:$Q$197,3,0),0),0),IF(ISNUMBER(VLOOKUP($C44,'[1]A1.)RatesInput'!$B$195:$I$281,HLOOKUP(D$39,'[1]A1.)RatesInput'!$D$195:$I$281,3,0),0)),VLOOKUP($C44,'[1]A1.)RatesInput'!$B$195:$I$281,HLOOKUP(D$39,'[1]A1.)RatesInput'!$D$195:$I$281,3,0),0),0))</f>
        <v>9.06</v>
      </c>
      <c r="E44" s="846">
        <f>'12C.)TODL_RateDesign_SC8_II'!$H$11</f>
        <v>9.2900000000000009</v>
      </c>
      <c r="F44" s="953">
        <f t="shared" si="1"/>
        <v>2.5386313465783683E-2</v>
      </c>
      <c r="G44" s="406"/>
      <c r="H44" s="645">
        <f>IF(ISNUMBER(VLOOKUP($C44,'[1]A1.)RatesInput'!$B$195:$L$281,HLOOKUP(H$39,'[1]A1.)RatesInput'!$D$195:$L$281,3,0),0)),VLOOKUP($C44,'[1]A1.)RatesInput'!$B$195:$L$281,HLOOKUP(H$39,'[1]A1.)RatesInput'!$D$195:$L$281,3,0),0),0)</f>
        <v>9.06</v>
      </c>
    </row>
    <row r="45" spans="2:8" x14ac:dyDescent="0.35">
      <c r="C45" t="s">
        <v>880</v>
      </c>
      <c r="D45" s="645">
        <f>IF('[1]A1.)RatesInput'!$P$99="Y",IF(ISNUMBER(VLOOKUP($C45,'[1]A1.)RatesInput'!$B$195:$Q$281,HLOOKUP(D$39,'[1]A1.)RatesInput'!$O$195:$Q$197,3,0),0)),VLOOKUP($C45,'[1]A1.)RatesInput'!$B$195:$Q$281,HLOOKUP(D$39,'[1]A1.)RatesInput'!$O$195:$Q$197,3,0),0),0),IF(ISNUMBER(VLOOKUP($C45,'[1]A1.)RatesInput'!$B$195:$I$281,HLOOKUP(D$39,'[1]A1.)RatesInput'!$D$195:$I$281,3,0),0)),VLOOKUP($C45,'[1]A1.)RatesInput'!$B$195:$I$281,HLOOKUP(D$39,'[1]A1.)RatesInput'!$D$195:$I$281,3,0),0),0))</f>
        <v>21.84</v>
      </c>
      <c r="E45" s="846">
        <f>'12C.)TODL_RateDesign_SC8_II'!$H$12</f>
        <v>22.4</v>
      </c>
      <c r="F45" s="953">
        <f t="shared" si="1"/>
        <v>2.564102564102555E-2</v>
      </c>
      <c r="G45" s="406"/>
      <c r="H45" s="645">
        <f>IF(ISNUMBER(VLOOKUP($C45,'[1]A1.)RatesInput'!$B$195:$L$281,HLOOKUP(H$39,'[1]A1.)RatesInput'!$D$195:$L$281,3,0),0)),VLOOKUP($C45,'[1]A1.)RatesInput'!$B$195:$L$281,HLOOKUP(H$39,'[1]A1.)RatesInput'!$D$195:$L$281,3,0),0),0)</f>
        <v>21.84</v>
      </c>
    </row>
    <row r="46" spans="2:8" x14ac:dyDescent="0.35">
      <c r="C46" t="s">
        <v>881</v>
      </c>
      <c r="D46" s="645">
        <f>IF('[1]A1.)RatesInput'!$P$99="Y",IF(ISNUMBER(VLOOKUP($C46,'[1]A1.)RatesInput'!$B$195:$Q$281,HLOOKUP(D$39,'[1]A1.)RatesInput'!$O$195:$Q$197,3,0),0)),VLOOKUP($C46,'[1]A1.)RatesInput'!$B$195:$Q$281,HLOOKUP(D$39,'[1]A1.)RatesInput'!$O$195:$Q$197,3,0),0),0),IF(ISNUMBER(VLOOKUP($C46,'[1]A1.)RatesInput'!$B$195:$I$281,HLOOKUP(D$39,'[1]A1.)RatesInput'!$D$195:$I$281,3,0),0)),VLOOKUP($C46,'[1]A1.)RatesInput'!$B$195:$I$281,HLOOKUP(D$39,'[1]A1.)RatesInput'!$D$195:$I$281,3,0),0),0))</f>
        <v>17.740000000000002</v>
      </c>
      <c r="E46" s="846">
        <f>'12C.)TODL_RateDesign_SC8_II'!$H$13</f>
        <v>18.2</v>
      </c>
      <c r="F46" s="953">
        <f t="shared" si="1"/>
        <v>2.5930101465614364E-2</v>
      </c>
      <c r="G46" s="406"/>
      <c r="H46" s="645">
        <f>IF(ISNUMBER(VLOOKUP($C46,'[1]A1.)RatesInput'!$B$195:$L$281,HLOOKUP(H$39,'[1]A1.)RatesInput'!$D$195:$L$281,3,0),0)),VLOOKUP($C46,'[1]A1.)RatesInput'!$B$195:$L$281,HLOOKUP(H$39,'[1]A1.)RatesInput'!$D$195:$L$281,3,0),0),0)</f>
        <v>17.740000000000002</v>
      </c>
    </row>
    <row r="47" spans="2:8" x14ac:dyDescent="0.35">
      <c r="C47" t="s">
        <v>647</v>
      </c>
      <c r="D47" s="645">
        <f>IF('[1]A1.)RatesInput'!$P$99="Y",IF(ISNUMBER(VLOOKUP($C47,'[1]A1.)RatesInput'!$B$195:$Q$281,HLOOKUP(D$39,'[1]A1.)RatesInput'!$O$195:$Q$197,3,0),0)),VLOOKUP($C47,'[1]A1.)RatesInput'!$B$195:$Q$281,HLOOKUP(D$39,'[1]A1.)RatesInput'!$O$195:$Q$197,3,0),0),0),IF(ISNUMBER(VLOOKUP($C47,'[1]A1.)RatesInput'!$B$195:$I$281,HLOOKUP(D$39,'[1]A1.)RatesInput'!$D$195:$I$281,3,0),0)),VLOOKUP($C47,'[1]A1.)RatesInput'!$B$195:$I$281,HLOOKUP(D$39,'[1]A1.)RatesInput'!$D$195:$I$281,3,0),0),0))</f>
        <v>7.9000000000000008E-3</v>
      </c>
      <c r="E47" s="846">
        <f>'12C.)TODL_RateDesign_SC8_II'!$H$14</f>
        <v>7.9000000000000008E-3</v>
      </c>
      <c r="F47" s="953">
        <f t="shared" si="1"/>
        <v>0</v>
      </c>
      <c r="G47" s="406"/>
      <c r="H47" s="645">
        <f>IF(ISNUMBER(VLOOKUP($C47,'[1]A1.)RatesInput'!$B$195:$L$281,HLOOKUP(H$39,'[1]A1.)RatesInput'!$D$195:$L$281,3,0),0)),VLOOKUP($C47,'[1]A1.)RatesInput'!$B$195:$L$281,HLOOKUP(H$39,'[1]A1.)RatesInput'!$D$195:$L$281,3,0),0),0)</f>
        <v>7.9000000000000008E-3</v>
      </c>
    </row>
    <row r="48" spans="2:8" x14ac:dyDescent="0.35">
      <c r="C48" t="s">
        <v>648</v>
      </c>
      <c r="D48" s="645">
        <f>IF('[1]A1.)RatesInput'!$P$99="Y",IF(ISNUMBER(VLOOKUP($C48,'[1]A1.)RatesInput'!$B$195:$Q$281,HLOOKUP(D$39,'[1]A1.)RatesInput'!$O$195:$Q$197,3,0),0)),VLOOKUP($C48,'[1]A1.)RatesInput'!$B$195:$Q$281,HLOOKUP(D$39,'[1]A1.)RatesInput'!$O$195:$Q$197,3,0),0),0),IF(ISNUMBER(VLOOKUP($C48,'[1]A1.)RatesInput'!$B$195:$I$281,HLOOKUP(D$39,'[1]A1.)RatesInput'!$D$195:$I$281,3,0),0)),VLOOKUP($C48,'[1]A1.)RatesInput'!$B$195:$I$281,HLOOKUP(D$39,'[1]A1.)RatesInput'!$D$195:$I$281,3,0),0),0))</f>
        <v>7.9000000000000008E-3</v>
      </c>
      <c r="E48" s="846">
        <f>'12C.)TODL_RateDesign_SC8_II'!$H$15</f>
        <v>7.9000000000000008E-3</v>
      </c>
      <c r="F48" s="953">
        <f t="shared" si="1"/>
        <v>0</v>
      </c>
      <c r="G48" s="406"/>
      <c r="H48" s="645">
        <f>IF(ISNUMBER(VLOOKUP($C48,'[1]A1.)RatesInput'!$B$195:$L$281,HLOOKUP(H$39,'[1]A1.)RatesInput'!$D$195:$L$281,3,0),0)),VLOOKUP($C48,'[1]A1.)RatesInput'!$B$195:$L$281,HLOOKUP(H$39,'[1]A1.)RatesInput'!$D$195:$L$281,3,0),0),0)</f>
        <v>7.9000000000000008E-3</v>
      </c>
    </row>
    <row r="49" spans="3:8" x14ac:dyDescent="0.35">
      <c r="C49" t="s">
        <v>649</v>
      </c>
      <c r="D49" s="645">
        <f>IF('[1]A1.)RatesInput'!$P$99="Y",IF(ISNUMBER(VLOOKUP($C49,'[1]A1.)RatesInput'!$B$195:$Q$281,HLOOKUP(D$39,'[1]A1.)RatesInput'!$O$195:$Q$197,3,0),0)),VLOOKUP($C49,'[1]A1.)RatesInput'!$B$195:$Q$281,HLOOKUP(D$39,'[1]A1.)RatesInput'!$O$195:$Q$197,3,0),0),0),IF(ISNUMBER(VLOOKUP($C49,'[1]A1.)RatesInput'!$B$195:$I$281,HLOOKUP(D$39,'[1]A1.)RatesInput'!$D$195:$I$281,3,0),0)),VLOOKUP($C49,'[1]A1.)RatesInput'!$B$195:$I$281,HLOOKUP(D$39,'[1]A1.)RatesInput'!$D$195:$I$281,3,0),0),0))</f>
        <v>7.9000000000000008E-3</v>
      </c>
      <c r="E49" s="846">
        <f>'12C.)TODL_RateDesign_SC8_II'!$H$16</f>
        <v>7.9000000000000008E-3</v>
      </c>
      <c r="F49" s="953">
        <f t="shared" si="1"/>
        <v>0</v>
      </c>
      <c r="G49" s="406"/>
      <c r="H49" s="645">
        <f>IF(ISNUMBER(VLOOKUP($C49,'[1]A1.)RatesInput'!$B$195:$L$281,HLOOKUP(H$39,'[1]A1.)RatesInput'!$D$195:$L$281,3,0),0)),VLOOKUP($C49,'[1]A1.)RatesInput'!$B$195:$L$281,HLOOKUP(H$39,'[1]A1.)RatesInput'!$D$195:$L$281,3,0),0),0)</f>
        <v>7.9000000000000008E-3</v>
      </c>
    </row>
    <row r="50" spans="3:8" x14ac:dyDescent="0.35">
      <c r="C50" t="s">
        <v>650</v>
      </c>
      <c r="D50" s="645">
        <f>IF('[1]A1.)RatesInput'!$P$99="Y",IF(ISNUMBER(VLOOKUP($C50,'[1]A1.)RatesInput'!$B$195:$Q$281,HLOOKUP(D$39,'[1]A1.)RatesInput'!$O$195:$Q$197,3,0),0)),VLOOKUP($C50,'[1]A1.)RatesInput'!$B$195:$Q$281,HLOOKUP(D$39,'[1]A1.)RatesInput'!$O$195:$Q$197,3,0),0),0),IF(ISNUMBER(VLOOKUP($C50,'[1]A1.)RatesInput'!$B$195:$I$281,HLOOKUP(D$39,'[1]A1.)RatesInput'!$D$195:$I$281,3,0),0)),VLOOKUP($C50,'[1]A1.)RatesInput'!$B$195:$I$281,HLOOKUP(D$39,'[1]A1.)RatesInput'!$D$195:$I$281,3,0),0),0))</f>
        <v>7.9000000000000008E-3</v>
      </c>
      <c r="E50" s="846">
        <f>'12C.)TODL_RateDesign_SC8_II'!$H$17</f>
        <v>7.9000000000000008E-3</v>
      </c>
      <c r="F50" s="953">
        <f t="shared" si="1"/>
        <v>0</v>
      </c>
      <c r="G50" s="406"/>
      <c r="H50" s="645">
        <f>IF(ISNUMBER(VLOOKUP($C50,'[1]A1.)RatesInput'!$B$195:$L$281,HLOOKUP(H$39,'[1]A1.)RatesInput'!$D$195:$L$281,3,0),0)),VLOOKUP($C50,'[1]A1.)RatesInput'!$B$195:$L$281,HLOOKUP(H$39,'[1]A1.)RatesInput'!$D$195:$L$281,3,0),0),0)</f>
        <v>7.9000000000000008E-3</v>
      </c>
    </row>
    <row r="51" spans="3:8" x14ac:dyDescent="0.35">
      <c r="C51" t="s">
        <v>651</v>
      </c>
      <c r="D51" s="645">
        <f>IF('[1]A1.)RatesInput'!$P$99="Y",IF(ISNUMBER(VLOOKUP($C51,'[1]A1.)RatesInput'!$B$195:$Q$281,HLOOKUP(D$39,'[1]A1.)RatesInput'!$O$195:$Q$197,3,0),0)),VLOOKUP($C51,'[1]A1.)RatesInput'!$B$195:$Q$281,HLOOKUP(D$39,'[1]A1.)RatesInput'!$O$195:$Q$197,3,0),0),0),IF(ISNUMBER(VLOOKUP($C51,'[1]A1.)RatesInput'!$B$195:$I$281,HLOOKUP(D$39,'[1]A1.)RatesInput'!$D$195:$I$281,3,0),0)),VLOOKUP($C51,'[1]A1.)RatesInput'!$B$195:$I$281,HLOOKUP(D$39,'[1]A1.)RatesInput'!$D$195:$I$281,3,0),0),0))</f>
        <v>7.9000000000000008E-3</v>
      </c>
      <c r="E51" s="846">
        <f>'12C.)TODL_RateDesign_SC8_II'!$H$18</f>
        <v>7.9000000000000008E-3</v>
      </c>
      <c r="F51" s="953">
        <f t="shared" si="1"/>
        <v>0</v>
      </c>
      <c r="G51" s="406"/>
      <c r="H51" s="645">
        <f>IF(ISNUMBER(VLOOKUP($C51,'[1]A1.)RatesInput'!$B$195:$L$281,HLOOKUP(H$39,'[1]A1.)RatesInput'!$D$195:$L$281,3,0),0)),VLOOKUP($C51,'[1]A1.)RatesInput'!$B$195:$L$281,HLOOKUP(H$39,'[1]A1.)RatesInput'!$D$195:$L$281,3,0),0),0)</f>
        <v>7.9000000000000008E-3</v>
      </c>
    </row>
    <row r="52" spans="3:8" x14ac:dyDescent="0.35">
      <c r="C52" t="s">
        <v>652</v>
      </c>
      <c r="D52" s="645">
        <f>IF('[1]A1.)RatesInput'!$P$99="Y",IF(ISNUMBER(VLOOKUP($C52,'[1]A1.)RatesInput'!$B$195:$Q$281,HLOOKUP(D$39,'[1]A1.)RatesInput'!$O$195:$Q$197,3,0),0)),VLOOKUP($C52,'[1]A1.)RatesInput'!$B$195:$Q$281,HLOOKUP(D$39,'[1]A1.)RatesInput'!$O$195:$Q$197,3,0),0),0),IF(ISNUMBER(VLOOKUP($C52,'[1]A1.)RatesInput'!$B$195:$I$281,HLOOKUP(D$39,'[1]A1.)RatesInput'!$D$195:$I$281,3,0),0)),VLOOKUP($C52,'[1]A1.)RatesInput'!$B$195:$I$281,HLOOKUP(D$39,'[1]A1.)RatesInput'!$D$195:$I$281,3,0),0),0))</f>
        <v>7.9000000000000008E-3</v>
      </c>
      <c r="E52" s="846">
        <f>'12C.)TODL_RateDesign_SC8_II'!$H$19</f>
        <v>7.9000000000000008E-3</v>
      </c>
      <c r="F52" s="953">
        <f t="shared" si="1"/>
        <v>0</v>
      </c>
      <c r="G52" s="406"/>
      <c r="H52" s="645">
        <f>IF(ISNUMBER(VLOOKUP($C52,'[1]A1.)RatesInput'!$B$195:$L$281,HLOOKUP(H$39,'[1]A1.)RatesInput'!$D$195:$L$281,3,0),0)),VLOOKUP($C52,'[1]A1.)RatesInput'!$B$195:$L$281,HLOOKUP(H$39,'[1]A1.)RatesInput'!$D$195:$L$281,3,0),0),0)</f>
        <v>7.9000000000000008E-3</v>
      </c>
    </row>
    <row r="53" spans="3:8" x14ac:dyDescent="0.35">
      <c r="C53" t="s">
        <v>653</v>
      </c>
      <c r="D53" s="645">
        <f>IF('[1]A1.)RatesInput'!$P$99="Y",IF(ISNUMBER(VLOOKUP($C53,'[1]A1.)RatesInput'!$B$195:$Q$281,HLOOKUP(D$39,'[1]A1.)RatesInput'!$O$195:$Q$197,3,0),0)),VLOOKUP($C53,'[1]A1.)RatesInput'!$B$195:$Q$281,HLOOKUP(D$39,'[1]A1.)RatesInput'!$O$195:$Q$197,3,0),0),0),IF(ISNUMBER(VLOOKUP($C53,'[1]A1.)RatesInput'!$B$195:$I$281,HLOOKUP(D$39,'[1]A1.)RatesInput'!$D$195:$I$281,3,0),0)),VLOOKUP($C53,'[1]A1.)RatesInput'!$B$195:$I$281,HLOOKUP(D$39,'[1]A1.)RatesInput'!$D$195:$I$281,3,0),0),0))</f>
        <v>7.9000000000000008E-3</v>
      </c>
      <c r="E53" s="846">
        <f>'12C.)TODL_RateDesign_SC8_II'!$H$20</f>
        <v>7.9000000000000008E-3</v>
      </c>
      <c r="F53" s="953">
        <f t="shared" si="1"/>
        <v>0</v>
      </c>
      <c r="G53" s="406"/>
      <c r="H53" s="645">
        <f>IF(ISNUMBER(VLOOKUP($C53,'[1]A1.)RatesInput'!$B$195:$L$281,HLOOKUP(H$39,'[1]A1.)RatesInput'!$D$195:$L$281,3,0),0)),VLOOKUP($C53,'[1]A1.)RatesInput'!$B$195:$L$281,HLOOKUP(H$39,'[1]A1.)RatesInput'!$D$195:$L$281,3,0),0),0)</f>
        <v>7.9000000000000008E-3</v>
      </c>
    </row>
    <row r="54" spans="3:8" x14ac:dyDescent="0.35">
      <c r="C54" t="s">
        <v>654</v>
      </c>
      <c r="D54" s="644">
        <f>IF('[1]A1.)RatesInput'!$P$99="Y",IF(ISNUMBER(VLOOKUP($C54,'[1]A1.)RatesInput'!$B$195:$Q$281,HLOOKUP(D$39,'[1]A1.)RatesInput'!$O$195:$Q$197,3,0),0)),VLOOKUP($C54,'[1]A1.)RatesInput'!$B$195:$Q$281,HLOOKUP(D$39,'[1]A1.)RatesInput'!$O$195:$Q$197,3,0),0),0),IF(ISNUMBER(VLOOKUP($C54,'[1]A1.)RatesInput'!$B$195:$I$281,HLOOKUP(D$39,'[1]A1.)RatesInput'!$D$195:$I$281,3,0),0)),VLOOKUP($C54,'[1]A1.)RatesInput'!$B$195:$I$281,HLOOKUP(D$39,'[1]A1.)RatesInput'!$D$195:$I$281,3,0),0),0))</f>
        <v>7.9000000000000008E-3</v>
      </c>
      <c r="E54" s="847">
        <f>'12C.)TODL_RateDesign_SC8_II'!$H$21</f>
        <v>7.9000000000000008E-3</v>
      </c>
      <c r="F54" s="954">
        <f t="shared" si="1"/>
        <v>0</v>
      </c>
      <c r="G54" s="406"/>
      <c r="H54" s="644">
        <f>IF(ISNUMBER(VLOOKUP($C54,'[1]A1.)RatesInput'!$B$195:$L$281,HLOOKUP(H$39,'[1]A1.)RatesInput'!$D$195:$L$281,3,0),0)),VLOOKUP($C54,'[1]A1.)RatesInput'!$B$195:$L$281,HLOOKUP(H$39,'[1]A1.)RatesInput'!$D$195:$L$281,3,0),0),0)</f>
        <v>7.9000000000000008E-3</v>
      </c>
    </row>
    <row r="55" spans="3:8" x14ac:dyDescent="0.35">
      <c r="C55" s="464" t="s">
        <v>2234</v>
      </c>
      <c r="E55" s="530">
        <f>'12C.)TODL_RateDesign_SC8_II'!H24</f>
        <v>143.09</v>
      </c>
    </row>
    <row r="57" spans="3:8" hidden="1" x14ac:dyDescent="0.35"/>
    <row r="58" spans="3:8" x14ac:dyDescent="0.35">
      <c r="C58" s="133" t="s">
        <v>1147</v>
      </c>
      <c r="D58" s="408" t="s">
        <v>1148</v>
      </c>
      <c r="E58" s="408" t="s">
        <v>521</v>
      </c>
      <c r="F58" s="955"/>
    </row>
    <row r="59" spans="3:8" x14ac:dyDescent="0.35">
      <c r="C59" t="s">
        <v>1152</v>
      </c>
      <c r="E59" s="956">
        <f>'12C.)TODL_RateDesign_SC8_II'!M191</f>
        <v>9721077</v>
      </c>
      <c r="F59" s="955"/>
    </row>
    <row r="60" spans="3:8" x14ac:dyDescent="0.35">
      <c r="C60" t="s">
        <v>45</v>
      </c>
      <c r="E60" s="956">
        <f>'12C.)TODL_RateDesign_SC8_II'!M192</f>
        <v>1077366</v>
      </c>
      <c r="F60" s="955"/>
    </row>
    <row r="61" spans="3:8" x14ac:dyDescent="0.35">
      <c r="C61" t="s">
        <v>758</v>
      </c>
      <c r="E61" s="957">
        <f>E59+E60</f>
        <v>10798443</v>
      </c>
      <c r="F61" s="955"/>
    </row>
    <row r="62" spans="3:8" ht="15" thickBot="1" x14ac:dyDescent="0.4">
      <c r="E62" s="962"/>
      <c r="F62" s="955"/>
    </row>
    <row r="63" spans="3:8" ht="15.5" thickTop="1" thickBot="1" x14ac:dyDescent="0.4">
      <c r="C63" t="s">
        <v>752</v>
      </c>
      <c r="D63" s="440">
        <f>'12C.)TODL_RateDesign_SC8_II'!$M$203</f>
        <v>10801478</v>
      </c>
      <c r="E63" s="440">
        <f>E61</f>
        <v>10798443</v>
      </c>
      <c r="F63" s="959">
        <f>IF(ISNUMBER(E63/D63-1),E63/D63-1,"")</f>
        <v>-2.8098006587617963E-4</v>
      </c>
    </row>
    <row r="64" spans="3:8" ht="15" thickTop="1" x14ac:dyDescent="0.35">
      <c r="E64" s="406"/>
      <c r="F64" s="955"/>
    </row>
    <row r="65" spans="2:9" ht="15" thickBot="1" x14ac:dyDescent="0.4"/>
    <row r="66" spans="2:9" ht="15" thickBot="1" x14ac:dyDescent="0.4">
      <c r="B66" s="131" t="s">
        <v>531</v>
      </c>
      <c r="C66" s="435" t="s">
        <v>529</v>
      </c>
      <c r="D66" s="1217" t="str">
        <f>'12D.)TODL_RateDesign_SC9_II'!$A$4</f>
        <v>SC9 Rate II</v>
      </c>
      <c r="E66" s="436"/>
    </row>
    <row r="67" spans="2:9" x14ac:dyDescent="0.35">
      <c r="C67" s="435" t="s">
        <v>528</v>
      </c>
      <c r="D67" s="407" t="s">
        <v>869</v>
      </c>
    </row>
    <row r="69" spans="2:9" x14ac:dyDescent="0.35">
      <c r="C69" s="435" t="s">
        <v>527</v>
      </c>
      <c r="D69" s="960" t="str">
        <f>D$9</f>
        <v>Current(RY1)</v>
      </c>
      <c r="E69" s="428" t="str">
        <f>E$9</f>
        <v>Proposed</v>
      </c>
      <c r="F69" s="428" t="s">
        <v>526</v>
      </c>
      <c r="H69" s="428">
        <f>H$9</f>
        <v>2019</v>
      </c>
    </row>
    <row r="70" spans="2:9" x14ac:dyDescent="0.35">
      <c r="D70" s="577"/>
      <c r="E70" s="296" t="str">
        <f>E$10</f>
        <v>Year 1</v>
      </c>
      <c r="H70" s="296" t="str">
        <f>H$10</f>
        <v>(Currnet - Original)</v>
      </c>
    </row>
    <row r="71" spans="2:9" x14ac:dyDescent="0.35">
      <c r="C71" t="s">
        <v>932</v>
      </c>
      <c r="D71" s="643">
        <f>IF('[1]A1.)RatesInput'!$P$99="Y",IF(ISNUMBER(VLOOKUP($C71,'[1]A1.)RatesInput'!$B$195:$Q$281,HLOOKUP(D$69,'[1]A1.)RatesInput'!$O$195:$Q$197,3,0),0)),VLOOKUP($C71,'[1]A1.)RatesInput'!$B$195:$Q$281,HLOOKUP(D$69,'[1]A1.)RatesInput'!$O$195:$Q$197,3,0),0),0),IF(ISNUMBER(VLOOKUP($C71,'[1]A1.)RatesInput'!$B$195:$I$281,HLOOKUP(D$69,'[1]A1.)RatesInput'!$D$195:$I$281,3,0),0)),VLOOKUP($C71,'[1]A1.)RatesInput'!$B$195:$I$281,HLOOKUP(D$69,'[1]A1.)RatesInput'!$D$195:$I$281,3,0),0),0))</f>
        <v>0</v>
      </c>
      <c r="E71" s="848">
        <f>'12D.)TODL_RateDesign_SC9_II'!$H$8</f>
        <v>0</v>
      </c>
      <c r="F71" s="952" t="str">
        <f t="shared" ref="F71:F84" si="2">IF(ISNUMBER(E71/D71-1),E71/D71-1,"")</f>
        <v/>
      </c>
      <c r="G71" s="406"/>
      <c r="H71" s="572">
        <f>IF(ISNUMBER(VLOOKUP($C71,'[1]A1.)RatesInput'!$B$195:$L$281,HLOOKUP(H$69,'[1]A1.)RatesInput'!$D$195:$L$281,3,0),0)),VLOOKUP($C71,'[1]A1.)RatesInput'!$B$195:$L$281,HLOOKUP(H$69,'[1]A1.)RatesInput'!$D$195:$L$281,3,0),0),0)</f>
        <v>0</v>
      </c>
      <c r="I71" s="406"/>
    </row>
    <row r="72" spans="2:9" x14ac:dyDescent="0.35">
      <c r="C72" t="s">
        <v>933</v>
      </c>
      <c r="D72" s="645">
        <f>IF('[1]A1.)RatesInput'!$P$99="Y",IF(ISNUMBER(VLOOKUP($C72,'[1]A1.)RatesInput'!$B$195:$Q$281,HLOOKUP(D$69,'[1]A1.)RatesInput'!$O$195:$Q$197,3,0),0)),VLOOKUP($C72,'[1]A1.)RatesInput'!$B$195:$Q$281,HLOOKUP(D$69,'[1]A1.)RatesInput'!$O$195:$Q$197,3,0),0),0),IF(ISNUMBER(VLOOKUP($C72,'[1]A1.)RatesInput'!$B$195:$I$281,HLOOKUP(D$69,'[1]A1.)RatesInput'!$D$195:$I$281,3,0),0)),VLOOKUP($C72,'[1]A1.)RatesInput'!$B$195:$I$281,HLOOKUP(D$69,'[1]A1.)RatesInput'!$D$195:$I$281,3,0),0),0))</f>
        <v>12.71</v>
      </c>
      <c r="E72" s="846">
        <f>'12D.)TODL_RateDesign_SC9_II'!$H$9</f>
        <v>13.01</v>
      </c>
      <c r="F72" s="953">
        <f t="shared" si="2"/>
        <v>2.3603461841069873E-2</v>
      </c>
      <c r="G72" s="406"/>
      <c r="H72" s="645">
        <f>IF(ISNUMBER(VLOOKUP($C72,'[1]A1.)RatesInput'!$B$195:$L$281,HLOOKUP(H$69,'[1]A1.)RatesInput'!$D$195:$L$281,3,0),0)),VLOOKUP($C72,'[1]A1.)RatesInput'!$B$195:$L$281,HLOOKUP(H$69,'[1]A1.)RatesInput'!$D$195:$L$281,3,0),0),0)</f>
        <v>11.48</v>
      </c>
      <c r="I72" s="406"/>
    </row>
    <row r="73" spans="2:9" x14ac:dyDescent="0.35">
      <c r="C73" t="s">
        <v>934</v>
      </c>
      <c r="D73" s="645">
        <f>IF('[1]A1.)RatesInput'!$P$99="Y",IF(ISNUMBER(VLOOKUP($C73,'[1]A1.)RatesInput'!$B$195:$Q$281,HLOOKUP(D$69,'[1]A1.)RatesInput'!$O$195:$Q$197,3,0),0)),VLOOKUP($C73,'[1]A1.)RatesInput'!$B$195:$Q$281,HLOOKUP(D$69,'[1]A1.)RatesInput'!$O$195:$Q$197,3,0),0),0),IF(ISNUMBER(VLOOKUP($C73,'[1]A1.)RatesInput'!$B$195:$I$281,HLOOKUP(D$69,'[1]A1.)RatesInput'!$D$195:$I$281,3,0),0)),VLOOKUP($C73,'[1]A1.)RatesInput'!$B$195:$I$281,HLOOKUP(D$69,'[1]A1.)RatesInput'!$D$195:$I$281,3,0),0),0))</f>
        <v>3.83</v>
      </c>
      <c r="E73" s="846">
        <f>'12D.)TODL_RateDesign_SC9_II'!$H$10</f>
        <v>3.92</v>
      </c>
      <c r="F73" s="953">
        <f t="shared" si="2"/>
        <v>2.3498694516971286E-2</v>
      </c>
      <c r="G73" s="406"/>
      <c r="H73" s="645">
        <f>IF(ISNUMBER(VLOOKUP($C73,'[1]A1.)RatesInput'!$B$195:$L$281,HLOOKUP(H$69,'[1]A1.)RatesInput'!$D$195:$L$281,3,0),0)),VLOOKUP($C73,'[1]A1.)RatesInput'!$B$195:$L$281,HLOOKUP(H$69,'[1]A1.)RatesInput'!$D$195:$L$281,3,0),0),0)</f>
        <v>5.36</v>
      </c>
      <c r="I73" s="406"/>
    </row>
    <row r="74" spans="2:9" x14ac:dyDescent="0.35">
      <c r="C74" t="s">
        <v>935</v>
      </c>
      <c r="D74" s="645">
        <f>IF('[1]A1.)RatesInput'!$P$99="Y",IF(ISNUMBER(VLOOKUP($C74,'[1]A1.)RatesInput'!$B$195:$Q$281,HLOOKUP(D$69,'[1]A1.)RatesInput'!$O$195:$Q$197,3,0),0)),VLOOKUP($C74,'[1]A1.)RatesInput'!$B$195:$Q$281,HLOOKUP(D$69,'[1]A1.)RatesInput'!$O$195:$Q$197,3,0),0),0),IF(ISNUMBER(VLOOKUP($C74,'[1]A1.)RatesInput'!$B$195:$I$281,HLOOKUP(D$69,'[1]A1.)RatesInput'!$D$195:$I$281,3,0),0)),VLOOKUP($C74,'[1]A1.)RatesInput'!$B$195:$I$281,HLOOKUP(D$69,'[1]A1.)RatesInput'!$D$195:$I$281,3,0),0),0))</f>
        <v>8.33</v>
      </c>
      <c r="E74" s="846">
        <f>'12D.)TODL_RateDesign_SC9_II'!$H$11</f>
        <v>8.5299999999999994</v>
      </c>
      <c r="F74" s="953">
        <f t="shared" si="2"/>
        <v>2.4009603841536498E-2</v>
      </c>
      <c r="G74" s="406"/>
      <c r="H74" s="645">
        <f>IF(ISNUMBER(VLOOKUP($C74,'[1]A1.)RatesInput'!$B$195:$L$281,HLOOKUP(H$69,'[1]A1.)RatesInput'!$D$195:$L$281,3,0),0)),VLOOKUP($C74,'[1]A1.)RatesInput'!$B$195:$L$281,HLOOKUP(H$69,'[1]A1.)RatesInput'!$D$195:$L$281,3,0),0),0)</f>
        <v>8.33</v>
      </c>
      <c r="I74" s="406"/>
    </row>
    <row r="75" spans="2:9" x14ac:dyDescent="0.35">
      <c r="C75" t="s">
        <v>936</v>
      </c>
      <c r="D75" s="645">
        <f>IF('[1]A1.)RatesInput'!$P$99="Y",IF(ISNUMBER(VLOOKUP($C75,'[1]A1.)RatesInput'!$B$195:$Q$281,HLOOKUP(D$69,'[1]A1.)RatesInput'!$O$195:$Q$197,3,0),0)),VLOOKUP($C75,'[1]A1.)RatesInput'!$B$195:$Q$281,HLOOKUP(D$69,'[1]A1.)RatesInput'!$O$195:$Q$197,3,0),0),0),IF(ISNUMBER(VLOOKUP($C75,'[1]A1.)RatesInput'!$B$195:$I$281,HLOOKUP(D$69,'[1]A1.)RatesInput'!$D$195:$I$281,3,0),0)),VLOOKUP($C75,'[1]A1.)RatesInput'!$B$195:$I$281,HLOOKUP(D$69,'[1]A1.)RatesInput'!$D$195:$I$281,3,0),0),0))</f>
        <v>16.79</v>
      </c>
      <c r="E75" s="846">
        <f>'12D.)TODL_RateDesign_SC9_II'!$H$12</f>
        <v>17.189999999999998</v>
      </c>
      <c r="F75" s="953">
        <f t="shared" si="2"/>
        <v>2.3823704586062977E-2</v>
      </c>
      <c r="G75" s="406"/>
      <c r="H75" s="645">
        <f>IF(ISNUMBER(VLOOKUP($C75,'[1]A1.)RatesInput'!$B$195:$L$281,HLOOKUP(H$69,'[1]A1.)RatesInput'!$D$195:$L$281,3,0),0)),VLOOKUP($C75,'[1]A1.)RatesInput'!$B$195:$L$281,HLOOKUP(H$69,'[1]A1.)RatesInput'!$D$195:$L$281,3,0),0),0)</f>
        <v>15.56</v>
      </c>
      <c r="I75" s="406"/>
    </row>
    <row r="76" spans="2:9" x14ac:dyDescent="0.35">
      <c r="C76" t="s">
        <v>937</v>
      </c>
      <c r="D76" s="645">
        <f>IF('[1]A1.)RatesInput'!$P$99="Y",IF(ISNUMBER(VLOOKUP($C76,'[1]A1.)RatesInput'!$B$195:$Q$281,HLOOKUP(D$69,'[1]A1.)RatesInput'!$O$195:$Q$197,3,0),0)),VLOOKUP($C76,'[1]A1.)RatesInput'!$B$195:$Q$281,HLOOKUP(D$69,'[1]A1.)RatesInput'!$O$195:$Q$197,3,0),0),0),IF(ISNUMBER(VLOOKUP($C76,'[1]A1.)RatesInput'!$B$195:$I$281,HLOOKUP(D$69,'[1]A1.)RatesInput'!$D$195:$I$281,3,0),0)),VLOOKUP($C76,'[1]A1.)RatesInput'!$B$195:$I$281,HLOOKUP(D$69,'[1]A1.)RatesInput'!$D$195:$I$281,3,0),0),0))</f>
        <v>15.17</v>
      </c>
      <c r="E76" s="846">
        <f>'12D.)TODL_RateDesign_SC9_II'!$H$13</f>
        <v>15.53</v>
      </c>
      <c r="F76" s="953">
        <f t="shared" si="2"/>
        <v>2.3731048121292009E-2</v>
      </c>
      <c r="G76" s="406"/>
      <c r="H76" s="645">
        <f>IF(ISNUMBER(VLOOKUP($C76,'[1]A1.)RatesInput'!$B$195:$L$281,HLOOKUP(H$69,'[1]A1.)RatesInput'!$D$195:$L$281,3,0),0)),VLOOKUP($C76,'[1]A1.)RatesInput'!$B$195:$L$281,HLOOKUP(H$69,'[1]A1.)RatesInput'!$D$195:$L$281,3,0),0),0)</f>
        <v>16.7</v>
      </c>
      <c r="I76" s="406"/>
    </row>
    <row r="77" spans="2:9" x14ac:dyDescent="0.35">
      <c r="C77" t="s">
        <v>647</v>
      </c>
      <c r="D77" s="645">
        <f>IF('[1]A1.)RatesInput'!$P$99="Y",IF(ISNUMBER(VLOOKUP($C77,'[1]A1.)RatesInput'!$B$195:$Q$281,HLOOKUP(D$69,'[1]A1.)RatesInput'!$O$195:$Q$197,3,0),0)),VLOOKUP($C77,'[1]A1.)RatesInput'!$B$195:$Q$281,HLOOKUP(D$69,'[1]A1.)RatesInput'!$O$195:$Q$197,3,0),0),0),IF(ISNUMBER(VLOOKUP($C77,'[1]A1.)RatesInput'!$B$195:$I$281,HLOOKUP(D$69,'[1]A1.)RatesInput'!$D$195:$I$281,3,0),0)),VLOOKUP($C77,'[1]A1.)RatesInput'!$B$195:$I$281,HLOOKUP(D$69,'[1]A1.)RatesInput'!$D$195:$I$281,3,0),0),0))</f>
        <v>7.9000000000000008E-3</v>
      </c>
      <c r="E77" s="846">
        <f>'12D.)TODL_RateDesign_SC9_II'!$H$14</f>
        <v>7.9000000000000008E-3</v>
      </c>
      <c r="F77" s="953">
        <f t="shared" si="2"/>
        <v>0</v>
      </c>
      <c r="G77" s="406"/>
      <c r="H77" s="645">
        <f>IF(ISNUMBER(VLOOKUP($C77,'[1]A1.)RatesInput'!$B$195:$L$281,HLOOKUP(H$69,'[1]A1.)RatesInput'!$D$195:$L$281,3,0),0)),VLOOKUP($C77,'[1]A1.)RatesInput'!$B$195:$L$281,HLOOKUP(H$69,'[1]A1.)RatesInput'!$D$195:$L$281,3,0),0),0)</f>
        <v>7.9000000000000008E-3</v>
      </c>
      <c r="I77" s="406"/>
    </row>
    <row r="78" spans="2:9" x14ac:dyDescent="0.35">
      <c r="C78" t="s">
        <v>648</v>
      </c>
      <c r="D78" s="645">
        <f>IF('[1]A1.)RatesInput'!$P$99="Y",IF(ISNUMBER(VLOOKUP($C78,'[1]A1.)RatesInput'!$B$195:$Q$281,HLOOKUP(D$69,'[1]A1.)RatesInput'!$O$195:$Q$197,3,0),0)),VLOOKUP($C78,'[1]A1.)RatesInput'!$B$195:$Q$281,HLOOKUP(D$69,'[1]A1.)RatesInput'!$O$195:$Q$197,3,0),0),0),IF(ISNUMBER(VLOOKUP($C78,'[1]A1.)RatesInput'!$B$195:$I$281,HLOOKUP(D$69,'[1]A1.)RatesInput'!$D$195:$I$281,3,0),0)),VLOOKUP($C78,'[1]A1.)RatesInput'!$B$195:$I$281,HLOOKUP(D$69,'[1]A1.)RatesInput'!$D$195:$I$281,3,0),0),0))</f>
        <v>7.9000000000000008E-3</v>
      </c>
      <c r="E78" s="846">
        <f>'12D.)TODL_RateDesign_SC9_II'!$H$15</f>
        <v>7.9000000000000008E-3</v>
      </c>
      <c r="F78" s="953">
        <f t="shared" si="2"/>
        <v>0</v>
      </c>
      <c r="G78" s="406"/>
      <c r="H78" s="645">
        <f>IF(ISNUMBER(VLOOKUP($C78,'[1]A1.)RatesInput'!$B$195:$L$281,HLOOKUP(H$69,'[1]A1.)RatesInput'!$D$195:$L$281,3,0),0)),VLOOKUP($C78,'[1]A1.)RatesInput'!$B$195:$L$281,HLOOKUP(H$69,'[1]A1.)RatesInput'!$D$195:$L$281,3,0),0),0)</f>
        <v>7.9000000000000008E-3</v>
      </c>
      <c r="I78" s="406"/>
    </row>
    <row r="79" spans="2:9" x14ac:dyDescent="0.35">
      <c r="C79" t="s">
        <v>649</v>
      </c>
      <c r="D79" s="645">
        <f>IF('[1]A1.)RatesInput'!$P$99="Y",IF(ISNUMBER(VLOOKUP($C79,'[1]A1.)RatesInput'!$B$195:$Q$281,HLOOKUP(D$69,'[1]A1.)RatesInput'!$O$195:$Q$197,3,0),0)),VLOOKUP($C79,'[1]A1.)RatesInput'!$B$195:$Q$281,HLOOKUP(D$69,'[1]A1.)RatesInput'!$O$195:$Q$197,3,0),0),0),IF(ISNUMBER(VLOOKUP($C79,'[1]A1.)RatesInput'!$B$195:$I$281,HLOOKUP(D$69,'[1]A1.)RatesInput'!$D$195:$I$281,3,0),0)),VLOOKUP($C79,'[1]A1.)RatesInput'!$B$195:$I$281,HLOOKUP(D$69,'[1]A1.)RatesInput'!$D$195:$I$281,3,0),0),0))</f>
        <v>7.9000000000000008E-3</v>
      </c>
      <c r="E79" s="846">
        <f>'12D.)TODL_RateDesign_SC9_II'!$H$16</f>
        <v>7.9000000000000008E-3</v>
      </c>
      <c r="F79" s="953">
        <f t="shared" si="2"/>
        <v>0</v>
      </c>
      <c r="G79" s="406"/>
      <c r="H79" s="645">
        <f>IF(ISNUMBER(VLOOKUP($C79,'[1]A1.)RatesInput'!$B$195:$L$281,HLOOKUP(H$69,'[1]A1.)RatesInput'!$D$195:$L$281,3,0),0)),VLOOKUP($C79,'[1]A1.)RatesInput'!$B$195:$L$281,HLOOKUP(H$69,'[1]A1.)RatesInput'!$D$195:$L$281,3,0),0),0)</f>
        <v>7.9000000000000008E-3</v>
      </c>
      <c r="I79" s="406"/>
    </row>
    <row r="80" spans="2:9" x14ac:dyDescent="0.35">
      <c r="C80" t="s">
        <v>650</v>
      </c>
      <c r="D80" s="645">
        <f>IF('[1]A1.)RatesInput'!$P$99="Y",IF(ISNUMBER(VLOOKUP($C80,'[1]A1.)RatesInput'!$B$195:$Q$281,HLOOKUP(D$69,'[1]A1.)RatesInput'!$O$195:$Q$197,3,0),0)),VLOOKUP($C80,'[1]A1.)RatesInput'!$B$195:$Q$281,HLOOKUP(D$69,'[1]A1.)RatesInput'!$O$195:$Q$197,3,0),0),0),IF(ISNUMBER(VLOOKUP($C80,'[1]A1.)RatesInput'!$B$195:$I$281,HLOOKUP(D$69,'[1]A1.)RatesInput'!$D$195:$I$281,3,0),0)),VLOOKUP($C80,'[1]A1.)RatesInput'!$B$195:$I$281,HLOOKUP(D$69,'[1]A1.)RatesInput'!$D$195:$I$281,3,0),0),0))</f>
        <v>7.9000000000000008E-3</v>
      </c>
      <c r="E80" s="846">
        <f>'12D.)TODL_RateDesign_SC9_II'!$H$17</f>
        <v>7.9000000000000008E-3</v>
      </c>
      <c r="F80" s="953">
        <f t="shared" si="2"/>
        <v>0</v>
      </c>
      <c r="G80" s="406"/>
      <c r="H80" s="645">
        <f>IF(ISNUMBER(VLOOKUP($C80,'[1]A1.)RatesInput'!$B$195:$L$281,HLOOKUP(H$69,'[1]A1.)RatesInput'!$D$195:$L$281,3,0),0)),VLOOKUP($C80,'[1]A1.)RatesInput'!$B$195:$L$281,HLOOKUP(H$69,'[1]A1.)RatesInput'!$D$195:$L$281,3,0),0),0)</f>
        <v>7.9000000000000008E-3</v>
      </c>
      <c r="I80" s="406"/>
    </row>
    <row r="81" spans="3:9" x14ac:dyDescent="0.35">
      <c r="C81" t="s">
        <v>651</v>
      </c>
      <c r="D81" s="645">
        <f>IF('[1]A1.)RatesInput'!$P$99="Y",IF(ISNUMBER(VLOOKUP($C81,'[1]A1.)RatesInput'!$B$195:$Q$281,HLOOKUP(D$69,'[1]A1.)RatesInput'!$O$195:$Q$197,3,0),0)),VLOOKUP($C81,'[1]A1.)RatesInput'!$B$195:$Q$281,HLOOKUP(D$69,'[1]A1.)RatesInput'!$O$195:$Q$197,3,0),0),0),IF(ISNUMBER(VLOOKUP($C81,'[1]A1.)RatesInput'!$B$195:$I$281,HLOOKUP(D$69,'[1]A1.)RatesInput'!$D$195:$I$281,3,0),0)),VLOOKUP($C81,'[1]A1.)RatesInput'!$B$195:$I$281,HLOOKUP(D$69,'[1]A1.)RatesInput'!$D$195:$I$281,3,0),0),0))</f>
        <v>7.9000000000000008E-3</v>
      </c>
      <c r="E81" s="846">
        <f>'12D.)TODL_RateDesign_SC9_II'!$H$18</f>
        <v>7.9000000000000008E-3</v>
      </c>
      <c r="F81" s="953">
        <f t="shared" si="2"/>
        <v>0</v>
      </c>
      <c r="G81" s="406"/>
      <c r="H81" s="645">
        <f>IF(ISNUMBER(VLOOKUP($C81,'[1]A1.)RatesInput'!$B$195:$L$281,HLOOKUP(H$69,'[1]A1.)RatesInput'!$D$195:$L$281,3,0),0)),VLOOKUP($C81,'[1]A1.)RatesInput'!$B$195:$L$281,HLOOKUP(H$69,'[1]A1.)RatesInput'!$D$195:$L$281,3,0),0),0)</f>
        <v>7.9000000000000008E-3</v>
      </c>
      <c r="I81" s="406"/>
    </row>
    <row r="82" spans="3:9" x14ac:dyDescent="0.35">
      <c r="C82" t="s">
        <v>652</v>
      </c>
      <c r="D82" s="645">
        <f>IF('[1]A1.)RatesInput'!$P$99="Y",IF(ISNUMBER(VLOOKUP($C82,'[1]A1.)RatesInput'!$B$195:$Q$281,HLOOKUP(D$69,'[1]A1.)RatesInput'!$O$195:$Q$197,3,0),0)),VLOOKUP($C82,'[1]A1.)RatesInput'!$B$195:$Q$281,HLOOKUP(D$69,'[1]A1.)RatesInput'!$O$195:$Q$197,3,0),0),0),IF(ISNUMBER(VLOOKUP($C82,'[1]A1.)RatesInput'!$B$195:$I$281,HLOOKUP(D$69,'[1]A1.)RatesInput'!$D$195:$I$281,3,0),0)),VLOOKUP($C82,'[1]A1.)RatesInput'!$B$195:$I$281,HLOOKUP(D$69,'[1]A1.)RatesInput'!$D$195:$I$281,3,0),0),0))</f>
        <v>7.9000000000000008E-3</v>
      </c>
      <c r="E82" s="846">
        <f>'12D.)TODL_RateDesign_SC9_II'!$H$19</f>
        <v>7.9000000000000008E-3</v>
      </c>
      <c r="F82" s="953">
        <f t="shared" si="2"/>
        <v>0</v>
      </c>
      <c r="G82" s="406"/>
      <c r="H82" s="645">
        <f>IF(ISNUMBER(VLOOKUP($C82,'[1]A1.)RatesInput'!$B$195:$L$281,HLOOKUP(H$69,'[1]A1.)RatesInput'!$D$195:$L$281,3,0),0)),VLOOKUP($C82,'[1]A1.)RatesInput'!$B$195:$L$281,HLOOKUP(H$69,'[1]A1.)RatesInput'!$D$195:$L$281,3,0),0),0)</f>
        <v>7.9000000000000008E-3</v>
      </c>
      <c r="I82" s="406"/>
    </row>
    <row r="83" spans="3:9" x14ac:dyDescent="0.35">
      <c r="C83" t="s">
        <v>653</v>
      </c>
      <c r="D83" s="645">
        <f>IF('[1]A1.)RatesInput'!$P$99="Y",IF(ISNUMBER(VLOOKUP($C83,'[1]A1.)RatesInput'!$B$195:$Q$281,HLOOKUP(D$69,'[1]A1.)RatesInput'!$O$195:$Q$197,3,0),0)),VLOOKUP($C83,'[1]A1.)RatesInput'!$B$195:$Q$281,HLOOKUP(D$69,'[1]A1.)RatesInput'!$O$195:$Q$197,3,0),0),0),IF(ISNUMBER(VLOOKUP($C83,'[1]A1.)RatesInput'!$B$195:$I$281,HLOOKUP(D$69,'[1]A1.)RatesInput'!$D$195:$I$281,3,0),0)),VLOOKUP($C83,'[1]A1.)RatesInput'!$B$195:$I$281,HLOOKUP(D$69,'[1]A1.)RatesInput'!$D$195:$I$281,3,0),0),0))</f>
        <v>7.9000000000000008E-3</v>
      </c>
      <c r="E83" s="846">
        <f>'12D.)TODL_RateDesign_SC9_II'!$H$20</f>
        <v>7.9000000000000008E-3</v>
      </c>
      <c r="F83" s="953">
        <f t="shared" si="2"/>
        <v>0</v>
      </c>
      <c r="G83" s="406"/>
      <c r="H83" s="645">
        <f>IF(ISNUMBER(VLOOKUP($C83,'[1]A1.)RatesInput'!$B$195:$L$281,HLOOKUP(H$69,'[1]A1.)RatesInput'!$D$195:$L$281,3,0),0)),VLOOKUP($C83,'[1]A1.)RatesInput'!$B$195:$L$281,HLOOKUP(H$69,'[1]A1.)RatesInput'!$D$195:$L$281,3,0),0),0)</f>
        <v>7.9000000000000008E-3</v>
      </c>
      <c r="I83" s="406"/>
    </row>
    <row r="84" spans="3:9" x14ac:dyDescent="0.35">
      <c r="C84" t="s">
        <v>654</v>
      </c>
      <c r="D84" s="644">
        <f>IF('[1]A1.)RatesInput'!$P$99="Y",IF(ISNUMBER(VLOOKUP($C84,'[1]A1.)RatesInput'!$B$195:$Q$281,HLOOKUP(D$69,'[1]A1.)RatesInput'!$O$195:$Q$197,3,0),0)),VLOOKUP($C84,'[1]A1.)RatesInput'!$B$195:$Q$281,HLOOKUP(D$69,'[1]A1.)RatesInput'!$O$195:$Q$197,3,0),0),0),IF(ISNUMBER(VLOOKUP($C84,'[1]A1.)RatesInput'!$B$195:$I$281,HLOOKUP(D$69,'[1]A1.)RatesInput'!$D$195:$I$281,3,0),0)),VLOOKUP($C84,'[1]A1.)RatesInput'!$B$195:$I$281,HLOOKUP(D$69,'[1]A1.)RatesInput'!$D$195:$I$281,3,0),0),0))</f>
        <v>7.9000000000000008E-3</v>
      </c>
      <c r="E84" s="847">
        <f>'12D.)TODL_RateDesign_SC9_II'!$H$21</f>
        <v>7.9000000000000008E-3</v>
      </c>
      <c r="F84" s="954">
        <f t="shared" si="2"/>
        <v>0</v>
      </c>
      <c r="G84" s="406"/>
      <c r="H84" s="644">
        <f>IF(ISNUMBER(VLOOKUP($C84,'[1]A1.)RatesInput'!$B$195:$L$281,HLOOKUP(H$69,'[1]A1.)RatesInput'!$D$195:$L$281,3,0),0)),VLOOKUP($C84,'[1]A1.)RatesInput'!$B$195:$L$281,HLOOKUP(H$69,'[1]A1.)RatesInput'!$D$195:$L$281,3,0),0),0)</f>
        <v>7.9000000000000008E-3</v>
      </c>
      <c r="I84" s="406"/>
    </row>
    <row r="85" spans="3:9" x14ac:dyDescent="0.35">
      <c r="C85" s="464" t="s">
        <v>2235</v>
      </c>
      <c r="D85" s="464"/>
      <c r="E85" s="530">
        <f>'12D.)TODL_RateDesign_SC9_II'!H24</f>
        <v>143.09</v>
      </c>
      <c r="F85" s="955"/>
      <c r="G85" s="406"/>
      <c r="H85" s="406"/>
      <c r="I85" s="406"/>
    </row>
    <row r="86" spans="3:9" x14ac:dyDescent="0.35">
      <c r="E86" s="406"/>
      <c r="F86" s="955"/>
      <c r="G86" s="406"/>
      <c r="H86" s="406"/>
      <c r="I86" s="406"/>
    </row>
    <row r="87" spans="3:9" hidden="1" x14ac:dyDescent="0.35">
      <c r="E87" s="406"/>
      <c r="F87" s="955"/>
      <c r="G87" s="406"/>
      <c r="H87" s="406"/>
      <c r="I87" s="406"/>
    </row>
    <row r="88" spans="3:9" x14ac:dyDescent="0.35">
      <c r="C88" s="133" t="s">
        <v>1147</v>
      </c>
      <c r="D88" s="408" t="s">
        <v>1148</v>
      </c>
      <c r="E88" s="408" t="s">
        <v>521</v>
      </c>
      <c r="F88" s="955"/>
      <c r="G88" s="406"/>
      <c r="H88" s="406"/>
      <c r="I88" s="406"/>
    </row>
    <row r="89" spans="3:9" x14ac:dyDescent="0.35">
      <c r="C89" t="s">
        <v>1152</v>
      </c>
      <c r="E89" s="956">
        <f>'12D.)TODL_RateDesign_SC9_II'!M209</f>
        <v>469355000.40150297</v>
      </c>
      <c r="F89" s="955"/>
      <c r="G89" s="406"/>
      <c r="H89" s="406"/>
      <c r="I89" s="406"/>
    </row>
    <row r="90" spans="3:9" x14ac:dyDescent="0.35">
      <c r="C90" t="s">
        <v>45</v>
      </c>
      <c r="E90" s="956">
        <f>'12D.)TODL_RateDesign_SC9_II'!M210</f>
        <v>70292295</v>
      </c>
      <c r="F90" s="955"/>
      <c r="G90" s="406"/>
      <c r="H90" s="406"/>
      <c r="I90" s="406"/>
    </row>
    <row r="91" spans="3:9" x14ac:dyDescent="0.35">
      <c r="C91" s="1" t="s">
        <v>758</v>
      </c>
      <c r="E91" s="957">
        <f>E89+E90</f>
        <v>539647295.40150297</v>
      </c>
      <c r="F91" s="955"/>
      <c r="G91" s="406"/>
      <c r="H91" s="406"/>
      <c r="I91" s="406"/>
    </row>
    <row r="92" spans="3:9" x14ac:dyDescent="0.35">
      <c r="C92" s="1" t="s">
        <v>753</v>
      </c>
      <c r="E92" s="962">
        <f>'12D.)TODL_RateDesign_SC9_II'!L217</f>
        <v>0</v>
      </c>
      <c r="F92" s="955"/>
      <c r="G92" s="406"/>
      <c r="H92" s="406"/>
      <c r="I92" s="406"/>
    </row>
    <row r="93" spans="3:9" x14ac:dyDescent="0.35">
      <c r="C93" s="1" t="s">
        <v>754</v>
      </c>
      <c r="E93" s="963">
        <f>'12D.)TODL_RateDesign_SC9_II'!L218</f>
        <v>0</v>
      </c>
      <c r="F93" s="955"/>
      <c r="G93" s="406"/>
      <c r="H93" s="406"/>
      <c r="I93" s="406"/>
    </row>
    <row r="94" spans="3:9" x14ac:dyDescent="0.35">
      <c r="C94" s="1" t="s">
        <v>755</v>
      </c>
      <c r="E94" s="963">
        <f>'12D.)TODL_RateDesign_SC9_II'!L219</f>
        <v>0</v>
      </c>
      <c r="F94" s="955"/>
      <c r="G94" s="406"/>
      <c r="H94" s="406"/>
      <c r="I94" s="406"/>
    </row>
    <row r="95" spans="3:9" ht="15" thickBot="1" x14ac:dyDescent="0.4">
      <c r="E95" s="963"/>
      <c r="F95" s="955"/>
      <c r="G95" s="406"/>
      <c r="H95" s="406"/>
      <c r="I95" s="406"/>
    </row>
    <row r="96" spans="3:9" ht="15.5" thickTop="1" thickBot="1" x14ac:dyDescent="0.4">
      <c r="C96" t="s">
        <v>752</v>
      </c>
      <c r="D96" s="440">
        <f>'12D.)TODL_RateDesign_SC9_II'!M223</f>
        <v>539582375.40150297</v>
      </c>
      <c r="E96" s="440">
        <f>E91+E92+E93+E94</f>
        <v>539647295.40150297</v>
      </c>
      <c r="F96" s="959">
        <f>IF(ISNUMBER(E96/D96-1),E96/D96-1,"")</f>
        <v>1.203152715127942E-4</v>
      </c>
      <c r="G96" s="406"/>
      <c r="H96" s="406"/>
      <c r="I96" s="406"/>
    </row>
    <row r="97" spans="2:8" ht="15" thickTop="1" x14ac:dyDescent="0.35"/>
    <row r="98" spans="2:8" ht="15" thickBot="1" x14ac:dyDescent="0.4"/>
    <row r="99" spans="2:8" ht="15" thickBot="1" x14ac:dyDescent="0.4">
      <c r="B99" s="131" t="s">
        <v>530</v>
      </c>
      <c r="C99" s="435" t="s">
        <v>529</v>
      </c>
      <c r="D99" s="1217" t="str">
        <f>'12E.)TODL_RateDesign_SC12_II'!$A$4</f>
        <v>SC12 Rate II</v>
      </c>
      <c r="E99" s="436"/>
    </row>
    <row r="100" spans="2:8" x14ac:dyDescent="0.35">
      <c r="C100" s="435" t="s">
        <v>528</v>
      </c>
      <c r="D100" s="407" t="s">
        <v>870</v>
      </c>
    </row>
    <row r="102" spans="2:8" x14ac:dyDescent="0.35">
      <c r="C102" s="857" t="s">
        <v>527</v>
      </c>
      <c r="D102" s="960" t="str">
        <f>D$9</f>
        <v>Current(RY1)</v>
      </c>
      <c r="E102" s="960" t="str">
        <f>E$9</f>
        <v>Proposed</v>
      </c>
      <c r="F102" s="960" t="s">
        <v>526</v>
      </c>
      <c r="G102" s="406"/>
      <c r="H102" s="960">
        <f>H$9</f>
        <v>2019</v>
      </c>
    </row>
    <row r="103" spans="2:8" x14ac:dyDescent="0.35">
      <c r="C103" s="406"/>
      <c r="D103" s="577"/>
      <c r="E103" s="577" t="str">
        <f>E$10</f>
        <v>Year 1</v>
      </c>
      <c r="F103" s="955"/>
      <c r="G103" s="406"/>
      <c r="H103" s="577" t="str">
        <f>H$10</f>
        <v>(Currnet - Original)</v>
      </c>
    </row>
    <row r="104" spans="2:8" x14ac:dyDescent="0.35">
      <c r="C104" s="406" t="s">
        <v>882</v>
      </c>
      <c r="D104" s="643">
        <f>IF('[1]A1.)RatesInput'!$P$99="Y",IF(ISNUMBER(VLOOKUP($C104,'[1]A1.)RatesInput'!$B$195:$Q$281,HLOOKUP(D$102,'[1]A1.)RatesInput'!$O$195:$Q$197,3,0),0)),VLOOKUP($C104,'[1]A1.)RatesInput'!$B$195:$Q$281,HLOOKUP(D$102,'[1]A1.)RatesInput'!$O$195:$Q$197,3,0),0),0),IF(ISNUMBER(VLOOKUP($C104,'[1]A1.)RatesInput'!$B$195:$I$281,HLOOKUP(D$102,'[1]A1.)RatesInput'!$D$195:$I$281,3,0),0)),VLOOKUP($C104,'[1]A1.)RatesInput'!$B$195:$I$281,HLOOKUP(D$102,'[1]A1.)RatesInput'!$D$195:$I$281,3,0),0),0))</f>
        <v>0</v>
      </c>
      <c r="E104" s="848">
        <f>'12E.)TODL_RateDesign_SC12_II'!$H$8</f>
        <v>0</v>
      </c>
      <c r="F104" s="952" t="str">
        <f t="shared" ref="F104:F117" si="3">IF(ISNUMBER(E104/D104-1),E104/D104-1,"")</f>
        <v/>
      </c>
      <c r="G104" s="406"/>
      <c r="H104" s="572">
        <f>IF(ISNUMBER(VLOOKUP($C104,'[1]A1.)RatesInput'!$B$195:$L$281,HLOOKUP(H$102,'[1]A1.)RatesInput'!$D$195:$L$281,3,0),0)),VLOOKUP($C104,'[1]A1.)RatesInput'!$B$195:$L$281,HLOOKUP(H$102,'[1]A1.)RatesInput'!$D$195:$L$281,3,0),0),0)</f>
        <v>0</v>
      </c>
    </row>
    <row r="105" spans="2:8" x14ac:dyDescent="0.35">
      <c r="C105" s="406" t="s">
        <v>883</v>
      </c>
      <c r="D105" s="645">
        <f>IF('[1]A1.)RatesInput'!$P$99="Y",IF(ISNUMBER(VLOOKUP($C105,'[1]A1.)RatesInput'!$B$195:$Q$281,HLOOKUP(D$102,'[1]A1.)RatesInput'!$O$195:$Q$197,3,0),0)),VLOOKUP($C105,'[1]A1.)RatesInput'!$B$195:$Q$281,HLOOKUP(D$102,'[1]A1.)RatesInput'!$O$195:$Q$197,3,0),0),0),IF(ISNUMBER(VLOOKUP($C105,'[1]A1.)RatesInput'!$B$195:$I$281,HLOOKUP(D$102,'[1]A1.)RatesInput'!$D$195:$I$281,3,0),0)),VLOOKUP($C105,'[1]A1.)RatesInput'!$B$195:$I$281,HLOOKUP(D$102,'[1]A1.)RatesInput'!$D$195:$I$281,3,0),0),0))</f>
        <v>13.37</v>
      </c>
      <c r="E105" s="846">
        <f>'12E.)TODL_RateDesign_SC12_II'!$H$9</f>
        <v>13.72</v>
      </c>
      <c r="F105" s="953">
        <f t="shared" si="3"/>
        <v>2.6178010471204383E-2</v>
      </c>
      <c r="G105" s="406"/>
      <c r="H105" s="645">
        <f>IF(ISNUMBER(VLOOKUP($C105,'[1]A1.)RatesInput'!$B$195:$L$281,HLOOKUP(H$102,'[1]A1.)RatesInput'!$D$195:$L$281,3,0),0)),VLOOKUP($C105,'[1]A1.)RatesInput'!$B$195:$L$281,HLOOKUP(H$102,'[1]A1.)RatesInput'!$D$195:$L$281,3,0),0),0)</f>
        <v>13.37</v>
      </c>
    </row>
    <row r="106" spans="2:8" x14ac:dyDescent="0.35">
      <c r="C106" s="406" t="s">
        <v>884</v>
      </c>
      <c r="D106" s="645">
        <f>IF('[1]A1.)RatesInput'!$P$99="Y",IF(ISNUMBER(VLOOKUP($C106,'[1]A1.)RatesInput'!$B$195:$Q$281,HLOOKUP(D$102,'[1]A1.)RatesInput'!$O$195:$Q$197,3,0),0)),VLOOKUP($C106,'[1]A1.)RatesInput'!$B$195:$Q$281,HLOOKUP(D$102,'[1]A1.)RatesInput'!$O$195:$Q$197,3,0),0),0),IF(ISNUMBER(VLOOKUP($C106,'[1]A1.)RatesInput'!$B$195:$I$281,HLOOKUP(D$102,'[1]A1.)RatesInput'!$D$195:$I$281,3,0),0)),VLOOKUP($C106,'[1]A1.)RatesInput'!$B$195:$I$281,HLOOKUP(D$102,'[1]A1.)RatesInput'!$D$195:$I$281,3,0),0),0))</f>
        <v>8.43</v>
      </c>
      <c r="E106" s="846">
        <f>'12E.)TODL_RateDesign_SC12_II'!$H$10</f>
        <v>8.65</v>
      </c>
      <c r="F106" s="953">
        <f t="shared" si="3"/>
        <v>2.609727164887321E-2</v>
      </c>
      <c r="G106" s="406"/>
      <c r="H106" s="645">
        <f>IF(ISNUMBER(VLOOKUP($C106,'[1]A1.)RatesInput'!$B$195:$L$281,HLOOKUP(H$102,'[1]A1.)RatesInput'!$D$195:$L$281,3,0),0)),VLOOKUP($C106,'[1]A1.)RatesInput'!$B$195:$L$281,HLOOKUP(H$102,'[1]A1.)RatesInput'!$D$195:$L$281,3,0),0),0)</f>
        <v>8.43</v>
      </c>
    </row>
    <row r="107" spans="2:8" x14ac:dyDescent="0.35">
      <c r="C107" s="406" t="s">
        <v>885</v>
      </c>
      <c r="D107" s="645">
        <f>IF('[1]A1.)RatesInput'!$P$99="Y",IF(ISNUMBER(VLOOKUP($C107,'[1]A1.)RatesInput'!$B$195:$Q$281,HLOOKUP(D$102,'[1]A1.)RatesInput'!$O$195:$Q$197,3,0),0)),VLOOKUP($C107,'[1]A1.)RatesInput'!$B$195:$Q$281,HLOOKUP(D$102,'[1]A1.)RatesInput'!$O$195:$Q$197,3,0),0),0),IF(ISNUMBER(VLOOKUP($C107,'[1]A1.)RatesInput'!$B$195:$I$281,HLOOKUP(D$102,'[1]A1.)RatesInput'!$D$195:$I$281,3,0),0)),VLOOKUP($C107,'[1]A1.)RatesInput'!$B$195:$I$281,HLOOKUP(D$102,'[1]A1.)RatesInput'!$D$195:$I$281,3,0),0),0))</f>
        <v>8.1399999999999988</v>
      </c>
      <c r="E107" s="846">
        <f>'12E.)TODL_RateDesign_SC12_II'!$H$11</f>
        <v>8.3500000000000014</v>
      </c>
      <c r="F107" s="953">
        <f t="shared" si="3"/>
        <v>2.579852579852604E-2</v>
      </c>
      <c r="G107" s="406"/>
      <c r="H107" s="645">
        <f>IF(ISNUMBER(VLOOKUP($C107,'[1]A1.)RatesInput'!$B$195:$L$281,HLOOKUP(H$102,'[1]A1.)RatesInput'!$D$195:$L$281,3,0),0)),VLOOKUP($C107,'[1]A1.)RatesInput'!$B$195:$L$281,HLOOKUP(H$102,'[1]A1.)RatesInput'!$D$195:$L$281,3,0),0),0)</f>
        <v>8.1399999999999988</v>
      </c>
    </row>
    <row r="108" spans="2:8" x14ac:dyDescent="0.35">
      <c r="C108" s="406" t="s">
        <v>886</v>
      </c>
      <c r="D108" s="645">
        <f>IF('[1]A1.)RatesInput'!$P$99="Y",IF(ISNUMBER(VLOOKUP($C108,'[1]A1.)RatesInput'!$B$195:$Q$281,HLOOKUP(D$102,'[1]A1.)RatesInput'!$O$195:$Q$197,3,0),0)),VLOOKUP($C108,'[1]A1.)RatesInput'!$B$195:$Q$281,HLOOKUP(D$102,'[1]A1.)RatesInput'!$O$195:$Q$197,3,0),0),0),IF(ISNUMBER(VLOOKUP($C108,'[1]A1.)RatesInput'!$B$195:$I$281,HLOOKUP(D$102,'[1]A1.)RatesInput'!$D$195:$I$281,3,0),0)),VLOOKUP($C108,'[1]A1.)RatesInput'!$B$195:$I$281,HLOOKUP(D$102,'[1]A1.)RatesInput'!$D$195:$I$281,3,0),0),0))</f>
        <v>20.93</v>
      </c>
      <c r="E108" s="846">
        <f>'12E.)TODL_RateDesign_SC12_II'!$H$12</f>
        <v>21.48</v>
      </c>
      <c r="F108" s="953">
        <f t="shared" si="3"/>
        <v>2.6278069756330735E-2</v>
      </c>
      <c r="G108" s="406"/>
      <c r="H108" s="645">
        <f>IF(ISNUMBER(VLOOKUP($C108,'[1]A1.)RatesInput'!$B$195:$L$281,HLOOKUP(H$102,'[1]A1.)RatesInput'!$D$195:$L$281,3,0),0)),VLOOKUP($C108,'[1]A1.)RatesInput'!$B$195:$L$281,HLOOKUP(H$102,'[1]A1.)RatesInput'!$D$195:$L$281,3,0),0),0)</f>
        <v>20.93</v>
      </c>
    </row>
    <row r="109" spans="2:8" x14ac:dyDescent="0.35">
      <c r="C109" s="406" t="s">
        <v>887</v>
      </c>
      <c r="D109" s="645">
        <f>IF('[1]A1.)RatesInput'!$P$99="Y",IF(ISNUMBER(VLOOKUP($C109,'[1]A1.)RatesInput'!$B$195:$Q$281,HLOOKUP(D$102,'[1]A1.)RatesInput'!$O$195:$Q$197,3,0),0)),VLOOKUP($C109,'[1]A1.)RatesInput'!$B$195:$Q$281,HLOOKUP(D$102,'[1]A1.)RatesInput'!$O$195:$Q$197,3,0),0),0),IF(ISNUMBER(VLOOKUP($C109,'[1]A1.)RatesInput'!$B$195:$I$281,HLOOKUP(D$102,'[1]A1.)RatesInput'!$D$195:$I$281,3,0),0)),VLOOKUP($C109,'[1]A1.)RatesInput'!$B$195:$I$281,HLOOKUP(D$102,'[1]A1.)RatesInput'!$D$195:$I$281,3,0),0),0))</f>
        <v>12.399999999999999</v>
      </c>
      <c r="E109" s="846">
        <f>'12E.)TODL_RateDesign_SC12_II'!$H$13</f>
        <v>12.72</v>
      </c>
      <c r="F109" s="953">
        <f t="shared" si="3"/>
        <v>2.5806451612903292E-2</v>
      </c>
      <c r="G109" s="406"/>
      <c r="H109" s="645">
        <f>IF(ISNUMBER(VLOOKUP($C109,'[1]A1.)RatesInput'!$B$195:$L$281,HLOOKUP(H$102,'[1]A1.)RatesInput'!$D$195:$L$281,3,0),0)),VLOOKUP($C109,'[1]A1.)RatesInput'!$B$195:$L$281,HLOOKUP(H$102,'[1]A1.)RatesInput'!$D$195:$L$281,3,0),0),0)</f>
        <v>12.399999999999999</v>
      </c>
    </row>
    <row r="110" spans="2:8" x14ac:dyDescent="0.35">
      <c r="C110" s="406" t="s">
        <v>647</v>
      </c>
      <c r="D110" s="645">
        <f>IF('[1]A1.)RatesInput'!$P$99="Y",IF(ISNUMBER(VLOOKUP($C110,'[1]A1.)RatesInput'!$B$195:$Q$281,HLOOKUP(D$102,'[1]A1.)RatesInput'!$O$195:$Q$197,3,0),0)),VLOOKUP($C110,'[1]A1.)RatesInput'!$B$195:$Q$281,HLOOKUP(D$102,'[1]A1.)RatesInput'!$O$195:$Q$197,3,0),0),0),IF(ISNUMBER(VLOOKUP($C110,'[1]A1.)RatesInput'!$B$195:$I$281,HLOOKUP(D$102,'[1]A1.)RatesInput'!$D$195:$I$281,3,0),0)),VLOOKUP($C110,'[1]A1.)RatesInput'!$B$195:$I$281,HLOOKUP(D$102,'[1]A1.)RatesInput'!$D$195:$I$281,3,0),0),0))</f>
        <v>7.9000000000000008E-3</v>
      </c>
      <c r="E110" s="846">
        <f>'12E.)TODL_RateDesign_SC12_II'!$H$14</f>
        <v>7.9000000000000008E-3</v>
      </c>
      <c r="F110" s="953">
        <f t="shared" si="3"/>
        <v>0</v>
      </c>
      <c r="G110" s="406"/>
      <c r="H110" s="645">
        <f>IF(ISNUMBER(VLOOKUP($C110,'[1]A1.)RatesInput'!$B$195:$L$281,HLOOKUP(H$102,'[1]A1.)RatesInput'!$D$195:$L$281,3,0),0)),VLOOKUP($C110,'[1]A1.)RatesInput'!$B$195:$L$281,HLOOKUP(H$102,'[1]A1.)RatesInput'!$D$195:$L$281,3,0),0),0)</f>
        <v>7.9000000000000008E-3</v>
      </c>
    </row>
    <row r="111" spans="2:8" x14ac:dyDescent="0.35">
      <c r="C111" s="406" t="s">
        <v>648</v>
      </c>
      <c r="D111" s="645">
        <f>IF('[1]A1.)RatesInput'!$P$99="Y",IF(ISNUMBER(VLOOKUP($C111,'[1]A1.)RatesInput'!$B$195:$Q$281,HLOOKUP(D$102,'[1]A1.)RatesInput'!$O$195:$Q$197,3,0),0)),VLOOKUP($C111,'[1]A1.)RatesInput'!$B$195:$Q$281,HLOOKUP(D$102,'[1]A1.)RatesInput'!$O$195:$Q$197,3,0),0),0),IF(ISNUMBER(VLOOKUP($C111,'[1]A1.)RatesInput'!$B$195:$I$281,HLOOKUP(D$102,'[1]A1.)RatesInput'!$D$195:$I$281,3,0),0)),VLOOKUP($C111,'[1]A1.)RatesInput'!$B$195:$I$281,HLOOKUP(D$102,'[1]A1.)RatesInput'!$D$195:$I$281,3,0),0),0))</f>
        <v>7.9000000000000008E-3</v>
      </c>
      <c r="E111" s="846">
        <f>'12E.)TODL_RateDesign_SC12_II'!$H$15</f>
        <v>7.9000000000000008E-3</v>
      </c>
      <c r="F111" s="953">
        <f t="shared" si="3"/>
        <v>0</v>
      </c>
      <c r="G111" s="406"/>
      <c r="H111" s="645">
        <f>IF(ISNUMBER(VLOOKUP($C111,'[1]A1.)RatesInput'!$B$195:$L$281,HLOOKUP(H$102,'[1]A1.)RatesInput'!$D$195:$L$281,3,0),0)),VLOOKUP($C111,'[1]A1.)RatesInput'!$B$195:$L$281,HLOOKUP(H$102,'[1]A1.)RatesInput'!$D$195:$L$281,3,0),0),0)</f>
        <v>7.9000000000000008E-3</v>
      </c>
    </row>
    <row r="112" spans="2:8" x14ac:dyDescent="0.35">
      <c r="C112" s="406" t="s">
        <v>649</v>
      </c>
      <c r="D112" s="645">
        <f>IF('[1]A1.)RatesInput'!$P$99="Y",IF(ISNUMBER(VLOOKUP($C112,'[1]A1.)RatesInput'!$B$195:$Q$281,HLOOKUP(D$102,'[1]A1.)RatesInput'!$O$195:$Q$197,3,0),0)),VLOOKUP($C112,'[1]A1.)RatesInput'!$B$195:$Q$281,HLOOKUP(D$102,'[1]A1.)RatesInput'!$O$195:$Q$197,3,0),0),0),IF(ISNUMBER(VLOOKUP($C112,'[1]A1.)RatesInput'!$B$195:$I$281,HLOOKUP(D$102,'[1]A1.)RatesInput'!$D$195:$I$281,3,0),0)),VLOOKUP($C112,'[1]A1.)RatesInput'!$B$195:$I$281,HLOOKUP(D$102,'[1]A1.)RatesInput'!$D$195:$I$281,3,0),0),0))</f>
        <v>7.9000000000000008E-3</v>
      </c>
      <c r="E112" s="846">
        <f>'12E.)TODL_RateDesign_SC12_II'!$H$16</f>
        <v>7.9000000000000008E-3</v>
      </c>
      <c r="F112" s="953">
        <f t="shared" si="3"/>
        <v>0</v>
      </c>
      <c r="G112" s="406"/>
      <c r="H112" s="645">
        <f>IF(ISNUMBER(VLOOKUP($C112,'[1]A1.)RatesInput'!$B$195:$L$281,HLOOKUP(H$102,'[1]A1.)RatesInput'!$D$195:$L$281,3,0),0)),VLOOKUP($C112,'[1]A1.)RatesInput'!$B$195:$L$281,HLOOKUP(H$102,'[1]A1.)RatesInput'!$D$195:$L$281,3,0),0),0)</f>
        <v>7.9000000000000008E-3</v>
      </c>
    </row>
    <row r="113" spans="3:8" x14ac:dyDescent="0.35">
      <c r="C113" s="406" t="s">
        <v>650</v>
      </c>
      <c r="D113" s="645">
        <f>IF('[1]A1.)RatesInput'!$P$99="Y",IF(ISNUMBER(VLOOKUP($C113,'[1]A1.)RatesInput'!$B$195:$Q$281,HLOOKUP(D$102,'[1]A1.)RatesInput'!$O$195:$Q$197,3,0),0)),VLOOKUP($C113,'[1]A1.)RatesInput'!$B$195:$Q$281,HLOOKUP(D$102,'[1]A1.)RatesInput'!$O$195:$Q$197,3,0),0),0),IF(ISNUMBER(VLOOKUP($C113,'[1]A1.)RatesInput'!$B$195:$I$281,HLOOKUP(D$102,'[1]A1.)RatesInput'!$D$195:$I$281,3,0),0)),VLOOKUP($C113,'[1]A1.)RatesInput'!$B$195:$I$281,HLOOKUP(D$102,'[1]A1.)RatesInput'!$D$195:$I$281,3,0),0),0))</f>
        <v>7.9000000000000008E-3</v>
      </c>
      <c r="E113" s="846">
        <f>'12E.)TODL_RateDesign_SC12_II'!$H$17</f>
        <v>7.9000000000000008E-3</v>
      </c>
      <c r="F113" s="953">
        <f t="shared" si="3"/>
        <v>0</v>
      </c>
      <c r="G113" s="406"/>
      <c r="H113" s="645">
        <f>IF(ISNUMBER(VLOOKUP($C113,'[1]A1.)RatesInput'!$B$195:$L$281,HLOOKUP(H$102,'[1]A1.)RatesInput'!$D$195:$L$281,3,0),0)),VLOOKUP($C113,'[1]A1.)RatesInput'!$B$195:$L$281,HLOOKUP(H$102,'[1]A1.)RatesInput'!$D$195:$L$281,3,0),0),0)</f>
        <v>7.9000000000000008E-3</v>
      </c>
    </row>
    <row r="114" spans="3:8" x14ac:dyDescent="0.35">
      <c r="C114" s="406" t="s">
        <v>651</v>
      </c>
      <c r="D114" s="645">
        <f>IF('[1]A1.)RatesInput'!$P$99="Y",IF(ISNUMBER(VLOOKUP($C114,'[1]A1.)RatesInput'!$B$195:$Q$281,HLOOKUP(D$102,'[1]A1.)RatesInput'!$O$195:$Q$197,3,0),0)),VLOOKUP($C114,'[1]A1.)RatesInput'!$B$195:$Q$281,HLOOKUP(D$102,'[1]A1.)RatesInput'!$O$195:$Q$197,3,0),0),0),IF(ISNUMBER(VLOOKUP($C114,'[1]A1.)RatesInput'!$B$195:$I$281,HLOOKUP(D$102,'[1]A1.)RatesInput'!$D$195:$I$281,3,0),0)),VLOOKUP($C114,'[1]A1.)RatesInput'!$B$195:$I$281,HLOOKUP(D$102,'[1]A1.)RatesInput'!$D$195:$I$281,3,0),0),0))</f>
        <v>7.9000000000000008E-3</v>
      </c>
      <c r="E114" s="846">
        <f>'12E.)TODL_RateDesign_SC12_II'!$H$18</f>
        <v>7.9000000000000008E-3</v>
      </c>
      <c r="F114" s="953">
        <f t="shared" si="3"/>
        <v>0</v>
      </c>
      <c r="G114" s="406"/>
      <c r="H114" s="645">
        <f>IF(ISNUMBER(VLOOKUP($C114,'[1]A1.)RatesInput'!$B$195:$L$281,HLOOKUP(H$102,'[1]A1.)RatesInput'!$D$195:$L$281,3,0),0)),VLOOKUP($C114,'[1]A1.)RatesInput'!$B$195:$L$281,HLOOKUP(H$102,'[1]A1.)RatesInput'!$D$195:$L$281,3,0),0),0)</f>
        <v>7.9000000000000008E-3</v>
      </c>
    </row>
    <row r="115" spans="3:8" x14ac:dyDescent="0.35">
      <c r="C115" s="406" t="s">
        <v>652</v>
      </c>
      <c r="D115" s="645">
        <f>IF('[1]A1.)RatesInput'!$P$99="Y",IF(ISNUMBER(VLOOKUP($C115,'[1]A1.)RatesInput'!$B$195:$Q$281,HLOOKUP(D$102,'[1]A1.)RatesInput'!$O$195:$Q$197,3,0),0)),VLOOKUP($C115,'[1]A1.)RatesInput'!$B$195:$Q$281,HLOOKUP(D$102,'[1]A1.)RatesInput'!$O$195:$Q$197,3,0),0),0),IF(ISNUMBER(VLOOKUP($C115,'[1]A1.)RatesInput'!$B$195:$I$281,HLOOKUP(D$102,'[1]A1.)RatesInput'!$D$195:$I$281,3,0),0)),VLOOKUP($C115,'[1]A1.)RatesInput'!$B$195:$I$281,HLOOKUP(D$102,'[1]A1.)RatesInput'!$D$195:$I$281,3,0),0),0))</f>
        <v>7.9000000000000008E-3</v>
      </c>
      <c r="E115" s="846">
        <f>'12E.)TODL_RateDesign_SC12_II'!$H$19</f>
        <v>7.9000000000000008E-3</v>
      </c>
      <c r="F115" s="953">
        <f t="shared" si="3"/>
        <v>0</v>
      </c>
      <c r="G115" s="406"/>
      <c r="H115" s="645">
        <f>IF(ISNUMBER(VLOOKUP($C115,'[1]A1.)RatesInput'!$B$195:$L$281,HLOOKUP(H$102,'[1]A1.)RatesInput'!$D$195:$L$281,3,0),0)),VLOOKUP($C115,'[1]A1.)RatesInput'!$B$195:$L$281,HLOOKUP(H$102,'[1]A1.)RatesInput'!$D$195:$L$281,3,0),0),0)</f>
        <v>7.9000000000000008E-3</v>
      </c>
    </row>
    <row r="116" spans="3:8" x14ac:dyDescent="0.35">
      <c r="C116" s="406" t="s">
        <v>653</v>
      </c>
      <c r="D116" s="645">
        <f>IF('[1]A1.)RatesInput'!$P$99="Y",IF(ISNUMBER(VLOOKUP($C116,'[1]A1.)RatesInput'!$B$195:$Q$281,HLOOKUP(D$102,'[1]A1.)RatesInput'!$O$195:$Q$197,3,0),0)),VLOOKUP($C116,'[1]A1.)RatesInput'!$B$195:$Q$281,HLOOKUP(D$102,'[1]A1.)RatesInput'!$O$195:$Q$197,3,0),0),0),IF(ISNUMBER(VLOOKUP($C116,'[1]A1.)RatesInput'!$B$195:$I$281,HLOOKUP(D$102,'[1]A1.)RatesInput'!$D$195:$I$281,3,0),0)),VLOOKUP($C116,'[1]A1.)RatesInput'!$B$195:$I$281,HLOOKUP(D$102,'[1]A1.)RatesInput'!$D$195:$I$281,3,0),0),0))</f>
        <v>7.9000000000000008E-3</v>
      </c>
      <c r="E116" s="846">
        <f>'12E.)TODL_RateDesign_SC12_II'!$H$20</f>
        <v>7.9000000000000008E-3</v>
      </c>
      <c r="F116" s="953">
        <f t="shared" si="3"/>
        <v>0</v>
      </c>
      <c r="G116" s="406"/>
      <c r="H116" s="645">
        <f>IF(ISNUMBER(VLOOKUP($C116,'[1]A1.)RatesInput'!$B$195:$L$281,HLOOKUP(H$102,'[1]A1.)RatesInput'!$D$195:$L$281,3,0),0)),VLOOKUP($C116,'[1]A1.)RatesInput'!$B$195:$L$281,HLOOKUP(H$102,'[1]A1.)RatesInput'!$D$195:$L$281,3,0),0),0)</f>
        <v>7.9000000000000008E-3</v>
      </c>
    </row>
    <row r="117" spans="3:8" x14ac:dyDescent="0.35">
      <c r="C117" s="406" t="s">
        <v>654</v>
      </c>
      <c r="D117" s="644">
        <f>IF('[1]A1.)RatesInput'!$P$99="Y",IF(ISNUMBER(VLOOKUP($C117,'[1]A1.)RatesInput'!$B$195:$Q$281,HLOOKUP(D$102,'[1]A1.)RatesInput'!$O$195:$Q$197,3,0),0)),VLOOKUP($C117,'[1]A1.)RatesInput'!$B$195:$Q$281,HLOOKUP(D$102,'[1]A1.)RatesInput'!$O$195:$Q$197,3,0),0),0),IF(ISNUMBER(VLOOKUP($C117,'[1]A1.)RatesInput'!$B$195:$I$281,HLOOKUP(D$102,'[1]A1.)RatesInput'!$D$195:$I$281,3,0),0)),VLOOKUP($C117,'[1]A1.)RatesInput'!$B$195:$I$281,HLOOKUP(D$102,'[1]A1.)RatesInput'!$D$195:$I$281,3,0),0),0))</f>
        <v>7.9000000000000008E-3</v>
      </c>
      <c r="E117" s="847">
        <f>'12E.)TODL_RateDesign_SC12_II'!$H$21</f>
        <v>7.9000000000000008E-3</v>
      </c>
      <c r="F117" s="954">
        <f t="shared" si="3"/>
        <v>0</v>
      </c>
      <c r="G117" s="406"/>
      <c r="H117" s="644">
        <f>IF(ISNUMBER(VLOOKUP($C117,'[1]A1.)RatesInput'!$B$195:$L$281,HLOOKUP(H$102,'[1]A1.)RatesInput'!$D$195:$L$281,3,0),0)),VLOOKUP($C117,'[1]A1.)RatesInput'!$B$195:$L$281,HLOOKUP(H$102,'[1]A1.)RatesInput'!$D$195:$L$281,3,0),0),0)</f>
        <v>7.9000000000000008E-3</v>
      </c>
    </row>
    <row r="118" spans="3:8" x14ac:dyDescent="0.35">
      <c r="C118" s="464" t="s">
        <v>2236</v>
      </c>
      <c r="E118" s="530">
        <f>'12E.)TODL_RateDesign_SC12_II'!H24</f>
        <v>143.09</v>
      </c>
    </row>
    <row r="120" spans="3:8" hidden="1" x14ac:dyDescent="0.35"/>
    <row r="121" spans="3:8" x14ac:dyDescent="0.35">
      <c r="C121" s="772" t="s">
        <v>1147</v>
      </c>
      <c r="D121" s="408" t="s">
        <v>1148</v>
      </c>
      <c r="E121" s="408" t="s">
        <v>521</v>
      </c>
      <c r="F121" s="955"/>
      <c r="G121" s="406"/>
    </row>
    <row r="122" spans="3:8" x14ac:dyDescent="0.35">
      <c r="C122" s="406" t="s">
        <v>1152</v>
      </c>
      <c r="E122" s="956">
        <f>'12E.)TODL_RateDesign_SC12_II'!M191</f>
        <v>11745113</v>
      </c>
      <c r="F122" s="955"/>
      <c r="G122" s="406"/>
    </row>
    <row r="123" spans="3:8" x14ac:dyDescent="0.35">
      <c r="C123" s="406" t="s">
        <v>45</v>
      </c>
      <c r="E123" s="956">
        <f>'12E.)TODL_RateDesign_SC12_II'!M192</f>
        <v>1444702</v>
      </c>
      <c r="F123" s="955"/>
      <c r="G123" s="406"/>
    </row>
    <row r="124" spans="3:8" x14ac:dyDescent="0.35">
      <c r="C124" s="406" t="s">
        <v>758</v>
      </c>
      <c r="E124" s="957">
        <f>E122+E123</f>
        <v>13189815</v>
      </c>
      <c r="F124" s="955"/>
      <c r="G124" s="406"/>
    </row>
    <row r="125" spans="3:8" ht="15" thickBot="1" x14ac:dyDescent="0.4">
      <c r="C125" s="406"/>
      <c r="E125" s="962"/>
      <c r="F125" s="955"/>
      <c r="G125" s="406"/>
    </row>
    <row r="126" spans="3:8" ht="15.5" thickTop="1" thickBot="1" x14ac:dyDescent="0.4">
      <c r="C126" s="406" t="s">
        <v>752</v>
      </c>
      <c r="D126" s="440">
        <f>'12E.)TODL_RateDesign_SC12_II'!$M$203</f>
        <v>13189403</v>
      </c>
      <c r="E126" s="440">
        <f>E124</f>
        <v>13189815</v>
      </c>
      <c r="F126" s="959">
        <f>IF(ISNUMBER(E126/D126-1),E126/D126-1,"")</f>
        <v>3.1237198529820986E-5</v>
      </c>
      <c r="G126" s="406"/>
    </row>
    <row r="127" spans="3:8" ht="15" thickTop="1" x14ac:dyDescent="0.35">
      <c r="C127" s="406"/>
      <c r="E127" s="406"/>
      <c r="F127" s="955"/>
      <c r="G127" s="406"/>
    </row>
    <row r="128" spans="3:8" ht="15" thickBot="1" x14ac:dyDescent="0.4"/>
    <row r="129" spans="2:8" ht="15" thickBot="1" x14ac:dyDescent="0.4">
      <c r="B129" s="131" t="s">
        <v>549</v>
      </c>
      <c r="C129" s="435" t="s">
        <v>529</v>
      </c>
      <c r="D129" s="1217" t="str">
        <f>'12F.)TODL_RateDesign_SC13_II'!$A$4</f>
        <v>SC13 Rate II</v>
      </c>
      <c r="E129" s="436"/>
    </row>
    <row r="130" spans="2:8" x14ac:dyDescent="0.35">
      <c r="C130" s="435" t="s">
        <v>528</v>
      </c>
      <c r="D130" s="407" t="s">
        <v>871</v>
      </c>
    </row>
    <row r="132" spans="2:8" x14ac:dyDescent="0.35">
      <c r="C132" s="857" t="s">
        <v>527</v>
      </c>
      <c r="D132" s="960" t="str">
        <f>D$9</f>
        <v>Current(RY1)</v>
      </c>
      <c r="E132" s="960" t="str">
        <f>E$9</f>
        <v>Proposed</v>
      </c>
      <c r="F132" s="960" t="s">
        <v>526</v>
      </c>
      <c r="G132" s="406"/>
      <c r="H132" s="960">
        <f>H$9</f>
        <v>2019</v>
      </c>
    </row>
    <row r="133" spans="2:8" x14ac:dyDescent="0.35">
      <c r="C133" s="406"/>
      <c r="D133" s="577"/>
      <c r="E133" s="577" t="str">
        <f>E$10</f>
        <v>Year 1</v>
      </c>
      <c r="F133" s="955"/>
      <c r="G133" s="406"/>
      <c r="H133" s="577" t="str">
        <f>H$10</f>
        <v>(Currnet - Original)</v>
      </c>
    </row>
    <row r="134" spans="2:8" x14ac:dyDescent="0.35">
      <c r="C134" s="406" t="s">
        <v>927</v>
      </c>
      <c r="D134" s="643">
        <f>IF('[1]A1.)RatesInput'!$P$99="Y",IF(ISNUMBER(VLOOKUP($C134,'[1]A1.)RatesInput'!$B$195:$Q$281,HLOOKUP(D$132,'[1]A1.)RatesInput'!$O$195:$Q$197,3,0),0)),VLOOKUP($C134,'[1]A1.)RatesInput'!$B$195:$Q$281,HLOOKUP(D$132,'[1]A1.)RatesInput'!$O$195:$Q$197,3,0),0),0),IF(ISNUMBER(VLOOKUP($C134,'[1]A1.)RatesInput'!$B$195:$I$281,HLOOKUP(D$132,'[1]A1.)RatesInput'!$D$195:$I$281,3,0),0)),VLOOKUP($C134,'[1]A1.)RatesInput'!$B$195:$I$281,HLOOKUP(D$132,'[1]A1.)RatesInput'!$D$195:$I$281,3,0),0),0))</f>
        <v>0</v>
      </c>
      <c r="E134" s="848">
        <f>'12F.)TODL_RateDesign_SC13_II'!$H$8</f>
        <v>0</v>
      </c>
      <c r="F134" s="952" t="str">
        <f t="shared" ref="F134:F147" si="4">IF(ISNUMBER(E134/D134-1),E134/D134-1,"")</f>
        <v/>
      </c>
      <c r="G134" s="406"/>
      <c r="H134" s="572">
        <f>IF(ISNUMBER(VLOOKUP($C134,'[1]A1.)RatesInput'!$B$195:$L$281,HLOOKUP(H$132,'[1]A1.)RatesInput'!$D$195:$L$281,3,0),0)),VLOOKUP($C134,'[1]A1.)RatesInput'!$B$195:$L$281,HLOOKUP(H$132,'[1]A1.)RatesInput'!$D$195:$L$281,3,0),0),0)</f>
        <v>0</v>
      </c>
    </row>
    <row r="135" spans="2:8" x14ac:dyDescent="0.35">
      <c r="C135" s="406" t="s">
        <v>928</v>
      </c>
      <c r="D135" s="645">
        <f>IF('[1]A1.)RatesInput'!$P$99="Y",IF(ISNUMBER(VLOOKUP($C135,'[1]A1.)RatesInput'!$B$195:$Q$281,HLOOKUP(D$132,'[1]A1.)RatesInput'!$O$195:$Q$197,3,0),0)),VLOOKUP($C135,'[1]A1.)RatesInput'!$B$195:$Q$281,HLOOKUP(D$132,'[1]A1.)RatesInput'!$O$195:$Q$197,3,0),0),0),IF(ISNUMBER(VLOOKUP($C135,'[1]A1.)RatesInput'!$B$195:$I$281,HLOOKUP(D$132,'[1]A1.)RatesInput'!$D$195:$I$281,3,0),0)),VLOOKUP($C135,'[1]A1.)RatesInput'!$B$195:$I$281,HLOOKUP(D$132,'[1]A1.)RatesInput'!$D$195:$I$281,3,0),0),0))</f>
        <v>8.08</v>
      </c>
      <c r="E135" s="846">
        <f>'12F.)TODL_RateDesign_SC13_II'!$H$9</f>
        <v>8.2899999999999991</v>
      </c>
      <c r="F135" s="953">
        <f t="shared" si="4"/>
        <v>2.5990099009900902E-2</v>
      </c>
      <c r="G135" s="406"/>
      <c r="H135" s="645">
        <f>IF(ISNUMBER(VLOOKUP($C135,'[1]A1.)RatesInput'!$B$195:$L$281,HLOOKUP(H$132,'[1]A1.)RatesInput'!$D$195:$L$281,3,0),0)),VLOOKUP($C135,'[1]A1.)RatesInput'!$B$195:$L$281,HLOOKUP(H$132,'[1]A1.)RatesInput'!$D$195:$L$281,3,0),0),0)</f>
        <v>8.08</v>
      </c>
    </row>
    <row r="136" spans="2:8" x14ac:dyDescent="0.35">
      <c r="C136" s="406" t="s">
        <v>929</v>
      </c>
      <c r="D136" s="645">
        <f>IF('[1]A1.)RatesInput'!$P$99="Y",IF(ISNUMBER(VLOOKUP($C136,'[1]A1.)RatesInput'!$B$195:$Q$281,HLOOKUP(D$132,'[1]A1.)RatesInput'!$O$195:$Q$197,3,0),0)),VLOOKUP($C136,'[1]A1.)RatesInput'!$B$195:$Q$281,HLOOKUP(D$132,'[1]A1.)RatesInput'!$O$195:$Q$197,3,0),0),0),IF(ISNUMBER(VLOOKUP($C136,'[1]A1.)RatesInput'!$B$195:$I$281,HLOOKUP(D$132,'[1]A1.)RatesInput'!$D$195:$I$281,3,0),0)),VLOOKUP($C136,'[1]A1.)RatesInput'!$B$195:$I$281,HLOOKUP(D$132,'[1]A1.)RatesInput'!$D$195:$I$281,3,0),0),0))</f>
        <v>0</v>
      </c>
      <c r="E136" s="846">
        <f>'12F.)TODL_RateDesign_SC13_II'!$H$10</f>
        <v>0</v>
      </c>
      <c r="F136" s="953" t="str">
        <f t="shared" si="4"/>
        <v/>
      </c>
      <c r="G136" s="406"/>
      <c r="H136" s="645">
        <f>IF(ISNUMBER(VLOOKUP($C136,'[1]A1.)RatesInput'!$B$195:$L$281,HLOOKUP(H$132,'[1]A1.)RatesInput'!$D$195:$L$281,3,0),0)),VLOOKUP($C136,'[1]A1.)RatesInput'!$B$195:$L$281,HLOOKUP(H$132,'[1]A1.)RatesInput'!$D$195:$L$281,3,0),0),0)</f>
        <v>0</v>
      </c>
    </row>
    <row r="137" spans="2:8" x14ac:dyDescent="0.35">
      <c r="C137" s="406" t="s">
        <v>930</v>
      </c>
      <c r="D137" s="645">
        <f>IF('[1]A1.)RatesInput'!$P$99="Y",IF(ISNUMBER(VLOOKUP($C137,'[1]A1.)RatesInput'!$B$195:$Q$281,HLOOKUP(D$132,'[1]A1.)RatesInput'!$O$195:$Q$197,3,0),0)),VLOOKUP($C137,'[1]A1.)RatesInput'!$B$195:$Q$281,HLOOKUP(D$132,'[1]A1.)RatesInput'!$O$195:$Q$197,3,0),0),0),IF(ISNUMBER(VLOOKUP($C137,'[1]A1.)RatesInput'!$B$195:$I$281,HLOOKUP(D$132,'[1]A1.)RatesInput'!$D$195:$I$281,3,0),0)),VLOOKUP($C137,'[1]A1.)RatesInput'!$B$195:$I$281,HLOOKUP(D$132,'[1]A1.)RatesInput'!$D$195:$I$281,3,0),0),0))</f>
        <v>5.87</v>
      </c>
      <c r="E137" s="846">
        <f>'12F.)TODL_RateDesign_SC13_II'!$H$11</f>
        <v>6.02</v>
      </c>
      <c r="F137" s="953">
        <f t="shared" si="4"/>
        <v>2.5553662691652379E-2</v>
      </c>
      <c r="G137" s="406"/>
      <c r="H137" s="645">
        <f>IF(ISNUMBER(VLOOKUP($C137,'[1]A1.)RatesInput'!$B$195:$L$281,HLOOKUP(H$132,'[1]A1.)RatesInput'!$D$195:$L$281,3,0),0)),VLOOKUP($C137,'[1]A1.)RatesInput'!$B$195:$L$281,HLOOKUP(H$132,'[1]A1.)RatesInput'!$D$195:$L$281,3,0),0),0)</f>
        <v>5.87</v>
      </c>
    </row>
    <row r="138" spans="2:8" x14ac:dyDescent="0.35">
      <c r="C138" s="406" t="s">
        <v>931</v>
      </c>
      <c r="D138" s="645">
        <f>IF('[1]A1.)RatesInput'!$P$99="Y",IF(ISNUMBER(VLOOKUP($C138,'[1]A1.)RatesInput'!$B$195:$Q$281,HLOOKUP(D$132,'[1]A1.)RatesInput'!$O$195:$Q$197,3,0),0)),VLOOKUP($C138,'[1]A1.)RatesInput'!$B$195:$Q$281,HLOOKUP(D$132,'[1]A1.)RatesInput'!$O$195:$Q$197,3,0),0),0),IF(ISNUMBER(VLOOKUP($C138,'[1]A1.)RatesInput'!$B$195:$I$281,HLOOKUP(D$132,'[1]A1.)RatesInput'!$D$195:$I$281,3,0),0)),VLOOKUP($C138,'[1]A1.)RatesInput'!$B$195:$I$281,HLOOKUP(D$132,'[1]A1.)RatesInput'!$D$195:$I$281,3,0),0),0))</f>
        <v>13.129999999999999</v>
      </c>
      <c r="E138" s="846">
        <f>'12F.)TODL_RateDesign_SC13_II'!$H$12</f>
        <v>13.469999999999999</v>
      </c>
      <c r="F138" s="953">
        <f t="shared" si="4"/>
        <v>2.5894897182025867E-2</v>
      </c>
      <c r="G138" s="406"/>
      <c r="H138" s="645">
        <f>IF(ISNUMBER(VLOOKUP($C138,'[1]A1.)RatesInput'!$B$195:$L$281,HLOOKUP(H$132,'[1]A1.)RatesInput'!$D$195:$L$281,3,0),0)),VLOOKUP($C138,'[1]A1.)RatesInput'!$B$195:$L$281,HLOOKUP(H$132,'[1]A1.)RatesInput'!$D$195:$L$281,3,0),0),0)</f>
        <v>13.129999999999999</v>
      </c>
    </row>
    <row r="139" spans="2:8" x14ac:dyDescent="0.35">
      <c r="C139" s="406" t="s">
        <v>926</v>
      </c>
      <c r="D139" s="645">
        <f>IF('[1]A1.)RatesInput'!$P$99="Y",IF(ISNUMBER(VLOOKUP($C139,'[1]A1.)RatesInput'!$B$195:$Q$281,HLOOKUP(D$132,'[1]A1.)RatesInput'!$O$195:$Q$197,3,0),0)),VLOOKUP($C139,'[1]A1.)RatesInput'!$B$195:$Q$281,HLOOKUP(D$132,'[1]A1.)RatesInput'!$O$195:$Q$197,3,0),0),0),IF(ISNUMBER(VLOOKUP($C139,'[1]A1.)RatesInput'!$B$195:$I$281,HLOOKUP(D$132,'[1]A1.)RatesInput'!$D$195:$I$281,3,0),0)),VLOOKUP($C139,'[1]A1.)RatesInput'!$B$195:$I$281,HLOOKUP(D$132,'[1]A1.)RatesInput'!$D$195:$I$281,3,0),0),0))</f>
        <v>0</v>
      </c>
      <c r="E139" s="846">
        <f>'12F.)TODL_RateDesign_SC13_II'!$H$13</f>
        <v>0</v>
      </c>
      <c r="F139" s="953" t="str">
        <f t="shared" si="4"/>
        <v/>
      </c>
      <c r="G139" s="406"/>
      <c r="H139" s="645">
        <f>IF(ISNUMBER(VLOOKUP($C139,'[1]A1.)RatesInput'!$B$195:$L$281,HLOOKUP(H$132,'[1]A1.)RatesInput'!$D$195:$L$281,3,0),0)),VLOOKUP($C139,'[1]A1.)RatesInput'!$B$195:$L$281,HLOOKUP(H$132,'[1]A1.)RatesInput'!$D$195:$L$281,3,0),0),0)</f>
        <v>0</v>
      </c>
    </row>
    <row r="140" spans="2:8" x14ac:dyDescent="0.35">
      <c r="C140" s="406" t="s">
        <v>647</v>
      </c>
      <c r="D140" s="645">
        <f>IF('[1]A1.)RatesInput'!$P$99="Y",IF(ISNUMBER(VLOOKUP($C140,'[1]A1.)RatesInput'!$B$195:$Q$281,HLOOKUP(D$132,'[1]A1.)RatesInput'!$O$195:$Q$197,3,0),0)),VLOOKUP($C140,'[1]A1.)RatesInput'!$B$195:$Q$281,HLOOKUP(D$132,'[1]A1.)RatesInput'!$O$195:$Q$197,3,0),0),0),IF(ISNUMBER(VLOOKUP($C140,'[1]A1.)RatesInput'!$B$195:$I$281,HLOOKUP(D$132,'[1]A1.)RatesInput'!$D$195:$I$281,3,0),0)),VLOOKUP($C140,'[1]A1.)RatesInput'!$B$195:$I$281,HLOOKUP(D$132,'[1]A1.)RatesInput'!$D$195:$I$281,3,0),0),0))</f>
        <v>7.9000000000000008E-3</v>
      </c>
      <c r="E140" s="846">
        <f>'12F.)TODL_RateDesign_SC13_II'!$H$14</f>
        <v>7.9000000000000008E-3</v>
      </c>
      <c r="F140" s="953">
        <f t="shared" si="4"/>
        <v>0</v>
      </c>
      <c r="G140" s="406"/>
      <c r="H140" s="645">
        <f>IF(ISNUMBER(VLOOKUP($C140,'[1]A1.)RatesInput'!$B$195:$L$281,HLOOKUP(H$132,'[1]A1.)RatesInput'!$D$195:$L$281,3,0),0)),VLOOKUP($C140,'[1]A1.)RatesInput'!$B$195:$L$281,HLOOKUP(H$132,'[1]A1.)RatesInput'!$D$195:$L$281,3,0),0),0)</f>
        <v>7.9000000000000008E-3</v>
      </c>
    </row>
    <row r="141" spans="2:8" x14ac:dyDescent="0.35">
      <c r="C141" s="406" t="s">
        <v>648</v>
      </c>
      <c r="D141" s="645">
        <f>IF('[1]A1.)RatesInput'!$P$99="Y",IF(ISNUMBER(VLOOKUP($C141,'[1]A1.)RatesInput'!$B$195:$Q$281,HLOOKUP(D$132,'[1]A1.)RatesInput'!$O$195:$Q$197,3,0),0)),VLOOKUP($C141,'[1]A1.)RatesInput'!$B$195:$Q$281,HLOOKUP(D$132,'[1]A1.)RatesInput'!$O$195:$Q$197,3,0),0),0),IF(ISNUMBER(VLOOKUP($C141,'[1]A1.)RatesInput'!$B$195:$I$281,HLOOKUP(D$132,'[1]A1.)RatesInput'!$D$195:$I$281,3,0),0)),VLOOKUP($C141,'[1]A1.)RatesInput'!$B$195:$I$281,HLOOKUP(D$132,'[1]A1.)RatesInput'!$D$195:$I$281,3,0),0),0))</f>
        <v>7.9000000000000008E-3</v>
      </c>
      <c r="E141" s="846">
        <f>'12F.)TODL_RateDesign_SC13_II'!$H$15</f>
        <v>7.9000000000000008E-3</v>
      </c>
      <c r="F141" s="953">
        <f t="shared" si="4"/>
        <v>0</v>
      </c>
      <c r="G141" s="406"/>
      <c r="H141" s="645">
        <f>IF(ISNUMBER(VLOOKUP($C141,'[1]A1.)RatesInput'!$B$195:$L$281,HLOOKUP(H$132,'[1]A1.)RatesInput'!$D$195:$L$281,3,0),0)),VLOOKUP($C141,'[1]A1.)RatesInput'!$B$195:$L$281,HLOOKUP(H$132,'[1]A1.)RatesInput'!$D$195:$L$281,3,0),0),0)</f>
        <v>7.9000000000000008E-3</v>
      </c>
    </row>
    <row r="142" spans="2:8" x14ac:dyDescent="0.35">
      <c r="C142" s="406" t="s">
        <v>649</v>
      </c>
      <c r="D142" s="645">
        <f>IF('[1]A1.)RatesInput'!$P$99="Y",IF(ISNUMBER(VLOOKUP($C142,'[1]A1.)RatesInput'!$B$195:$Q$281,HLOOKUP(D$132,'[1]A1.)RatesInput'!$O$195:$Q$197,3,0),0)),VLOOKUP($C142,'[1]A1.)RatesInput'!$B$195:$Q$281,HLOOKUP(D$132,'[1]A1.)RatesInput'!$O$195:$Q$197,3,0),0),0),IF(ISNUMBER(VLOOKUP($C142,'[1]A1.)RatesInput'!$B$195:$I$281,HLOOKUP(D$132,'[1]A1.)RatesInput'!$D$195:$I$281,3,0),0)),VLOOKUP($C142,'[1]A1.)RatesInput'!$B$195:$I$281,HLOOKUP(D$132,'[1]A1.)RatesInput'!$D$195:$I$281,3,0),0),0))</f>
        <v>7.9000000000000008E-3</v>
      </c>
      <c r="E142" s="846">
        <f>'12F.)TODL_RateDesign_SC13_II'!$H$16</f>
        <v>7.9000000000000008E-3</v>
      </c>
      <c r="F142" s="953">
        <f t="shared" si="4"/>
        <v>0</v>
      </c>
      <c r="G142" s="406"/>
      <c r="H142" s="645">
        <f>IF(ISNUMBER(VLOOKUP($C142,'[1]A1.)RatesInput'!$B$195:$L$281,HLOOKUP(H$132,'[1]A1.)RatesInput'!$D$195:$L$281,3,0),0)),VLOOKUP($C142,'[1]A1.)RatesInput'!$B$195:$L$281,HLOOKUP(H$132,'[1]A1.)RatesInput'!$D$195:$L$281,3,0),0),0)</f>
        <v>7.9000000000000008E-3</v>
      </c>
    </row>
    <row r="143" spans="2:8" x14ac:dyDescent="0.35">
      <c r="C143" s="406" t="s">
        <v>650</v>
      </c>
      <c r="D143" s="645">
        <f>IF('[1]A1.)RatesInput'!$P$99="Y",IF(ISNUMBER(VLOOKUP($C143,'[1]A1.)RatesInput'!$B$195:$Q$281,HLOOKUP(D$132,'[1]A1.)RatesInput'!$O$195:$Q$197,3,0),0)),VLOOKUP($C143,'[1]A1.)RatesInput'!$B$195:$Q$281,HLOOKUP(D$132,'[1]A1.)RatesInput'!$O$195:$Q$197,3,0),0),0),IF(ISNUMBER(VLOOKUP($C143,'[1]A1.)RatesInput'!$B$195:$I$281,HLOOKUP(D$132,'[1]A1.)RatesInput'!$D$195:$I$281,3,0),0)),VLOOKUP($C143,'[1]A1.)RatesInput'!$B$195:$I$281,HLOOKUP(D$132,'[1]A1.)RatesInput'!$D$195:$I$281,3,0),0),0))</f>
        <v>7.9000000000000008E-3</v>
      </c>
      <c r="E143" s="846">
        <f>'12F.)TODL_RateDesign_SC13_II'!$H$17</f>
        <v>7.9000000000000008E-3</v>
      </c>
      <c r="F143" s="953">
        <f t="shared" si="4"/>
        <v>0</v>
      </c>
      <c r="G143" s="406"/>
      <c r="H143" s="645">
        <f>IF(ISNUMBER(VLOOKUP($C143,'[1]A1.)RatesInput'!$B$195:$L$281,HLOOKUP(H$132,'[1]A1.)RatesInput'!$D$195:$L$281,3,0),0)),VLOOKUP($C143,'[1]A1.)RatesInput'!$B$195:$L$281,HLOOKUP(H$132,'[1]A1.)RatesInput'!$D$195:$L$281,3,0),0),0)</f>
        <v>7.9000000000000008E-3</v>
      </c>
    </row>
    <row r="144" spans="2:8" x14ac:dyDescent="0.35">
      <c r="C144" s="406" t="s">
        <v>651</v>
      </c>
      <c r="D144" s="645">
        <f>IF('[1]A1.)RatesInput'!$P$99="Y",IF(ISNUMBER(VLOOKUP($C144,'[1]A1.)RatesInput'!$B$195:$Q$281,HLOOKUP(D$132,'[1]A1.)RatesInput'!$O$195:$Q$197,3,0),0)),VLOOKUP($C144,'[1]A1.)RatesInput'!$B$195:$Q$281,HLOOKUP(D$132,'[1]A1.)RatesInput'!$O$195:$Q$197,3,0),0),0),IF(ISNUMBER(VLOOKUP($C144,'[1]A1.)RatesInput'!$B$195:$I$281,HLOOKUP(D$132,'[1]A1.)RatesInput'!$D$195:$I$281,3,0),0)),VLOOKUP($C144,'[1]A1.)RatesInput'!$B$195:$I$281,HLOOKUP(D$132,'[1]A1.)RatesInput'!$D$195:$I$281,3,0),0),0))</f>
        <v>7.9000000000000008E-3</v>
      </c>
      <c r="E144" s="846">
        <f>'12F.)TODL_RateDesign_SC13_II'!$H$18</f>
        <v>7.9000000000000008E-3</v>
      </c>
      <c r="F144" s="953">
        <f t="shared" si="4"/>
        <v>0</v>
      </c>
      <c r="G144" s="406"/>
      <c r="H144" s="645">
        <f>IF(ISNUMBER(VLOOKUP($C144,'[1]A1.)RatesInput'!$B$195:$L$281,HLOOKUP(H$132,'[1]A1.)RatesInput'!$D$195:$L$281,3,0),0)),VLOOKUP($C144,'[1]A1.)RatesInput'!$B$195:$L$281,HLOOKUP(H$132,'[1]A1.)RatesInput'!$D$195:$L$281,3,0),0),0)</f>
        <v>7.9000000000000008E-3</v>
      </c>
    </row>
    <row r="145" spans="2:8" x14ac:dyDescent="0.35">
      <c r="C145" s="406" t="s">
        <v>652</v>
      </c>
      <c r="D145" s="645">
        <f>IF('[1]A1.)RatesInput'!$P$99="Y",IF(ISNUMBER(VLOOKUP($C145,'[1]A1.)RatesInput'!$B$195:$Q$281,HLOOKUP(D$132,'[1]A1.)RatesInput'!$O$195:$Q$197,3,0),0)),VLOOKUP($C145,'[1]A1.)RatesInput'!$B$195:$Q$281,HLOOKUP(D$132,'[1]A1.)RatesInput'!$O$195:$Q$197,3,0),0),0),IF(ISNUMBER(VLOOKUP($C145,'[1]A1.)RatesInput'!$B$195:$I$281,HLOOKUP(D$132,'[1]A1.)RatesInput'!$D$195:$I$281,3,0),0)),VLOOKUP($C145,'[1]A1.)RatesInput'!$B$195:$I$281,HLOOKUP(D$132,'[1]A1.)RatesInput'!$D$195:$I$281,3,0),0),0))</f>
        <v>7.9000000000000008E-3</v>
      </c>
      <c r="E145" s="846">
        <f>'12F.)TODL_RateDesign_SC13_II'!$H$19</f>
        <v>7.9000000000000008E-3</v>
      </c>
      <c r="F145" s="953">
        <f t="shared" si="4"/>
        <v>0</v>
      </c>
      <c r="G145" s="406"/>
      <c r="H145" s="645">
        <f>IF(ISNUMBER(VLOOKUP($C145,'[1]A1.)RatesInput'!$B$195:$L$281,HLOOKUP(H$132,'[1]A1.)RatesInput'!$D$195:$L$281,3,0),0)),VLOOKUP($C145,'[1]A1.)RatesInput'!$B$195:$L$281,HLOOKUP(H$132,'[1]A1.)RatesInput'!$D$195:$L$281,3,0),0),0)</f>
        <v>7.9000000000000008E-3</v>
      </c>
    </row>
    <row r="146" spans="2:8" x14ac:dyDescent="0.35">
      <c r="C146" s="406" t="s">
        <v>653</v>
      </c>
      <c r="D146" s="645">
        <f>IF('[1]A1.)RatesInput'!$P$99="Y",IF(ISNUMBER(VLOOKUP($C146,'[1]A1.)RatesInput'!$B$195:$Q$281,HLOOKUP(D$132,'[1]A1.)RatesInput'!$O$195:$Q$197,3,0),0)),VLOOKUP($C146,'[1]A1.)RatesInput'!$B$195:$Q$281,HLOOKUP(D$132,'[1]A1.)RatesInput'!$O$195:$Q$197,3,0),0),0),IF(ISNUMBER(VLOOKUP($C146,'[1]A1.)RatesInput'!$B$195:$I$281,HLOOKUP(D$132,'[1]A1.)RatesInput'!$D$195:$I$281,3,0),0)),VLOOKUP($C146,'[1]A1.)RatesInput'!$B$195:$I$281,HLOOKUP(D$132,'[1]A1.)RatesInput'!$D$195:$I$281,3,0),0),0))</f>
        <v>7.9000000000000008E-3</v>
      </c>
      <c r="E146" s="846">
        <f>'12F.)TODL_RateDesign_SC13_II'!$H$20</f>
        <v>7.9000000000000008E-3</v>
      </c>
      <c r="F146" s="953">
        <f t="shared" si="4"/>
        <v>0</v>
      </c>
      <c r="G146" s="406"/>
      <c r="H146" s="645">
        <f>IF(ISNUMBER(VLOOKUP($C146,'[1]A1.)RatesInput'!$B$195:$L$281,HLOOKUP(H$132,'[1]A1.)RatesInput'!$D$195:$L$281,3,0),0)),VLOOKUP($C146,'[1]A1.)RatesInput'!$B$195:$L$281,HLOOKUP(H$132,'[1]A1.)RatesInput'!$D$195:$L$281,3,0),0),0)</f>
        <v>7.9000000000000008E-3</v>
      </c>
    </row>
    <row r="147" spans="2:8" x14ac:dyDescent="0.35">
      <c r="C147" s="406" t="s">
        <v>654</v>
      </c>
      <c r="D147" s="644">
        <f>IF('[1]A1.)RatesInput'!$P$99="Y",IF(ISNUMBER(VLOOKUP($C147,'[1]A1.)RatesInput'!$B$195:$Q$281,HLOOKUP(D$132,'[1]A1.)RatesInput'!$O$195:$Q$197,3,0),0)),VLOOKUP($C147,'[1]A1.)RatesInput'!$B$195:$Q$281,HLOOKUP(D$132,'[1]A1.)RatesInput'!$O$195:$Q$197,3,0),0),0),IF(ISNUMBER(VLOOKUP($C147,'[1]A1.)RatesInput'!$B$195:$I$281,HLOOKUP(D$132,'[1]A1.)RatesInput'!$D$195:$I$281,3,0),0)),VLOOKUP($C147,'[1]A1.)RatesInput'!$B$195:$I$281,HLOOKUP(D$132,'[1]A1.)RatesInput'!$D$195:$I$281,3,0),0),0))</f>
        <v>7.9000000000000008E-3</v>
      </c>
      <c r="E147" s="644">
        <f>'12F.)TODL_RateDesign_SC13_II'!$H$21</f>
        <v>7.9000000000000008E-3</v>
      </c>
      <c r="F147" s="954">
        <f t="shared" si="4"/>
        <v>0</v>
      </c>
      <c r="G147" s="406"/>
      <c r="H147" s="644">
        <f>IF(ISNUMBER(VLOOKUP($C147,'[1]A1.)RatesInput'!$B$195:$L$281,HLOOKUP(H$132,'[1]A1.)RatesInput'!$D$195:$L$281,3,0),0)),VLOOKUP($C147,'[1]A1.)RatesInput'!$B$195:$L$281,HLOOKUP(H$132,'[1]A1.)RatesInput'!$D$195:$L$281,3,0),0),0)</f>
        <v>7.9000000000000008E-3</v>
      </c>
    </row>
    <row r="148" spans="2:8" x14ac:dyDescent="0.35">
      <c r="C148" s="464" t="s">
        <v>2237</v>
      </c>
      <c r="E148" s="530">
        <f>'12F.)TODL_RateDesign_SC13_II'!H24</f>
        <v>143.09</v>
      </c>
      <c r="F148" s="955"/>
      <c r="G148" s="406"/>
      <c r="H148" s="406"/>
    </row>
    <row r="150" spans="2:8" hidden="1" x14ac:dyDescent="0.35"/>
    <row r="151" spans="2:8" x14ac:dyDescent="0.35">
      <c r="C151" s="133" t="s">
        <v>1147</v>
      </c>
      <c r="D151" s="408" t="s">
        <v>1148</v>
      </c>
      <c r="E151" s="135" t="s">
        <v>521</v>
      </c>
    </row>
    <row r="152" spans="2:8" x14ac:dyDescent="0.35">
      <c r="C152" t="s">
        <v>1152</v>
      </c>
      <c r="E152" s="603">
        <f>'12F.)TODL_RateDesign_SC13_II'!M207</f>
        <v>2237545.2195303999</v>
      </c>
    </row>
    <row r="153" spans="2:8" x14ac:dyDescent="0.35">
      <c r="C153" t="s">
        <v>45</v>
      </c>
      <c r="E153" s="603">
        <f>'12F.)TODL_RateDesign_SC13_II'!M208</f>
        <v>184466</v>
      </c>
    </row>
    <row r="154" spans="2:8" x14ac:dyDescent="0.35">
      <c r="C154" t="s">
        <v>758</v>
      </c>
      <c r="E154" s="442">
        <f>E152+E153</f>
        <v>2422011.2195303999</v>
      </c>
    </row>
    <row r="155" spans="2:8" x14ac:dyDescent="0.35">
      <c r="C155" t="s">
        <v>756</v>
      </c>
      <c r="E155" s="443">
        <f>'12F.)TODL_RateDesign_SC13_II'!L217</f>
        <v>0</v>
      </c>
    </row>
    <row r="156" spans="2:8" ht="15" thickBot="1" x14ac:dyDescent="0.4">
      <c r="E156" s="417"/>
    </row>
    <row r="157" spans="2:8" ht="15.5" thickTop="1" thickBot="1" x14ac:dyDescent="0.4">
      <c r="C157" t="s">
        <v>752</v>
      </c>
      <c r="D157" s="440">
        <f>'12F.)TODL_RateDesign_SC13_II'!M221</f>
        <v>2421360.2195303999</v>
      </c>
      <c r="E157" s="426">
        <f>E154+E155</f>
        <v>2422011.2195303999</v>
      </c>
      <c r="F157" s="439">
        <f>IF(ISNUMBER(E157/D157-1),E157/D157-1,"")</f>
        <v>2.6885714680080497E-4</v>
      </c>
    </row>
    <row r="158" spans="2:8" ht="15" thickTop="1" x14ac:dyDescent="0.35"/>
    <row r="159" spans="2:8" ht="15" thickBot="1" x14ac:dyDescent="0.4"/>
    <row r="160" spans="2:8" ht="15" thickBot="1" x14ac:dyDescent="0.4">
      <c r="B160" s="131" t="s">
        <v>544</v>
      </c>
      <c r="C160" s="435" t="s">
        <v>529</v>
      </c>
      <c r="D160" s="1217" t="str">
        <f>'12G.)TODL_RateDesign_NYPA_II'!$A$4</f>
        <v>NYPA Rate II</v>
      </c>
      <c r="E160" s="436"/>
    </row>
    <row r="161" spans="3:8" x14ac:dyDescent="0.35">
      <c r="C161" s="435" t="s">
        <v>528</v>
      </c>
      <c r="D161" s="407" t="s">
        <v>872</v>
      </c>
    </row>
    <row r="163" spans="3:8" x14ac:dyDescent="0.35">
      <c r="C163" s="857" t="s">
        <v>527</v>
      </c>
      <c r="D163" s="960" t="str">
        <f>D$9</f>
        <v>Current(RY1)</v>
      </c>
      <c r="E163" s="960" t="str">
        <f>E$9</f>
        <v>Proposed</v>
      </c>
      <c r="F163" s="960" t="s">
        <v>526</v>
      </c>
      <c r="G163" s="406"/>
      <c r="H163" s="960">
        <f>H$9</f>
        <v>2019</v>
      </c>
    </row>
    <row r="164" spans="3:8" x14ac:dyDescent="0.35">
      <c r="C164" s="406"/>
      <c r="D164" s="577"/>
      <c r="E164" s="577" t="str">
        <f>E$10</f>
        <v>Year 1</v>
      </c>
      <c r="F164" s="955"/>
      <c r="G164" s="406"/>
      <c r="H164" s="577" t="str">
        <f>H$10</f>
        <v>(Currnet - Original)</v>
      </c>
    </row>
    <row r="165" spans="3:8" x14ac:dyDescent="0.35">
      <c r="C165" s="406" t="s">
        <v>920</v>
      </c>
      <c r="D165" s="643">
        <f>IF('[1]A1.)RatesInput'!$P$99="Y",IF(ISNUMBER(VLOOKUP($C165,'[1]A1.)RatesInput'!$B$195:$Q$281,HLOOKUP(D$163,'[1]A1.)RatesInput'!$O$195:$Q$197,3,0),0)),VLOOKUP($C165,'[1]A1.)RatesInput'!$B$195:$Q$281,HLOOKUP(D$163,'[1]A1.)RatesInput'!$O$195:$Q$197,3,0),0),0),IF(ISNUMBER(VLOOKUP($C165,'[1]A1.)RatesInput'!$B$195:$I$281,HLOOKUP(D$163,'[1]A1.)RatesInput'!$D$195:$I$281,3,0),0)),VLOOKUP($C165,'[1]A1.)RatesInput'!$B$195:$I$281,HLOOKUP(D$163,'[1]A1.)RatesInput'!$D$195:$I$281,3,0),0),0))</f>
        <v>0</v>
      </c>
      <c r="E165" s="848">
        <f>'12G.)TODL_RateDesign_NYPA_II'!$H$8</f>
        <v>0</v>
      </c>
      <c r="F165" s="952" t="str">
        <f t="shared" ref="F165:F170" si="5">IF(ISNUMBER(E165/D165-1),E165/D165-1,"")</f>
        <v/>
      </c>
      <c r="G165" s="406"/>
      <c r="H165" s="572">
        <f>IF(ISNUMBER(VLOOKUP($C165,'[1]A1.)RatesInput'!$B$195:$L$281,HLOOKUP(H$163,'[1]A1.)RatesInput'!$D$195:$L$281,3,0),0)),VLOOKUP($C165,'[1]A1.)RatesInput'!$B$195:$L$281,HLOOKUP(H$163,'[1]A1.)RatesInput'!$D$195:$L$281,3,0),0),0)</f>
        <v>0</v>
      </c>
    </row>
    <row r="166" spans="3:8" x14ac:dyDescent="0.35">
      <c r="C166" s="406" t="s">
        <v>921</v>
      </c>
      <c r="D166" s="645">
        <f>IF('[1]A1.)RatesInput'!$P$99="Y",IF(ISNUMBER(VLOOKUP($C166,'[1]A1.)RatesInput'!$B$195:$Q$281,HLOOKUP(D$163,'[1]A1.)RatesInput'!$O$195:$Q$197,3,0),0)),VLOOKUP($C166,'[1]A1.)RatesInput'!$B$195:$Q$281,HLOOKUP(D$163,'[1]A1.)RatesInput'!$O$195:$Q$197,3,0),0),0),IF(ISNUMBER(VLOOKUP($C166,'[1]A1.)RatesInput'!$B$195:$I$281,HLOOKUP(D$163,'[1]A1.)RatesInput'!$D$195:$I$281,3,0),0)),VLOOKUP($C166,'[1]A1.)RatesInput'!$B$195:$I$281,HLOOKUP(D$163,'[1]A1.)RatesInput'!$D$195:$I$281,3,0),0),0))</f>
        <v>13.2</v>
      </c>
      <c r="E166" s="846">
        <f>'12G.)TODL_RateDesign_NYPA_II'!$H$9</f>
        <v>13.52</v>
      </c>
      <c r="F166" s="953">
        <f t="shared" si="5"/>
        <v>2.4242424242424176E-2</v>
      </c>
      <c r="G166" s="406"/>
      <c r="H166" s="645">
        <f>IF(ISNUMBER(VLOOKUP($C166,'[1]A1.)RatesInput'!$B$195:$L$281,HLOOKUP(H$163,'[1]A1.)RatesInput'!$D$195:$L$281,3,0),0)),VLOOKUP($C166,'[1]A1.)RatesInput'!$B$195:$L$281,HLOOKUP(H$163,'[1]A1.)RatesInput'!$D$195:$L$281,3,0),0),0)</f>
        <v>11.89</v>
      </c>
    </row>
    <row r="167" spans="3:8" x14ac:dyDescent="0.35">
      <c r="C167" s="406" t="s">
        <v>922</v>
      </c>
      <c r="D167" s="645">
        <f>IF('[1]A1.)RatesInput'!$P$99="Y",IF(ISNUMBER(VLOOKUP($C167,'[1]A1.)RatesInput'!$B$195:$Q$281,HLOOKUP(D$163,'[1]A1.)RatesInput'!$O$195:$Q$197,3,0),0)),VLOOKUP($C167,'[1]A1.)RatesInput'!$B$195:$Q$281,HLOOKUP(D$163,'[1]A1.)RatesInput'!$O$195:$Q$197,3,0),0),0),IF(ISNUMBER(VLOOKUP($C167,'[1]A1.)RatesInput'!$B$195:$I$281,HLOOKUP(D$163,'[1]A1.)RatesInput'!$D$195:$I$281,3,0),0)),VLOOKUP($C167,'[1]A1.)RatesInput'!$B$195:$I$281,HLOOKUP(D$163,'[1]A1.)RatesInput'!$D$195:$I$281,3,0),0),0))</f>
        <v>4.7300000000000004</v>
      </c>
      <c r="E167" s="846">
        <f>'12G.)TODL_RateDesign_NYPA_II'!$H$10</f>
        <v>4.84</v>
      </c>
      <c r="F167" s="953">
        <f t="shared" si="5"/>
        <v>2.3255813953488191E-2</v>
      </c>
      <c r="G167" s="406"/>
      <c r="H167" s="645">
        <f>IF(ISNUMBER(VLOOKUP($C167,'[1]A1.)RatesInput'!$B$195:$L$281,HLOOKUP(H$163,'[1]A1.)RatesInput'!$D$195:$L$281,3,0),0)),VLOOKUP($C167,'[1]A1.)RatesInput'!$B$195:$L$281,HLOOKUP(H$163,'[1]A1.)RatesInput'!$D$195:$L$281,3,0),0),0)</f>
        <v>7.11</v>
      </c>
    </row>
    <row r="168" spans="3:8" x14ac:dyDescent="0.35">
      <c r="C168" s="406" t="s">
        <v>923</v>
      </c>
      <c r="D168" s="645">
        <f>IF('[1]A1.)RatesInput'!$P$99="Y",IF(ISNUMBER(VLOOKUP($C168,'[1]A1.)RatesInput'!$B$195:$Q$281,HLOOKUP(D$163,'[1]A1.)RatesInput'!$O$195:$Q$197,3,0),0)),VLOOKUP($C168,'[1]A1.)RatesInput'!$B$195:$Q$281,HLOOKUP(D$163,'[1]A1.)RatesInput'!$O$195:$Q$197,3,0),0),0),IF(ISNUMBER(VLOOKUP($C168,'[1]A1.)RatesInput'!$B$195:$I$281,HLOOKUP(D$163,'[1]A1.)RatesInput'!$D$195:$I$281,3,0),0)),VLOOKUP($C168,'[1]A1.)RatesInput'!$B$195:$I$281,HLOOKUP(D$163,'[1]A1.)RatesInput'!$D$195:$I$281,3,0),0),0))</f>
        <v>7.4</v>
      </c>
      <c r="E168" s="846">
        <f>'12G.)TODL_RateDesign_NYPA_II'!$H$11</f>
        <v>7.5799999999999992</v>
      </c>
      <c r="F168" s="953">
        <f t="shared" si="5"/>
        <v>2.4324324324324076E-2</v>
      </c>
      <c r="G168" s="406"/>
      <c r="H168" s="645">
        <f>IF(ISNUMBER(VLOOKUP($C168,'[1]A1.)RatesInput'!$B$195:$L$281,HLOOKUP(H$163,'[1]A1.)RatesInput'!$D$195:$L$281,3,0),0)),VLOOKUP($C168,'[1]A1.)RatesInput'!$B$195:$L$281,HLOOKUP(H$163,'[1]A1.)RatesInput'!$D$195:$L$281,3,0),0),0)</f>
        <v>7.4</v>
      </c>
    </row>
    <row r="169" spans="3:8" x14ac:dyDescent="0.35">
      <c r="C169" s="406" t="s">
        <v>924</v>
      </c>
      <c r="D169" s="645">
        <f>IF('[1]A1.)RatesInput'!$P$99="Y",IF(ISNUMBER(VLOOKUP($C169,'[1]A1.)RatesInput'!$B$195:$Q$281,HLOOKUP(D$163,'[1]A1.)RatesInput'!$O$195:$Q$197,3,0),0)),VLOOKUP($C169,'[1]A1.)RatesInput'!$B$195:$Q$281,HLOOKUP(D$163,'[1]A1.)RatesInput'!$O$195:$Q$197,3,0),0),0),IF(ISNUMBER(VLOOKUP($C169,'[1]A1.)RatesInput'!$B$195:$I$281,HLOOKUP(D$163,'[1]A1.)RatesInput'!$D$195:$I$281,3,0),0)),VLOOKUP($C169,'[1]A1.)RatesInput'!$B$195:$I$281,HLOOKUP(D$163,'[1]A1.)RatesInput'!$D$195:$I$281,3,0),0),0))</f>
        <v>21.77</v>
      </c>
      <c r="E169" s="846">
        <f>'12G.)TODL_RateDesign_NYPA_II'!$H$12</f>
        <v>22.299999999999997</v>
      </c>
      <c r="F169" s="953">
        <f t="shared" si="5"/>
        <v>2.4345429490123971E-2</v>
      </c>
      <c r="G169" s="406"/>
      <c r="H169" s="645">
        <f>IF(ISNUMBER(VLOOKUP($C169,'[1]A1.)RatesInput'!$B$195:$L$281,HLOOKUP(H$163,'[1]A1.)RatesInput'!$D$195:$L$281,3,0),0)),VLOOKUP($C169,'[1]A1.)RatesInput'!$B$195:$L$281,HLOOKUP(H$163,'[1]A1.)RatesInput'!$D$195:$L$281,3,0),0),0)</f>
        <v>20.46</v>
      </c>
    </row>
    <row r="170" spans="3:8" x14ac:dyDescent="0.35">
      <c r="C170" s="406" t="s">
        <v>925</v>
      </c>
      <c r="D170" s="644">
        <f>IF('[1]A1.)RatesInput'!$P$99="Y",IF(ISNUMBER(VLOOKUP($C170,'[1]A1.)RatesInput'!$B$195:$Q$281,HLOOKUP(D$163,'[1]A1.)RatesInput'!$O$195:$Q$197,3,0),0)),VLOOKUP($C170,'[1]A1.)RatesInput'!$B$195:$Q$281,HLOOKUP(D$163,'[1]A1.)RatesInput'!$O$195:$Q$197,3,0),0),0),IF(ISNUMBER(VLOOKUP($C170,'[1]A1.)RatesInput'!$B$195:$I$281,HLOOKUP(D$163,'[1]A1.)RatesInput'!$D$195:$I$281,3,0),0)),VLOOKUP($C170,'[1]A1.)RatesInput'!$B$195:$I$281,HLOOKUP(D$163,'[1]A1.)RatesInput'!$D$195:$I$281,3,0),0),0))</f>
        <v>20.09</v>
      </c>
      <c r="E170" s="847">
        <f>'12G.)TODL_RateDesign_NYPA_II'!$H$13</f>
        <v>20.58</v>
      </c>
      <c r="F170" s="954">
        <f t="shared" si="5"/>
        <v>2.4390243902439046E-2</v>
      </c>
      <c r="G170" s="406"/>
      <c r="H170" s="644">
        <f>IF(ISNUMBER(VLOOKUP($C170,'[1]A1.)RatesInput'!$B$195:$L$281,HLOOKUP(H$163,'[1]A1.)RatesInput'!$D$195:$L$281,3,0),0)),VLOOKUP($C170,'[1]A1.)RatesInput'!$B$195:$L$281,HLOOKUP(H$163,'[1]A1.)RatesInput'!$D$195:$L$281,3,0),0),0)</f>
        <v>22.47</v>
      </c>
    </row>
    <row r="172" spans="3:8" hidden="1" x14ac:dyDescent="0.35"/>
    <row r="173" spans="3:8" hidden="1" x14ac:dyDescent="0.35"/>
    <row r="174" spans="3:8" x14ac:dyDescent="0.35">
      <c r="C174" s="772" t="s">
        <v>1147</v>
      </c>
      <c r="D174" s="408" t="s">
        <v>1148</v>
      </c>
      <c r="E174" s="408" t="s">
        <v>521</v>
      </c>
      <c r="F174" s="955"/>
      <c r="G174" s="406"/>
    </row>
    <row r="175" spans="3:8" x14ac:dyDescent="0.35">
      <c r="C175" s="406" t="s">
        <v>1152</v>
      </c>
      <c r="E175" s="956">
        <f>'12G.)TODL_RateDesign_NYPA_II'!M207</f>
        <v>186571667.28107375</v>
      </c>
      <c r="F175" s="955"/>
      <c r="G175" s="406"/>
    </row>
    <row r="176" spans="3:8" x14ac:dyDescent="0.35">
      <c r="C176" s="406" t="s">
        <v>45</v>
      </c>
      <c r="E176" s="956">
        <f>'12G.)TODL_RateDesign_NYPA_II'!M208</f>
        <v>0</v>
      </c>
      <c r="F176" s="955"/>
      <c r="G176" s="406"/>
    </row>
    <row r="177" spans="3:7" x14ac:dyDescent="0.35">
      <c r="C177" s="406" t="s">
        <v>758</v>
      </c>
      <c r="E177" s="957">
        <f>E175+E176</f>
        <v>186571667.28107375</v>
      </c>
      <c r="F177" s="955"/>
      <c r="G177" s="406"/>
    </row>
    <row r="178" spans="3:7" x14ac:dyDescent="0.35">
      <c r="C178" s="406" t="s">
        <v>1776</v>
      </c>
      <c r="E178" s="962">
        <f>'12G.)TODL_RateDesign_NYPA_II'!L217</f>
        <v>0</v>
      </c>
      <c r="F178" s="955"/>
      <c r="G178" s="406"/>
    </row>
    <row r="179" spans="3:7" ht="15" thickBot="1" x14ac:dyDescent="0.4">
      <c r="C179" s="406"/>
      <c r="E179" s="963"/>
      <c r="F179" s="955"/>
      <c r="G179" s="406"/>
    </row>
    <row r="180" spans="3:7" ht="15.5" thickTop="1" thickBot="1" x14ac:dyDescent="0.4">
      <c r="C180" s="406" t="s">
        <v>752</v>
      </c>
      <c r="D180" s="440">
        <f>'12G.)TODL_RateDesign_NYPA_II'!M221</f>
        <v>186708530.11253503</v>
      </c>
      <c r="E180" s="440">
        <f>E177+E178</f>
        <v>186571667.28107375</v>
      </c>
      <c r="F180" s="959">
        <f>IF(ISNUMBER(E180/D180-1),E180/D180-1,"")</f>
        <v>-7.3302934460883762E-4</v>
      </c>
      <c r="G180" s="406"/>
    </row>
    <row r="181" spans="3:7" ht="15" thickTop="1" x14ac:dyDescent="0.35"/>
  </sheetData>
  <printOptions horizontalCentered="1"/>
  <pageMargins left="0.45" right="0.45" top="0.5" bottom="0.5" header="0.3" footer="0.05"/>
  <pageSetup scale="55" orientation="landscape" r:id="rId1"/>
  <headerFooter>
    <oddFooter>&amp;C&amp;F (Tab: &amp;A)&amp;RTab: &amp;P / &amp;N</oddFooter>
  </headerFooter>
  <rowBreaks count="3" manualBreakCount="3">
    <brk id="64" max="16383" man="1"/>
    <brk id="127" max="16383" man="1"/>
    <brk id="208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B211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1796875" customWidth="1"/>
    <col min="12" max="12" width="17.453125" customWidth="1"/>
    <col min="13" max="13" width="15.453125" customWidth="1"/>
    <col min="14" max="14" width="20.1796875" customWidth="1"/>
    <col min="15" max="15" width="16.453125" customWidth="1"/>
    <col min="16" max="16" width="15" style="1" customWidth="1"/>
    <col min="17" max="19" width="12.26953125" customWidth="1"/>
    <col min="20" max="20" width="9.81640625" customWidth="1"/>
    <col min="21" max="21" width="12.453125" customWidth="1"/>
    <col min="22" max="23" width="11.7265625" customWidth="1"/>
    <col min="24" max="24" width="16.81640625" customWidth="1"/>
    <col min="25" max="28" width="10.54296875" customWidth="1"/>
  </cols>
  <sheetData>
    <row r="1" spans="1:28" ht="18.5" x14ac:dyDescent="0.45">
      <c r="A1" s="447" t="s">
        <v>833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8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SC5 Rate II</v>
      </c>
      <c r="Q3" s="3"/>
      <c r="S3" s="3"/>
    </row>
    <row r="4" spans="1:28" outlineLevel="1" x14ac:dyDescent="0.35">
      <c r="A4" s="864" t="s">
        <v>639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8" outlineLevel="1" x14ac:dyDescent="0.35">
      <c r="C5" s="3"/>
      <c r="D5" s="3"/>
      <c r="E5" s="3"/>
      <c r="F5" s="3"/>
      <c r="G5" s="3"/>
      <c r="M5" s="3"/>
      <c r="P5" s="2"/>
      <c r="Q5" s="3"/>
      <c r="R5" s="3"/>
      <c r="S5" s="30" t="s">
        <v>25</v>
      </c>
      <c r="U5" s="30" t="s">
        <v>12</v>
      </c>
    </row>
    <row r="6" spans="1:28" outlineLevel="1" x14ac:dyDescent="0.35">
      <c r="A6" s="180"/>
      <c r="B6" s="180"/>
      <c r="C6" s="180"/>
      <c r="D6" s="180"/>
      <c r="E6" s="180"/>
      <c r="F6" s="3"/>
      <c r="G6" s="490" t="str">
        <f>'12A.)TODL_RateDesignSummary'!D9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386">
        <f>'[1]D2.)BillingDeterminants(TOD)'!$D$8+'[1]D2.)BillingDeterminants(TOD)'!$D$23</f>
        <v>9249.6</v>
      </c>
      <c r="T6" s="164" t="s">
        <v>1393</v>
      </c>
      <c r="U6" s="386">
        <f>'[1]D2.)BillingDeterminants(TOD)'!$D$15+'[1]D2.)BillingDeterminants(TOD)'!$D$30</f>
        <v>2537291</v>
      </c>
      <c r="W6" s="464"/>
      <c r="X6" s="1126" t="s">
        <v>2208</v>
      </c>
      <c r="Y6" s="1127" t="s">
        <v>114</v>
      </c>
      <c r="Z6" s="1127" t="s">
        <v>113</v>
      </c>
      <c r="AA6" s="1127" t="s">
        <v>112</v>
      </c>
      <c r="AB6" s="1128" t="s">
        <v>111</v>
      </c>
    </row>
    <row r="7" spans="1:28" outlineLevel="1" x14ac:dyDescent="0.35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SC5 Rate II</v>
      </c>
      <c r="M7" s="3"/>
      <c r="P7" s="170" t="s">
        <v>114</v>
      </c>
      <c r="Q7" s="159" t="s">
        <v>641</v>
      </c>
      <c r="R7" s="158" t="s">
        <v>888</v>
      </c>
      <c r="S7" s="387">
        <f>'[1]D2.)BillingDeterminants(TOD)'!$D$10+'[1]D2.)BillingDeterminants(TOD)'!$D$25</f>
        <v>9249.6</v>
      </c>
      <c r="T7" s="159" t="s">
        <v>445</v>
      </c>
      <c r="U7" s="387">
        <f>'[1]D2.)BillingDeterminants(TOD)'!$D$17+'[1]D2.)BillingDeterminants(TOD)'!$D$32</f>
        <v>3230709</v>
      </c>
      <c r="W7" s="1125" t="s">
        <v>2207</v>
      </c>
      <c r="X7" s="1162">
        <f>'[2]3C.)HY_Metering PxOut'!$B$28</f>
        <v>60</v>
      </c>
      <c r="Y7" s="1131">
        <f>ROUND($X7*$Q$9/($Q$9+$Q$14+$Q$19+$Q$24),0)</f>
        <v>4</v>
      </c>
      <c r="Z7" s="1131">
        <f>X7-Y7-AA7-AB7</f>
        <v>8</v>
      </c>
      <c r="AA7" s="1131">
        <f>ROUND($X7*$Q$19/($Q$9+$Q$14+$Q$19+$Q$24),0)</f>
        <v>16</v>
      </c>
      <c r="AB7" s="1132">
        <f>ROUND($X7*$Q$24/($Q$9+$Q$14+$Q$19+$Q$24),0)</f>
        <v>32</v>
      </c>
    </row>
    <row r="8" spans="1:28" outlineLevel="1" x14ac:dyDescent="0.35">
      <c r="A8" s="3" t="s">
        <v>938</v>
      </c>
      <c r="B8" s="3"/>
      <c r="C8" s="3"/>
      <c r="D8" s="3"/>
      <c r="E8" s="3"/>
      <c r="F8" s="3"/>
      <c r="G8" s="309">
        <f>'12A.)TODL_RateDesignSummary'!D11</f>
        <v>0</v>
      </c>
      <c r="H8" s="177">
        <f>J85</f>
        <v>0</v>
      </c>
      <c r="I8" s="3"/>
      <c r="J8" s="33"/>
      <c r="K8" s="17"/>
      <c r="L8" s="688"/>
      <c r="M8" s="3"/>
      <c r="P8" s="168" t="s">
        <v>114</v>
      </c>
      <c r="Q8" s="154" t="s">
        <v>642</v>
      </c>
      <c r="R8" s="176" t="s">
        <v>645</v>
      </c>
      <c r="S8" s="172">
        <f>'[1]D2.)BillingDeterminants(TOD)'!$D$12+'[1]D2.)BillingDeterminants(TOD)'!$D$27</f>
        <v>9249.5</v>
      </c>
      <c r="T8" s="453"/>
      <c r="U8" s="452"/>
    </row>
    <row r="9" spans="1:28" outlineLevel="1" x14ac:dyDescent="0.35">
      <c r="A9" s="3" t="s">
        <v>939</v>
      </c>
      <c r="B9" s="3"/>
      <c r="C9" s="3"/>
      <c r="D9" s="3"/>
      <c r="E9" s="3"/>
      <c r="F9" s="3"/>
      <c r="G9" s="310">
        <f>'12A.)TODL_RateDesignSummary'!D12</f>
        <v>7.93</v>
      </c>
      <c r="H9" s="169">
        <f t="shared" ref="H9:H10" si="0">J86</f>
        <v>8.1999999999999993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'[1]B1.)HYAdjSalesDatabase'!$T$232</f>
        <v>4</v>
      </c>
      <c r="S9" s="151">
        <f>SUM(S6:S8)</f>
        <v>27748.7</v>
      </c>
      <c r="U9" s="151">
        <f>SUM(U6:U8)</f>
        <v>5768000</v>
      </c>
      <c r="X9" s="1009">
        <f>X7+X8-Q9-Q14-Q19-Q24</f>
        <v>0</v>
      </c>
    </row>
    <row r="10" spans="1:28" outlineLevel="1" x14ac:dyDescent="0.35">
      <c r="A10" s="3" t="s">
        <v>940</v>
      </c>
      <c r="B10" s="3"/>
      <c r="C10" s="3"/>
      <c r="D10" s="3"/>
      <c r="E10" s="3"/>
      <c r="F10" s="3"/>
      <c r="G10" s="310">
        <f>'12A.)TODL_RateDesignSummary'!D13</f>
        <v>3.78</v>
      </c>
      <c r="H10" s="169">
        <f t="shared" si="0"/>
        <v>3.9099999999999993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8" outlineLevel="1" x14ac:dyDescent="0.35">
      <c r="A11" s="3" t="s">
        <v>941</v>
      </c>
      <c r="B11" s="3"/>
      <c r="C11" s="3"/>
      <c r="D11" s="3"/>
      <c r="E11" s="3"/>
      <c r="F11" s="3"/>
      <c r="G11" s="310">
        <f>'12A.)TODL_RateDesignSummary'!D14</f>
        <v>4.5999999999999996</v>
      </c>
      <c r="H11" s="169">
        <f>H85</f>
        <v>4.76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386">
        <f>'[1]D2.)BillingDeterminants(TOD)'!$E$15+'[1]D2.)BillingDeterminants(TOD)'!$E$30</f>
        <v>4683918</v>
      </c>
    </row>
    <row r="12" spans="1:28" outlineLevel="1" x14ac:dyDescent="0.35">
      <c r="A12" s="3" t="s">
        <v>942</v>
      </c>
      <c r="B12" s="3"/>
      <c r="C12" s="3"/>
      <c r="D12" s="3"/>
      <c r="E12" s="3"/>
      <c r="F12" s="3"/>
      <c r="G12" s="310">
        <f>'12A.)TODL_RateDesignSummary'!D15</f>
        <v>9.35</v>
      </c>
      <c r="H12" s="169">
        <f t="shared" ref="H12:H13" si="1">H86</f>
        <v>9.67</v>
      </c>
      <c r="I12" s="3"/>
      <c r="P12" s="160" t="s">
        <v>113</v>
      </c>
      <c r="Q12" s="157" t="str">
        <f>Q$7</f>
        <v>D2</v>
      </c>
      <c r="R12" s="157" t="str">
        <f>R$7</f>
        <v>8-10</v>
      </c>
      <c r="S12" s="387">
        <f>'[1]D2.)BillingDeterminants(TOD)'!$E$10+'[1]D2.)BillingDeterminants(TOD)'!$E$25</f>
        <v>17349.599999999999</v>
      </c>
      <c r="T12" s="159" t="str">
        <f>T$7</f>
        <v>Off Peak</v>
      </c>
      <c r="U12" s="387">
        <f>'[1]D2.)BillingDeterminants(TOD)'!$E$17+'[1]D2.)BillingDeterminants(TOD)'!$E$32</f>
        <v>5996082</v>
      </c>
    </row>
    <row r="13" spans="1:28" outlineLevel="1" x14ac:dyDescent="0.35">
      <c r="A13" s="3" t="s">
        <v>943</v>
      </c>
      <c r="B13" s="3"/>
      <c r="C13" s="3"/>
      <c r="D13" s="3"/>
      <c r="E13" s="3"/>
      <c r="F13" s="3"/>
      <c r="G13" s="310">
        <f>'12A.)TODL_RateDesignSummary'!D16</f>
        <v>9.98</v>
      </c>
      <c r="H13" s="169">
        <f t="shared" si="1"/>
        <v>10.32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72">
        <f>'[1]D2.)BillingDeterminants(TOD)'!$E$12+'[1]D2.)BillingDeterminants(TOD)'!$E$27</f>
        <v>17349.300000000003</v>
      </c>
      <c r="T13" s="453"/>
      <c r="U13" s="452"/>
    </row>
    <row r="14" spans="1:28" outlineLevel="1" x14ac:dyDescent="0.35">
      <c r="A14" t="s">
        <v>647</v>
      </c>
      <c r="F14" s="3"/>
      <c r="G14" s="310">
        <f>'12A.)TODL_RateDesignSummary'!D17</f>
        <v>7.9000000000000008E-3</v>
      </c>
      <c r="H14" s="169">
        <f>H142</f>
        <v>7.9000000000000008E-3</v>
      </c>
      <c r="I14" s="3"/>
      <c r="P14" s="1158" t="s">
        <v>2207</v>
      </c>
      <c r="Q14" s="1161">
        <f>'[1]B1.)HYAdjSalesDatabase'!$U$232</f>
        <v>8</v>
      </c>
      <c r="R14" s="3"/>
      <c r="S14" s="151">
        <f>SUM(S11:S13)</f>
        <v>34698.9</v>
      </c>
      <c r="U14" s="151">
        <f>SUM(U11:U13)</f>
        <v>10680000</v>
      </c>
    </row>
    <row r="15" spans="1:28" outlineLevel="1" x14ac:dyDescent="0.35">
      <c r="A15" t="s">
        <v>648</v>
      </c>
      <c r="F15" s="3"/>
      <c r="G15" s="310">
        <f>'12A.)TODL_RateDesignSummary'!D18</f>
        <v>7.9000000000000008E-3</v>
      </c>
      <c r="H15" s="169">
        <f>H143</f>
        <v>7.9000000000000008E-3</v>
      </c>
      <c r="I15" s="3"/>
    </row>
    <row r="16" spans="1:28" outlineLevel="1" x14ac:dyDescent="0.35">
      <c r="A16" t="s">
        <v>649</v>
      </c>
      <c r="F16" s="3"/>
      <c r="G16" s="310">
        <f>'12A.)TODL_RateDesignSummary'!D19</f>
        <v>7.9000000000000008E-3</v>
      </c>
      <c r="H16" s="169">
        <f>J142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386">
        <f>'[1]D2.)BillingDeterminants(TOD)'!$D$9+'[1]D2.)BillingDeterminants(TOD)'!$D$24</f>
        <v>60312.880000000005</v>
      </c>
      <c r="T16" s="164" t="str">
        <f>T$6</f>
        <v>On Peak</v>
      </c>
      <c r="U16" s="386">
        <f>'[1]D2.)BillingDeterminants(TOD)'!$D$16+'[1]D2.)BillingDeterminants(TOD)'!$D$31</f>
        <v>13044883</v>
      </c>
    </row>
    <row r="17" spans="1:21" outlineLevel="1" x14ac:dyDescent="0.35">
      <c r="A17" t="s">
        <v>650</v>
      </c>
      <c r="F17" s="3"/>
      <c r="G17" s="310">
        <f>'12A.)TODL_RateDesignSummary'!D20</f>
        <v>7.9000000000000008E-3</v>
      </c>
      <c r="H17" s="169">
        <f>J143</f>
        <v>7.9000000000000008E-3</v>
      </c>
      <c r="I17" s="3"/>
      <c r="J17" s="33" t="s">
        <v>133</v>
      </c>
      <c r="L17" s="245">
        <f>'[2]6B.)RateChgAllocation'!$N$31</f>
        <v>91815</v>
      </c>
      <c r="M17" s="701">
        <f>ROUND(L17/ROUND(L18/M18,5),0)</f>
        <v>90795</v>
      </c>
      <c r="P17" s="170" t="s">
        <v>112</v>
      </c>
      <c r="Q17" s="157" t="str">
        <f>Q$7</f>
        <v>D2</v>
      </c>
      <c r="R17" s="157" t="str">
        <f>R$7</f>
        <v>8-10</v>
      </c>
      <c r="S17" s="387">
        <f>'[1]D2.)BillingDeterminants(TOD)'!$D$11+'[1]D2.)BillingDeterminants(TOD)'!$D$26</f>
        <v>62098</v>
      </c>
      <c r="T17" s="159" t="str">
        <f>T$7</f>
        <v>Off Peak</v>
      </c>
      <c r="U17" s="387">
        <f>'[1]D2.)BillingDeterminants(TOD)'!$D$18+'[1]D2.)BillingDeterminants(TOD)'!$D$33</f>
        <v>17214717</v>
      </c>
    </row>
    <row r="18" spans="1:21" outlineLevel="1" x14ac:dyDescent="0.35">
      <c r="A18" t="s">
        <v>651</v>
      </c>
      <c r="F18" s="3"/>
      <c r="G18" s="310">
        <f>'12A.)TODL_RateDesignSummary'!D21</f>
        <v>7.9000000000000008E-3</v>
      </c>
      <c r="H18" s="169">
        <f>H14</f>
        <v>7.9000000000000008E-3</v>
      </c>
      <c r="I18" s="3"/>
      <c r="J18" s="33" t="s">
        <v>131</v>
      </c>
      <c r="L18" s="245">
        <f>'[2]4D-2.)HY_TODLRatePxOut(SC5)'!$Y$44</f>
        <v>2414182</v>
      </c>
      <c r="M18" s="245">
        <f>'[2]4D-2.)HY_TODLRatePxOut(SC5)'!$W$44</f>
        <v>2387362</v>
      </c>
      <c r="P18" s="168" t="s">
        <v>112</v>
      </c>
      <c r="Q18" s="154" t="str">
        <f>Q8</f>
        <v>D3</v>
      </c>
      <c r="R18" s="154" t="str">
        <f>R8</f>
        <v>All Day</v>
      </c>
      <c r="S18" s="172"/>
      <c r="T18" s="453"/>
      <c r="U18" s="452"/>
    </row>
    <row r="19" spans="1:21" outlineLevel="1" x14ac:dyDescent="0.35">
      <c r="A19" t="s">
        <v>652</v>
      </c>
      <c r="F19" s="3"/>
      <c r="G19" s="310">
        <f>'12A.)TODL_RateDesignSummary'!D22</f>
        <v>7.9000000000000008E-3</v>
      </c>
      <c r="H19" s="169">
        <f t="shared" ref="H19:H21" si="2">H15</f>
        <v>7.9000000000000008E-3</v>
      </c>
      <c r="I19" s="3"/>
      <c r="J19" s="33" t="s">
        <v>123</v>
      </c>
      <c r="L19" s="245">
        <f>'[2]6B.)RateChgAllocation'!$M$31</f>
        <v>0</v>
      </c>
      <c r="M19" s="245">
        <f>ROUND(L19/ROUND(L18/M18,5),0)</f>
        <v>0</v>
      </c>
      <c r="P19" s="1158" t="s">
        <v>2207</v>
      </c>
      <c r="Q19" s="1161">
        <f>'[1]B1.)HYAdjSalesDatabase'!$T$231</f>
        <v>16</v>
      </c>
      <c r="S19" s="151">
        <f>SUM(S16:S18)</f>
        <v>122410.88</v>
      </c>
      <c r="U19" s="151">
        <f>SUM(U16:U18)</f>
        <v>30259600</v>
      </c>
    </row>
    <row r="20" spans="1:21" outlineLevel="1" x14ac:dyDescent="0.35">
      <c r="A20" t="s">
        <v>653</v>
      </c>
      <c r="F20" s="3"/>
      <c r="G20" s="310">
        <f>'12A.)TODL_RateDesignSummary'!D23</f>
        <v>7.9000000000000008E-3</v>
      </c>
      <c r="H20" s="169">
        <f t="shared" si="2"/>
        <v>7.9000000000000008E-3</v>
      </c>
      <c r="I20" s="3"/>
      <c r="J20" s="33" t="s">
        <v>129</v>
      </c>
      <c r="L20" s="245">
        <f>'[2]4D-2.)HY_TODLRatePxOut(SC5)'!$Y$80</f>
        <v>861985</v>
      </c>
      <c r="M20" s="245">
        <f>'[2]4D-2.)HY_TODLRatePxOut(SC5)'!$W$80</f>
        <v>861985</v>
      </c>
    </row>
    <row r="21" spans="1:21" outlineLevel="1" x14ac:dyDescent="0.35">
      <c r="A21" t="s">
        <v>654</v>
      </c>
      <c r="F21" s="3"/>
      <c r="G21" s="311">
        <f>'12A.)TODL_RateDesignSummary'!D24</f>
        <v>7.9000000000000008E-3</v>
      </c>
      <c r="H21" s="167">
        <f t="shared" si="2"/>
        <v>7.9000000000000008E-3</v>
      </c>
      <c r="I21" s="3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386">
        <f>'[1]D2.)BillingDeterminants(TOD)'!$E$16+'[1]D2.)BillingDeterminants(TOD)'!$E$31</f>
        <v>28324937</v>
      </c>
    </row>
    <row r="22" spans="1:21" outlineLevel="1" x14ac:dyDescent="0.35">
      <c r="G22" s="406"/>
      <c r="J22" s="33" t="str">
        <f>CONCATENATE(A4," - T&amp;D Target:")</f>
        <v>SC5 Rate II - T&amp;D Target:</v>
      </c>
      <c r="L22" s="245">
        <f>'[2]6A.)RateChange'!$BN$31</f>
        <v>3367982</v>
      </c>
      <c r="P22" s="160" t="s">
        <v>111</v>
      </c>
      <c r="Q22" s="157" t="str">
        <f>Q$7</f>
        <v>D2</v>
      </c>
      <c r="R22" s="157" t="str">
        <f>R$7</f>
        <v>8-10</v>
      </c>
      <c r="S22" s="387">
        <f>'[1]D2.)BillingDeterminants(TOD)'!$E$11+'[1]D2.)BillingDeterminants(TOD)'!$E$26</f>
        <v>139243.36000000004</v>
      </c>
      <c r="T22" s="159" t="str">
        <f>T$7</f>
        <v>Off Peak</v>
      </c>
      <c r="U22" s="387">
        <f>'[1]D2.)BillingDeterminants(TOD)'!$E$18+'[1]D2.)BillingDeterminants(TOD)'!$E$33</f>
        <v>34079463</v>
      </c>
    </row>
    <row r="23" spans="1:21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172"/>
      <c r="T23" s="453"/>
      <c r="U23" s="452"/>
    </row>
    <row r="24" spans="1:21" ht="15.5" outlineLevel="1" thickTop="1" thickBot="1" x14ac:dyDescent="0.4">
      <c r="A24" s="1174" t="s">
        <v>2229</v>
      </c>
      <c r="B24" s="1175"/>
      <c r="C24" s="1176"/>
      <c r="H24" s="1170">
        <f>'7C.)CustCharge_DemandClasses'!$D$15</f>
        <v>143.09</v>
      </c>
      <c r="P24" s="1158" t="s">
        <v>2207</v>
      </c>
      <c r="Q24" s="1161">
        <f>'[1]B1.)HYAdjSalesDatabase'!$U$231</f>
        <v>32</v>
      </c>
      <c r="S24" s="151">
        <f>SUM(S21:S23)</f>
        <v>139243.36000000004</v>
      </c>
      <c r="U24" s="151">
        <f>SUM(U21:U23)</f>
        <v>62404400</v>
      </c>
    </row>
    <row r="25" spans="1:21" ht="15.5" outlineLevel="1" thickTop="1" thickBot="1" x14ac:dyDescent="0.4">
      <c r="S25" s="150"/>
    </row>
    <row r="26" spans="1:21" ht="15.5" outlineLevel="1" thickTop="1" thickBot="1" x14ac:dyDescent="0.4">
      <c r="R26" t="s">
        <v>205</v>
      </c>
      <c r="S26" s="151">
        <f>S9+S14+S19+S24</f>
        <v>324101.84000000008</v>
      </c>
      <c r="U26" s="151">
        <f>U9+U14+U19+U24</f>
        <v>109112000</v>
      </c>
    </row>
    <row r="27" spans="1:21" ht="15" outlineLevel="1" thickTop="1" x14ac:dyDescent="0.35"/>
    <row r="28" spans="1:21" s="148" customFormat="1" outlineLevel="1" x14ac:dyDescent="0.35"/>
    <row r="29" spans="1:21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58"/>
      <c r="M29" s="1169" t="s">
        <v>2240</v>
      </c>
    </row>
    <row r="30" spans="1:21" x14ac:dyDescent="0.35">
      <c r="A30" s="407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143.09</v>
      </c>
    </row>
    <row r="31" spans="1:21" x14ac:dyDescent="0.35">
      <c r="A31" s="406"/>
      <c r="B31" s="41" t="str">
        <f>$A$4</f>
        <v>SC5 Rate II</v>
      </c>
      <c r="C31" s="133" t="s">
        <v>662</v>
      </c>
      <c r="D31" s="133"/>
      <c r="E31" s="133"/>
      <c r="F31" s="133"/>
      <c r="H31" s="1149" t="s">
        <v>2226</v>
      </c>
      <c r="I31" s="1149" t="s">
        <v>2227</v>
      </c>
      <c r="L31" s="1158"/>
      <c r="M31" s="1158"/>
      <c r="P31"/>
    </row>
    <row r="32" spans="1:21" x14ac:dyDescent="0.35">
      <c r="A32" s="406"/>
      <c r="C32" s="142" t="s">
        <v>97</v>
      </c>
      <c r="D32" s="464"/>
      <c r="E32" s="464"/>
      <c r="F32" s="464"/>
      <c r="G32" s="464"/>
      <c r="H32" s="810">
        <f>M17</f>
        <v>90795</v>
      </c>
      <c r="I32" s="1156">
        <f>H32-M38</f>
        <v>82210</v>
      </c>
      <c r="J32" s="892" t="s">
        <v>79</v>
      </c>
      <c r="L32" s="1165" t="s">
        <v>2221</v>
      </c>
      <c r="M32" s="1159">
        <f>Y7</f>
        <v>4</v>
      </c>
      <c r="P32"/>
    </row>
    <row r="33" spans="1:16" x14ac:dyDescent="0.35">
      <c r="A33" s="406"/>
      <c r="C33" t="s">
        <v>102</v>
      </c>
      <c r="I33" s="819">
        <f>M18</f>
        <v>2387362</v>
      </c>
      <c r="J33" s="892" t="s">
        <v>78</v>
      </c>
      <c r="L33" s="1165" t="s">
        <v>2222</v>
      </c>
      <c r="M33" s="1159">
        <f>Z7</f>
        <v>8</v>
      </c>
      <c r="P33"/>
    </row>
    <row r="34" spans="1:16" x14ac:dyDescent="0.35">
      <c r="A34" s="406"/>
      <c r="C34" t="s">
        <v>657</v>
      </c>
      <c r="I34" s="128">
        <f>I32+I33</f>
        <v>2469572</v>
      </c>
      <c r="J34" s="892" t="s">
        <v>1580</v>
      </c>
      <c r="L34" s="1158"/>
      <c r="M34" s="1158"/>
      <c r="P34"/>
    </row>
    <row r="35" spans="1:16" x14ac:dyDescent="0.35">
      <c r="A35" s="406"/>
      <c r="I35" s="345"/>
      <c r="J35" s="136"/>
      <c r="L35" s="1165" t="s">
        <v>2223</v>
      </c>
      <c r="M35" s="1159">
        <f>AA7</f>
        <v>16</v>
      </c>
      <c r="P35"/>
    </row>
    <row r="36" spans="1:16" x14ac:dyDescent="0.35">
      <c r="A36" s="406"/>
      <c r="C36" s="75" t="s">
        <v>658</v>
      </c>
      <c r="D36" s="75"/>
      <c r="E36" s="75"/>
      <c r="F36" s="75"/>
      <c r="I36" s="637">
        <f>ROUND(I32/I33,8)</f>
        <v>3.4435500000000001E-2</v>
      </c>
      <c r="J36" s="892" t="s">
        <v>1777</v>
      </c>
      <c r="L36" s="1165" t="s">
        <v>2224</v>
      </c>
      <c r="M36" s="1159">
        <f>AB7</f>
        <v>32</v>
      </c>
      <c r="P36"/>
    </row>
    <row r="37" spans="1:16" x14ac:dyDescent="0.35">
      <c r="A37" s="406"/>
      <c r="L37" s="1158"/>
      <c r="M37" s="1158"/>
      <c r="P37"/>
    </row>
    <row r="38" spans="1:16" x14ac:dyDescent="0.35">
      <c r="A38" s="406"/>
      <c r="L38" s="1165" t="s">
        <v>2225</v>
      </c>
      <c r="M38" s="1160">
        <f>ROUND((M32+M33+M35+M36)*M30,0)</f>
        <v>8585</v>
      </c>
      <c r="P38"/>
    </row>
    <row r="39" spans="1:16" x14ac:dyDescent="0.35">
      <c r="A39" s="858" t="s">
        <v>666</v>
      </c>
      <c r="P39"/>
    </row>
    <row r="40" spans="1:16" x14ac:dyDescent="0.35">
      <c r="A40" s="406"/>
      <c r="P40"/>
    </row>
    <row r="41" spans="1:16" x14ac:dyDescent="0.35">
      <c r="A41" s="406"/>
      <c r="B41" s="41" t="str">
        <f>$A$4</f>
        <v>SC5 Rate II</v>
      </c>
      <c r="C41" s="3"/>
      <c r="D41" s="3"/>
      <c r="E41" s="3"/>
      <c r="F41" s="3"/>
      <c r="G41" s="3"/>
      <c r="H41" s="1316" t="s">
        <v>82</v>
      </c>
      <c r="I41" s="1317"/>
      <c r="J41" s="1318"/>
      <c r="K41" s="3"/>
      <c r="L41" s="1307" t="s">
        <v>81</v>
      </c>
      <c r="M41" s="1308"/>
      <c r="N41" s="1309"/>
    </row>
    <row r="42" spans="1:16" x14ac:dyDescent="0.35">
      <c r="A42" s="406"/>
      <c r="B42" s="3"/>
      <c r="C42" s="3"/>
      <c r="E42" s="30" t="s">
        <v>80</v>
      </c>
      <c r="F42" s="3"/>
      <c r="G42" s="3"/>
      <c r="H42" s="30" t="s">
        <v>42</v>
      </c>
      <c r="I42" s="30"/>
      <c r="J42" s="30" t="s">
        <v>40</v>
      </c>
      <c r="K42" s="3"/>
      <c r="L42" s="30" t="s">
        <v>42</v>
      </c>
      <c r="M42" s="86"/>
      <c r="N42" s="30" t="s">
        <v>40</v>
      </c>
    </row>
    <row r="43" spans="1:16" x14ac:dyDescent="0.35">
      <c r="A43" s="406"/>
      <c r="B43" s="3" t="s">
        <v>656</v>
      </c>
      <c r="C43" s="3"/>
      <c r="D43" s="121" t="str">
        <f>Q6</f>
        <v>D1</v>
      </c>
      <c r="E43" s="122"/>
      <c r="F43" s="121" t="str">
        <f>R6</f>
        <v>8-6</v>
      </c>
      <c r="G43" s="123"/>
      <c r="H43" s="35">
        <f>G11</f>
        <v>4.5999999999999996</v>
      </c>
      <c r="I43" s="892" t="s">
        <v>177</v>
      </c>
      <c r="J43" s="35">
        <f>G8</f>
        <v>0</v>
      </c>
      <c r="K43" s="3"/>
      <c r="L43" s="27">
        <f>H43-$J$44</f>
        <v>-3.33</v>
      </c>
      <c r="M43" s="892" t="s">
        <v>1779</v>
      </c>
      <c r="N43" s="3"/>
    </row>
    <row r="44" spans="1:16" x14ac:dyDescent="0.35">
      <c r="A44" s="406"/>
      <c r="B44" s="3"/>
      <c r="C44" s="3"/>
      <c r="D44" s="121" t="str">
        <f>Q7</f>
        <v>D2</v>
      </c>
      <c r="E44" s="122"/>
      <c r="F44" s="121" t="str">
        <f>R7</f>
        <v>8-10</v>
      </c>
      <c r="G44" s="36"/>
      <c r="H44" s="35">
        <f>G12</f>
        <v>9.35</v>
      </c>
      <c r="I44" s="892" t="s">
        <v>178</v>
      </c>
      <c r="J44" s="35">
        <f>G9</f>
        <v>7.93</v>
      </c>
      <c r="K44" s="892" t="s">
        <v>1583</v>
      </c>
      <c r="L44" s="27">
        <f>H44-$J$44</f>
        <v>1.42</v>
      </c>
      <c r="M44" s="892" t="s">
        <v>1782</v>
      </c>
      <c r="N44" s="112"/>
      <c r="O44" s="892" t="s">
        <v>213</v>
      </c>
    </row>
    <row r="45" spans="1:16" x14ac:dyDescent="0.35">
      <c r="A45" s="406"/>
      <c r="B45" s="3"/>
      <c r="C45" s="3"/>
      <c r="D45" s="121" t="str">
        <f>Q8</f>
        <v>D3</v>
      </c>
      <c r="E45" s="122"/>
      <c r="F45" s="121" t="str">
        <f>R8</f>
        <v>All Day</v>
      </c>
      <c r="G45" s="36"/>
      <c r="H45" s="35">
        <f>G13</f>
        <v>9.98</v>
      </c>
      <c r="I45" s="892" t="s">
        <v>1778</v>
      </c>
      <c r="J45" s="35">
        <f>G10</f>
        <v>3.78</v>
      </c>
      <c r="K45" s="892" t="s">
        <v>1304</v>
      </c>
      <c r="L45" s="27">
        <f>H45-$J$44</f>
        <v>2.0500000000000007</v>
      </c>
      <c r="M45" s="892" t="s">
        <v>1783</v>
      </c>
      <c r="N45" s="27">
        <f>J45-$J$44</f>
        <v>-4.1500000000000004</v>
      </c>
      <c r="O45" s="892" t="s">
        <v>1784</v>
      </c>
    </row>
    <row r="46" spans="1:16" x14ac:dyDescent="0.35">
      <c r="A46" s="406"/>
      <c r="B46" s="3"/>
      <c r="C46" s="3"/>
      <c r="D46" s="2"/>
      <c r="E46" s="122"/>
      <c r="F46" s="122"/>
      <c r="G46" s="36"/>
      <c r="H46" s="120"/>
      <c r="J46" s="120"/>
      <c r="K46" s="3"/>
      <c r="L46" s="27"/>
      <c r="N46" s="61"/>
    </row>
    <row r="47" spans="1:16" x14ac:dyDescent="0.35">
      <c r="A47" s="406"/>
      <c r="K47" s="100" t="s">
        <v>688</v>
      </c>
      <c r="L47" s="968">
        <f>I36</f>
        <v>3.4435500000000001E-2</v>
      </c>
      <c r="M47" s="892" t="s">
        <v>1173</v>
      </c>
    </row>
    <row r="48" spans="1:16" x14ac:dyDescent="0.35">
      <c r="A48" s="406"/>
      <c r="B48" s="119" t="s">
        <v>77</v>
      </c>
      <c r="L48" s="1307" t="s">
        <v>76</v>
      </c>
      <c r="M48" s="1308"/>
      <c r="N48" s="1309"/>
    </row>
    <row r="49" spans="1:21" x14ac:dyDescent="0.35">
      <c r="A49" s="406"/>
      <c r="C49" s="41" t="str">
        <f>B41</f>
        <v>SC5 Rate II</v>
      </c>
      <c r="D49" s="41" t="str">
        <f>$B$43</f>
        <v>(HT &amp; LT)</v>
      </c>
      <c r="H49" s="118" t="s">
        <v>42</v>
      </c>
      <c r="I49" s="118" t="s">
        <v>40</v>
      </c>
      <c r="L49" s="30" t="s">
        <v>42</v>
      </c>
      <c r="M49" s="86"/>
      <c r="N49" s="30" t="s">
        <v>40</v>
      </c>
    </row>
    <row r="50" spans="1:21" x14ac:dyDescent="0.35">
      <c r="A50" s="406"/>
      <c r="C50" s="121" t="str">
        <f>D43</f>
        <v>D1</v>
      </c>
      <c r="D50" s="121" t="str">
        <f>F43</f>
        <v>8-6</v>
      </c>
      <c r="H50" s="117" t="str">
        <f>CONCATENATE("X + ",L50)</f>
        <v>X + -3.44</v>
      </c>
      <c r="I50" s="457"/>
      <c r="L50" s="27">
        <f>ROUND(L43*(1+$L$47),2)</f>
        <v>-3.44</v>
      </c>
      <c r="M50" s="892" t="s">
        <v>1785</v>
      </c>
    </row>
    <row r="51" spans="1:21" x14ac:dyDescent="0.35">
      <c r="A51" s="406"/>
      <c r="C51" s="121" t="str">
        <f>D44</f>
        <v>D2</v>
      </c>
      <c r="D51" s="121" t="str">
        <f>F44</f>
        <v>8-10</v>
      </c>
      <c r="H51" s="114" t="str">
        <f>CONCATENATE("X + ",L51)</f>
        <v>X + 1.47</v>
      </c>
      <c r="I51" s="115" t="s">
        <v>32</v>
      </c>
      <c r="L51" s="27">
        <f>ROUND(L44*(1+$L$47),2)</f>
        <v>1.47</v>
      </c>
      <c r="M51" s="892" t="s">
        <v>1786</v>
      </c>
      <c r="N51" s="112"/>
      <c r="O51" s="892" t="s">
        <v>213</v>
      </c>
    </row>
    <row r="52" spans="1:21" s="1" customFormat="1" x14ac:dyDescent="0.35">
      <c r="A52" s="406"/>
      <c r="C52" s="121" t="str">
        <f>D45</f>
        <v>D3</v>
      </c>
      <c r="D52" s="121" t="str">
        <f>F45</f>
        <v>All Day</v>
      </c>
      <c r="E52"/>
      <c r="F52"/>
      <c r="H52" s="111" t="str">
        <f>CONCATENATE("X + ",L52)</f>
        <v>X + 2.12</v>
      </c>
      <c r="I52" s="110" t="str">
        <f>CONCATENATE("X + ",N52)</f>
        <v>X + -4.29</v>
      </c>
      <c r="J52"/>
      <c r="K52"/>
      <c r="L52" s="27">
        <f>ROUND(L45*(1+$L$47),2)</f>
        <v>2.12</v>
      </c>
      <c r="M52" s="892" t="s">
        <v>1787</v>
      </c>
      <c r="N52" s="27">
        <f>ROUND(N45*(1+$L$47),2)</f>
        <v>-4.29</v>
      </c>
      <c r="O52" s="892" t="s">
        <v>1788</v>
      </c>
      <c r="Q52"/>
      <c r="R52"/>
      <c r="S52"/>
      <c r="T52"/>
      <c r="U52"/>
    </row>
    <row r="53" spans="1:21" s="1" customFormat="1" x14ac:dyDescent="0.35">
      <c r="A53" s="406"/>
      <c r="B53"/>
      <c r="C53"/>
      <c r="D53"/>
      <c r="E53"/>
      <c r="F53"/>
      <c r="G53"/>
      <c r="H53"/>
      <c r="I53"/>
      <c r="J53"/>
      <c r="K53"/>
      <c r="L53"/>
      <c r="N53"/>
      <c r="O53"/>
      <c r="Q53"/>
      <c r="R53"/>
      <c r="S53"/>
      <c r="T53"/>
      <c r="U53"/>
    </row>
    <row r="54" spans="1:21" s="1" customFormat="1" x14ac:dyDescent="0.35">
      <c r="A54" s="406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Q54"/>
      <c r="R54"/>
      <c r="S54"/>
      <c r="T54"/>
      <c r="U54"/>
    </row>
    <row r="55" spans="1:21" s="1" customFormat="1" x14ac:dyDescent="0.35">
      <c r="A55" s="406"/>
      <c r="B55" s="334" t="s">
        <v>70</v>
      </c>
      <c r="C55"/>
      <c r="D55"/>
      <c r="E55"/>
      <c r="F55"/>
      <c r="G55"/>
      <c r="H55"/>
      <c r="I55"/>
      <c r="J55"/>
      <c r="K55"/>
      <c r="L55"/>
      <c r="M55"/>
      <c r="N55"/>
      <c r="O55"/>
      <c r="Q55"/>
      <c r="R55"/>
      <c r="S55"/>
      <c r="T55"/>
      <c r="U55"/>
    </row>
    <row r="56" spans="1:21" s="1" customFormat="1" x14ac:dyDescent="0.35">
      <c r="A56" s="406"/>
      <c r="B56" s="41" t="str">
        <f>$A$4</f>
        <v>SC5 Rate II</v>
      </c>
      <c r="C56"/>
      <c r="D56"/>
      <c r="E56"/>
      <c r="F56"/>
      <c r="G56"/>
      <c r="H56"/>
      <c r="I56"/>
      <c r="J56"/>
      <c r="K56"/>
      <c r="L56"/>
      <c r="M56"/>
      <c r="N56"/>
      <c r="O56"/>
      <c r="Q56"/>
      <c r="R56"/>
      <c r="S56"/>
      <c r="T56"/>
      <c r="U56"/>
    </row>
    <row r="57" spans="1:21" s="1" customFormat="1" x14ac:dyDescent="0.35">
      <c r="A57" s="406"/>
      <c r="B57" s="70" t="s">
        <v>69</v>
      </c>
      <c r="C57" s="70"/>
      <c r="D57" s="70"/>
      <c r="E57" s="3"/>
      <c r="F57" s="3"/>
      <c r="G57" s="3"/>
      <c r="H57"/>
      <c r="I57" s="69" t="s">
        <v>25</v>
      </c>
      <c r="J57" s="3"/>
      <c r="K57" s="3"/>
      <c r="L57"/>
      <c r="M57"/>
      <c r="N57"/>
      <c r="O57"/>
      <c r="Q57"/>
      <c r="R57"/>
      <c r="S57"/>
      <c r="T57"/>
      <c r="U57"/>
    </row>
    <row r="58" spans="1:21" s="1" customFormat="1" x14ac:dyDescent="0.35">
      <c r="A58" s="406"/>
      <c r="B58" s="3"/>
      <c r="C58" s="392" t="str">
        <f>CONCATENATE(D43,": ",F43)</f>
        <v>D1: 8-6</v>
      </c>
      <c r="D58" s="70"/>
      <c r="E58" s="3" t="s">
        <v>42</v>
      </c>
      <c r="F58" s="3"/>
      <c r="I58" s="72">
        <f>S6+S16</f>
        <v>69562.48000000001</v>
      </c>
      <c r="J58" s="36"/>
      <c r="K58" s="74" t="str">
        <f>CONCATENATE("[",H50,"]")</f>
        <v>[X + -3.44]</v>
      </c>
      <c r="L58" s="61" t="s">
        <v>1819</v>
      </c>
      <c r="M58"/>
      <c r="N58"/>
      <c r="O58"/>
      <c r="Q58"/>
      <c r="R58"/>
      <c r="S58"/>
      <c r="T58"/>
      <c r="U58"/>
    </row>
    <row r="59" spans="1:21" s="1" customFormat="1" x14ac:dyDescent="0.35">
      <c r="A59" s="406"/>
      <c r="B59" s="3"/>
      <c r="C59" s="464"/>
      <c r="D59" s="3"/>
      <c r="E59" s="3" t="s">
        <v>40</v>
      </c>
      <c r="F59" s="3"/>
      <c r="I59" s="458">
        <f>S11+S21</f>
        <v>0</v>
      </c>
      <c r="J59" s="36" t="s">
        <v>39</v>
      </c>
      <c r="K59" s="456"/>
      <c r="L59" s="61"/>
      <c r="M59"/>
      <c r="N59"/>
      <c r="O59"/>
      <c r="Q59"/>
      <c r="R59"/>
      <c r="S59"/>
      <c r="T59"/>
      <c r="U59"/>
    </row>
    <row r="60" spans="1:21" s="1" customFormat="1" x14ac:dyDescent="0.35">
      <c r="A60" s="406"/>
      <c r="B60" s="3"/>
      <c r="C60" s="392" t="str">
        <f>CONCATENATE(D44,": ",F44)</f>
        <v>D2: 8-10</v>
      </c>
      <c r="D60" s="3"/>
      <c r="E60" s="3" t="s">
        <v>42</v>
      </c>
      <c r="F60" s="3"/>
      <c r="I60" s="72">
        <f>S7+S17</f>
        <v>71347.600000000006</v>
      </c>
      <c r="J60" s="36"/>
      <c r="K60" s="73" t="str">
        <f>CONCATENATE("[",H51,"]")</f>
        <v>[X + 1.47]</v>
      </c>
      <c r="L60" s="61" t="s">
        <v>1820</v>
      </c>
      <c r="M60"/>
      <c r="N60"/>
      <c r="O60"/>
      <c r="Q60"/>
      <c r="R60"/>
      <c r="S60"/>
      <c r="T60"/>
      <c r="U60"/>
    </row>
    <row r="61" spans="1:21" s="1" customFormat="1" x14ac:dyDescent="0.35">
      <c r="A61" s="406"/>
      <c r="B61" s="3"/>
      <c r="C61" s="464"/>
      <c r="D61" s="3"/>
      <c r="E61" s="3" t="s">
        <v>40</v>
      </c>
      <c r="F61" s="3"/>
      <c r="H61"/>
      <c r="I61" s="366">
        <f>S12+S22</f>
        <v>156592.96000000005</v>
      </c>
      <c r="J61" s="36" t="s">
        <v>39</v>
      </c>
      <c r="K61" s="73" t="str">
        <f>CONCATENATE("[",I51,"]")</f>
        <v>[X]</v>
      </c>
      <c r="L61" s="61" t="s">
        <v>1642</v>
      </c>
      <c r="M61"/>
      <c r="N61"/>
      <c r="O61"/>
      <c r="Q61"/>
      <c r="R61"/>
      <c r="S61"/>
      <c r="T61"/>
      <c r="U61"/>
    </row>
    <row r="62" spans="1:21" s="1" customFormat="1" x14ac:dyDescent="0.35">
      <c r="A62" s="406"/>
      <c r="B62" s="3"/>
      <c r="C62" s="392" t="str">
        <f>CONCATENATE(D45,": ",F45)</f>
        <v>D3: All Day</v>
      </c>
      <c r="D62" s="3"/>
      <c r="E62" s="3" t="s">
        <v>42</v>
      </c>
      <c r="F62" s="3"/>
      <c r="H62"/>
      <c r="I62" s="72">
        <f>S8+S18</f>
        <v>9249.5</v>
      </c>
      <c r="J62" s="36" t="s">
        <v>39</v>
      </c>
      <c r="K62" s="73" t="str">
        <f>CONCATENATE("[",H52,"]")</f>
        <v>[X + 2.12]</v>
      </c>
      <c r="L62" s="61" t="s">
        <v>1821</v>
      </c>
      <c r="M62"/>
      <c r="N62"/>
      <c r="O62"/>
      <c r="Q62"/>
      <c r="R62"/>
      <c r="S62"/>
      <c r="T62"/>
      <c r="U62"/>
    </row>
    <row r="63" spans="1:21" s="1" customFormat="1" x14ac:dyDescent="0.35">
      <c r="A63" s="406"/>
      <c r="B63" s="3"/>
      <c r="C63" s="410"/>
      <c r="D63" s="3"/>
      <c r="E63" s="3" t="s">
        <v>40</v>
      </c>
      <c r="F63" s="3"/>
      <c r="H63"/>
      <c r="I63" s="553">
        <f>S13+S23</f>
        <v>17349.300000000003</v>
      </c>
      <c r="J63" s="36" t="s">
        <v>39</v>
      </c>
      <c r="K63" s="71" t="str">
        <f>CONCATENATE("[",I52,"]")</f>
        <v>[X + -4.29]</v>
      </c>
      <c r="L63" s="61" t="s">
        <v>1822</v>
      </c>
      <c r="M63"/>
      <c r="N63"/>
      <c r="O63"/>
      <c r="Q63"/>
      <c r="R63"/>
      <c r="S63"/>
      <c r="T63"/>
      <c r="U63"/>
    </row>
    <row r="64" spans="1:21" s="1" customFormat="1" x14ac:dyDescent="0.35">
      <c r="A64" s="406"/>
      <c r="B64" s="3"/>
      <c r="C64" s="3"/>
      <c r="D64" s="3"/>
      <c r="E64" s="3"/>
      <c r="F64" s="3"/>
      <c r="H64"/>
      <c r="I64" s="28">
        <f>SUM(I58:I63)</f>
        <v>324101.84000000003</v>
      </c>
      <c r="J64" s="61" t="s">
        <v>1823</v>
      </c>
      <c r="K64"/>
      <c r="L64"/>
      <c r="M64"/>
      <c r="N64"/>
      <c r="O64"/>
      <c r="Q64"/>
      <c r="R64"/>
      <c r="S64"/>
      <c r="T64"/>
      <c r="U64"/>
    </row>
    <row r="65" spans="1:21" x14ac:dyDescent="0.35">
      <c r="A65" s="406"/>
      <c r="B65" s="70" t="s">
        <v>660</v>
      </c>
    </row>
    <row r="66" spans="1:21" x14ac:dyDescent="0.35">
      <c r="A66" s="406"/>
      <c r="B66" s="41" t="str">
        <f>$A$4</f>
        <v>SC5 Rate II</v>
      </c>
      <c r="C66" s="3" t="s">
        <v>656</v>
      </c>
      <c r="F66" s="3"/>
      <c r="G66" s="3"/>
      <c r="H66" s="3"/>
      <c r="I66" s="69" t="s">
        <v>25</v>
      </c>
      <c r="J66" s="3"/>
      <c r="K66" s="106"/>
      <c r="L66" s="3"/>
      <c r="N66" s="17"/>
    </row>
    <row r="67" spans="1:21" x14ac:dyDescent="0.35">
      <c r="A67" s="406"/>
      <c r="C67" s="3" t="str">
        <f>C58</f>
        <v>D1: 8-6</v>
      </c>
      <c r="D67" s="3" t="str">
        <f t="shared" ref="D67:D72" si="3">E58</f>
        <v>Summer</v>
      </c>
      <c r="F67" s="3"/>
      <c r="G67" s="3"/>
      <c r="H67" s="3"/>
      <c r="I67" s="105">
        <f t="shared" ref="I67:I72" si="4">I58</f>
        <v>69562.48000000001</v>
      </c>
      <c r="J67" s="65" t="s">
        <v>63</v>
      </c>
      <c r="K67" s="103">
        <f>ROUND(I67*L50,0)</f>
        <v>-239295</v>
      </c>
      <c r="L67" s="3" t="s">
        <v>62</v>
      </c>
      <c r="M67" s="61" t="s">
        <v>1826</v>
      </c>
      <c r="N67" s="17"/>
    </row>
    <row r="68" spans="1:21" x14ac:dyDescent="0.35">
      <c r="A68" s="406"/>
      <c r="C68" s="3"/>
      <c r="D68" s="3" t="str">
        <f t="shared" si="3"/>
        <v>Winter</v>
      </c>
      <c r="F68" s="3"/>
      <c r="G68" s="3"/>
      <c r="H68" s="3"/>
      <c r="I68" s="105">
        <f t="shared" si="4"/>
        <v>0</v>
      </c>
      <c r="J68" s="65" t="s">
        <v>63</v>
      </c>
      <c r="K68" s="103">
        <f>ROUND(I68*N50,0)</f>
        <v>0</v>
      </c>
      <c r="L68" s="3" t="s">
        <v>62</v>
      </c>
      <c r="M68" s="61"/>
      <c r="N68" s="17"/>
    </row>
    <row r="69" spans="1:21" x14ac:dyDescent="0.35">
      <c r="A69" s="406"/>
      <c r="C69" s="3" t="str">
        <f>C60</f>
        <v>D2: 8-10</v>
      </c>
      <c r="D69" s="3" t="str">
        <f t="shared" si="3"/>
        <v>Summer</v>
      </c>
      <c r="F69" s="3"/>
      <c r="G69" s="3"/>
      <c r="H69" s="3"/>
      <c r="I69" s="105">
        <f t="shared" si="4"/>
        <v>71347.600000000006</v>
      </c>
      <c r="J69" s="65" t="s">
        <v>63</v>
      </c>
      <c r="K69" s="103">
        <f>ROUND(I69*L51,0)</f>
        <v>104881</v>
      </c>
      <c r="L69" s="3" t="s">
        <v>62</v>
      </c>
      <c r="M69" s="61" t="s">
        <v>1827</v>
      </c>
      <c r="N69" s="17"/>
    </row>
    <row r="70" spans="1:21" x14ac:dyDescent="0.35">
      <c r="A70" s="406"/>
      <c r="C70" s="3"/>
      <c r="D70" s="3" t="str">
        <f t="shared" si="3"/>
        <v>Winter</v>
      </c>
      <c r="F70" s="3"/>
      <c r="G70" s="3"/>
      <c r="H70" s="3"/>
      <c r="I70" s="105">
        <f t="shared" si="4"/>
        <v>156592.96000000005</v>
      </c>
      <c r="J70" s="65" t="s">
        <v>63</v>
      </c>
      <c r="K70" s="134">
        <f>ROUND(I70*N51,0)</f>
        <v>0</v>
      </c>
      <c r="L70" s="3" t="s">
        <v>62</v>
      </c>
      <c r="M70" s="61" t="s">
        <v>1828</v>
      </c>
      <c r="N70" s="17"/>
    </row>
    <row r="71" spans="1:21" x14ac:dyDescent="0.35">
      <c r="A71" s="406"/>
      <c r="C71" s="3" t="str">
        <f>C62</f>
        <v>D3: All Day</v>
      </c>
      <c r="D71" s="3" t="str">
        <f t="shared" si="3"/>
        <v>Summer</v>
      </c>
      <c r="F71" s="3"/>
      <c r="G71" s="3"/>
      <c r="H71" s="3"/>
      <c r="I71" s="105">
        <f t="shared" si="4"/>
        <v>9249.5</v>
      </c>
      <c r="J71" s="65" t="s">
        <v>63</v>
      </c>
      <c r="K71" s="103">
        <f>ROUND(I71*L52,0)</f>
        <v>19609</v>
      </c>
      <c r="L71" s="3" t="s">
        <v>62</v>
      </c>
      <c r="M71" s="61" t="s">
        <v>1829</v>
      </c>
      <c r="N71" s="17"/>
    </row>
    <row r="72" spans="1:21" x14ac:dyDescent="0.35">
      <c r="A72" s="406"/>
      <c r="C72" s="3"/>
      <c r="D72" s="3" t="str">
        <f t="shared" si="3"/>
        <v>Winter</v>
      </c>
      <c r="F72" s="3"/>
      <c r="G72" s="3"/>
      <c r="H72" s="3"/>
      <c r="I72" s="351">
        <f t="shared" si="4"/>
        <v>17349.300000000003</v>
      </c>
      <c r="J72" s="104" t="s">
        <v>63</v>
      </c>
      <c r="K72" s="977">
        <f>ROUND(I72*N52,0)</f>
        <v>-74428</v>
      </c>
      <c r="L72" s="44" t="s">
        <v>62</v>
      </c>
      <c r="M72" s="61" t="s">
        <v>1830</v>
      </c>
      <c r="N72" s="17"/>
    </row>
    <row r="73" spans="1:21" x14ac:dyDescent="0.35">
      <c r="A73" s="406"/>
      <c r="C73" s="3" t="s">
        <v>659</v>
      </c>
      <c r="F73" s="66"/>
      <c r="G73" s="66">
        <f>I34</f>
        <v>2469572</v>
      </c>
      <c r="H73" s="63" t="s">
        <v>31</v>
      </c>
      <c r="I73" s="28">
        <f>SUM(I67:I72)</f>
        <v>324101.84000000003</v>
      </c>
      <c r="J73" s="65" t="s">
        <v>63</v>
      </c>
      <c r="K73" s="103">
        <f>SUM(K67:K72)</f>
        <v>-189233</v>
      </c>
      <c r="L73" s="3" t="s">
        <v>1824</v>
      </c>
      <c r="M73" s="61" t="s">
        <v>1645</v>
      </c>
      <c r="N73" s="17"/>
    </row>
    <row r="74" spans="1:21" x14ac:dyDescent="0.35">
      <c r="A74" s="406"/>
      <c r="F74" s="3"/>
      <c r="G74" s="3"/>
      <c r="H74" s="3"/>
      <c r="I74" s="3"/>
      <c r="J74" s="3"/>
      <c r="K74" s="3"/>
      <c r="L74" s="3"/>
      <c r="M74" s="61" t="s">
        <v>1831</v>
      </c>
      <c r="N74" s="17"/>
    </row>
    <row r="75" spans="1:21" x14ac:dyDescent="0.35">
      <c r="A75" s="406"/>
      <c r="F75" s="34"/>
      <c r="G75" s="34">
        <f>G73-K73</f>
        <v>2658805</v>
      </c>
      <c r="H75" s="63" t="s">
        <v>31</v>
      </c>
      <c r="I75" s="28">
        <f>I73</f>
        <v>324101.84000000003</v>
      </c>
      <c r="J75" s="65" t="s">
        <v>32</v>
      </c>
      <c r="K75" s="3"/>
      <c r="L75" s="3"/>
      <c r="M75" s="61" t="s">
        <v>1832</v>
      </c>
      <c r="N75" s="17"/>
    </row>
    <row r="76" spans="1:21" x14ac:dyDescent="0.35">
      <c r="A76" s="406"/>
      <c r="F76" s="3"/>
      <c r="G76" s="3"/>
      <c r="H76" s="3"/>
      <c r="I76" s="3"/>
      <c r="J76" s="3"/>
      <c r="K76" s="3"/>
      <c r="L76" s="3"/>
      <c r="M76" s="3"/>
      <c r="N76" s="17"/>
    </row>
    <row r="77" spans="1:21" s="1" customFormat="1" x14ac:dyDescent="0.35">
      <c r="A77" s="406"/>
      <c r="B77"/>
      <c r="C77"/>
      <c r="D77"/>
      <c r="E77"/>
      <c r="F77" s="64"/>
      <c r="G77" s="64" t="s">
        <v>32</v>
      </c>
      <c r="H77" s="63" t="s">
        <v>31</v>
      </c>
      <c r="I77" s="102">
        <f>ROUND(G75/I75,2)</f>
        <v>8.1999999999999993</v>
      </c>
      <c r="J77" s="61" t="s">
        <v>1825</v>
      </c>
      <c r="K77" s="3"/>
      <c r="L77" s="3"/>
      <c r="M77" s="61" t="s">
        <v>1833</v>
      </c>
      <c r="N77" s="17"/>
      <c r="O77"/>
      <c r="Q77"/>
      <c r="R77"/>
      <c r="S77"/>
      <c r="T77"/>
      <c r="U77"/>
    </row>
    <row r="78" spans="1:21" x14ac:dyDescent="0.35">
      <c r="A78" s="406"/>
      <c r="P78"/>
    </row>
    <row r="79" spans="1:21" s="1" customFormat="1" x14ac:dyDescent="0.35">
      <c r="A79" s="406"/>
      <c r="B79" s="334" t="str">
        <f>CONCATENATE($A$4," at Proposed Demand Rates")</f>
        <v>SC5 Rate II at Proposed Demand Rates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x14ac:dyDescent="0.35">
      <c r="A80" s="406"/>
      <c r="C80" s="3" t="s">
        <v>5</v>
      </c>
      <c r="D80" s="1319">
        <f>$L$4</f>
        <v>2020</v>
      </c>
      <c r="E80" s="1319"/>
      <c r="F80" s="1319"/>
      <c r="G80" s="3"/>
      <c r="H80" s="3"/>
      <c r="I80" s="3"/>
      <c r="J80" s="3"/>
      <c r="K80" s="3"/>
      <c r="L80" s="3"/>
      <c r="M80" s="3"/>
      <c r="Q80"/>
      <c r="R80"/>
      <c r="S80"/>
      <c r="T80"/>
      <c r="U80"/>
    </row>
    <row r="81" spans="1:21" s="1" customFormat="1" x14ac:dyDescent="0.35">
      <c r="A81" s="406"/>
      <c r="B8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/>
      <c r="Q81"/>
      <c r="R81"/>
      <c r="S81"/>
      <c r="T81"/>
      <c r="U81"/>
    </row>
    <row r="82" spans="1:21" s="1" customFormat="1" x14ac:dyDescent="0.35">
      <c r="A82" s="406"/>
      <c r="B82"/>
      <c r="C82" s="60"/>
      <c r="D82" s="59"/>
      <c r="E82" s="59"/>
      <c r="F82" s="59"/>
      <c r="G82" s="59"/>
      <c r="H82" s="59"/>
      <c r="I82" s="59"/>
      <c r="J82" s="59"/>
      <c r="K82" s="59"/>
      <c r="L82" s="98"/>
      <c r="M82" s="3"/>
      <c r="N82" s="1349" t="s">
        <v>661</v>
      </c>
      <c r="O82" s="1349"/>
      <c r="P82" s="1349"/>
      <c r="Q82" s="1349"/>
      <c r="R82"/>
      <c r="S82"/>
      <c r="T82"/>
      <c r="U82"/>
    </row>
    <row r="83" spans="1:21" s="1" customFormat="1" x14ac:dyDescent="0.35">
      <c r="A83" s="406"/>
      <c r="B83"/>
      <c r="C83" s="461" t="str">
        <f>$A$4</f>
        <v>SC5 Rate II</v>
      </c>
      <c r="D83" s="44"/>
      <c r="E83" s="44"/>
      <c r="F83" s="44"/>
      <c r="G83" s="44"/>
      <c r="H83" s="1313" t="s">
        <v>58</v>
      </c>
      <c r="I83" s="1314"/>
      <c r="J83" s="1315"/>
      <c r="K83" s="44"/>
      <c r="L83" s="94"/>
      <c r="N83" s="1349" t="s">
        <v>57</v>
      </c>
      <c r="O83" s="1349"/>
      <c r="P83" s="1349"/>
      <c r="Q83" s="1349"/>
      <c r="R83"/>
      <c r="S83"/>
      <c r="T83"/>
      <c r="U83"/>
    </row>
    <row r="84" spans="1:21" s="1" customFormat="1" x14ac:dyDescent="0.35">
      <c r="A84" s="406"/>
      <c r="B84"/>
      <c r="C84" s="96" t="str">
        <f>$B$43</f>
        <v>(HT &amp; LT)</v>
      </c>
      <c r="D84" s="44"/>
      <c r="E84" s="44"/>
      <c r="F84" s="44"/>
      <c r="G84" s="44"/>
      <c r="H84" s="1182" t="s">
        <v>10</v>
      </c>
      <c r="I84" s="44"/>
      <c r="J84" s="1182" t="s">
        <v>7</v>
      </c>
      <c r="K84" s="44"/>
      <c r="L84" s="94"/>
      <c r="N84" s="36" t="s">
        <v>10</v>
      </c>
      <c r="P84" s="36" t="s">
        <v>7</v>
      </c>
      <c r="Q84"/>
      <c r="R84"/>
      <c r="S84"/>
      <c r="T84"/>
      <c r="U84"/>
    </row>
    <row r="85" spans="1:21" x14ac:dyDescent="0.35">
      <c r="A85" s="406"/>
      <c r="C85" s="96"/>
      <c r="D85" s="1182" t="str">
        <f>$C$50</f>
        <v>D1</v>
      </c>
      <c r="E85" s="1182"/>
      <c r="F85" s="1182" t="str">
        <f>$D$50</f>
        <v>8-6</v>
      </c>
      <c r="G85" s="44"/>
      <c r="H85" s="97">
        <f>$J$86+L50</f>
        <v>4.76</v>
      </c>
      <c r="I85" s="54" t="s">
        <v>1834</v>
      </c>
      <c r="J85" s="459"/>
      <c r="K85" s="54"/>
      <c r="L85" s="94"/>
      <c r="N85" s="460">
        <f>H85/H43-1</f>
        <v>3.4782608695652195E-2</v>
      </c>
      <c r="O85" s="54" t="s">
        <v>1840</v>
      </c>
      <c r="P85" s="460"/>
    </row>
    <row r="86" spans="1:21" x14ac:dyDescent="0.35">
      <c r="A86" s="406"/>
      <c r="C86" s="96"/>
      <c r="D86" s="1182" t="str">
        <f>$C$51</f>
        <v>D2</v>
      </c>
      <c r="E86" s="1182"/>
      <c r="F86" s="1182" t="str">
        <f>$D$51</f>
        <v>8-10</v>
      </c>
      <c r="G86" s="44"/>
      <c r="H86" s="97">
        <f>$J$86+L51</f>
        <v>9.67</v>
      </c>
      <c r="I86" s="54" t="s">
        <v>1836</v>
      </c>
      <c r="J86" s="987">
        <f>I77</f>
        <v>8.1999999999999993</v>
      </c>
      <c r="K86" s="54" t="s">
        <v>1835</v>
      </c>
      <c r="L86" s="94"/>
      <c r="N86" s="460">
        <f>H86/H44-1</f>
        <v>3.4224598930481243E-2</v>
      </c>
      <c r="O86" s="54" t="s">
        <v>1841</v>
      </c>
      <c r="P86" s="460">
        <f>J86/J44-1</f>
        <v>3.4047919293820783E-2</v>
      </c>
      <c r="Q86" s="54" t="s">
        <v>1843</v>
      </c>
    </row>
    <row r="87" spans="1:21" x14ac:dyDescent="0.35">
      <c r="A87" s="406"/>
      <c r="C87" s="96"/>
      <c r="D87" s="1182" t="str">
        <f>$C$52</f>
        <v>D3</v>
      </c>
      <c r="E87" s="1182"/>
      <c r="F87" s="1182" t="str">
        <f>$D$52</f>
        <v>All Day</v>
      </c>
      <c r="G87" s="44"/>
      <c r="H87" s="97">
        <f>$J$86+L52</f>
        <v>10.32</v>
      </c>
      <c r="I87" s="54" t="s">
        <v>1837</v>
      </c>
      <c r="J87" s="97">
        <f>$J$86+N52</f>
        <v>3.9099999999999993</v>
      </c>
      <c r="K87" s="54" t="s">
        <v>1838</v>
      </c>
      <c r="L87" s="94"/>
      <c r="N87" s="460">
        <f>H87/H45-1</f>
        <v>3.4068136272545013E-2</v>
      </c>
      <c r="O87" s="54" t="s">
        <v>1842</v>
      </c>
      <c r="P87" s="460">
        <f>J87/J45-1</f>
        <v>3.4391534391534195E-2</v>
      </c>
      <c r="Q87" s="54" t="s">
        <v>1844</v>
      </c>
    </row>
    <row r="88" spans="1:21" x14ac:dyDescent="0.35">
      <c r="A88" s="406"/>
      <c r="C88" s="93"/>
      <c r="D88" s="46"/>
      <c r="E88" s="46"/>
      <c r="F88" s="46"/>
      <c r="G88" s="46"/>
      <c r="H88" s="46"/>
      <c r="I88" s="92"/>
      <c r="J88" s="46"/>
      <c r="K88" s="92"/>
      <c r="L88" s="91"/>
      <c r="M88" s="17"/>
    </row>
    <row r="89" spans="1:21" x14ac:dyDescent="0.35">
      <c r="A89" s="406"/>
      <c r="D89" s="1152" t="s">
        <v>1174</v>
      </c>
      <c r="E89" s="1153"/>
      <c r="F89" s="1153"/>
      <c r="G89" s="1153"/>
      <c r="H89" s="1163">
        <f>H24</f>
        <v>143.09</v>
      </c>
      <c r="I89" s="1155" t="s">
        <v>2241</v>
      </c>
      <c r="J89" s="1163">
        <f>H89</f>
        <v>143.09</v>
      </c>
      <c r="K89" s="1155" t="s">
        <v>2242</v>
      </c>
      <c r="L89" s="1154"/>
    </row>
    <row r="90" spans="1:21" x14ac:dyDescent="0.35">
      <c r="A90" s="406"/>
      <c r="D90" s="3"/>
      <c r="E90" s="3"/>
      <c r="F90" s="3"/>
      <c r="G90" s="3"/>
      <c r="H90" s="3"/>
      <c r="I90" s="3"/>
      <c r="J90" s="3"/>
      <c r="K90" s="3"/>
      <c r="L90" s="3"/>
    </row>
    <row r="91" spans="1:21" x14ac:dyDescent="0.35">
      <c r="A91" s="858" t="s">
        <v>665</v>
      </c>
      <c r="B91" s="3"/>
      <c r="C91" s="3"/>
      <c r="D91" s="3"/>
      <c r="E91" s="3"/>
      <c r="F91" s="3"/>
      <c r="G91" s="3"/>
      <c r="H91" s="3"/>
      <c r="I91" s="3"/>
    </row>
    <row r="92" spans="1:21" x14ac:dyDescent="0.35">
      <c r="A92" s="858"/>
      <c r="B92" s="3"/>
      <c r="C92" s="3"/>
      <c r="D92" s="3"/>
      <c r="E92" s="3"/>
      <c r="F92" s="3"/>
      <c r="G92" s="3"/>
      <c r="H92" s="3"/>
      <c r="I92" s="3"/>
    </row>
    <row r="93" spans="1:21" x14ac:dyDescent="0.35">
      <c r="A93" s="334"/>
      <c r="B93" s="334" t="s">
        <v>664</v>
      </c>
      <c r="C93" s="3"/>
      <c r="D93" s="3"/>
      <c r="E93" s="3"/>
      <c r="F93" s="3"/>
      <c r="G93" s="3"/>
      <c r="H93" s="3"/>
      <c r="I93" s="3"/>
    </row>
    <row r="94" spans="1:21" x14ac:dyDescent="0.35">
      <c r="A94" s="334"/>
      <c r="B94" s="41" t="str">
        <f>$A$4</f>
        <v>SC5 Rate II</v>
      </c>
      <c r="C94" s="133" t="s">
        <v>669</v>
      </c>
      <c r="D94" s="133"/>
      <c r="E94" s="133"/>
      <c r="F94" s="133"/>
    </row>
    <row r="95" spans="1:21" x14ac:dyDescent="0.35">
      <c r="A95" s="334"/>
      <c r="B95" s="41"/>
      <c r="C95" t="s">
        <v>670</v>
      </c>
      <c r="I95" s="819">
        <f>M19</f>
        <v>0</v>
      </c>
      <c r="J95" s="54" t="s">
        <v>109</v>
      </c>
    </row>
    <row r="96" spans="1:21" x14ac:dyDescent="0.35">
      <c r="A96" s="334"/>
      <c r="B96" s="41"/>
      <c r="C96" t="s">
        <v>671</v>
      </c>
      <c r="I96" s="819">
        <f>M20</f>
        <v>861985</v>
      </c>
      <c r="J96" s="54" t="s">
        <v>108</v>
      </c>
    </row>
    <row r="97" spans="1:17" x14ac:dyDescent="0.35">
      <c r="A97" s="334"/>
      <c r="B97" s="41"/>
      <c r="C97" t="s">
        <v>672</v>
      </c>
      <c r="I97" s="128">
        <f>I95+I96</f>
        <v>861985</v>
      </c>
      <c r="J97" s="54" t="s">
        <v>1845</v>
      </c>
    </row>
    <row r="98" spans="1:17" x14ac:dyDescent="0.35">
      <c r="A98" s="334"/>
      <c r="B98" s="41"/>
      <c r="I98" s="345"/>
    </row>
    <row r="99" spans="1:17" x14ac:dyDescent="0.35">
      <c r="A99" s="334"/>
      <c r="B99" s="41"/>
      <c r="C99" s="75" t="s">
        <v>681</v>
      </c>
      <c r="D99" s="75"/>
      <c r="E99" s="75"/>
      <c r="F99" s="75"/>
      <c r="I99" s="637">
        <f>ROUND(I95/I96,8)</f>
        <v>0</v>
      </c>
      <c r="J99" s="54" t="s">
        <v>1846</v>
      </c>
    </row>
    <row r="100" spans="1:17" x14ac:dyDescent="0.35">
      <c r="A100" s="334"/>
      <c r="B100" s="41"/>
      <c r="C100" s="3"/>
      <c r="D100" s="3"/>
      <c r="E100" s="3"/>
      <c r="F100" s="3"/>
      <c r="G100" s="3"/>
      <c r="H100" s="3"/>
      <c r="I100" s="3"/>
    </row>
    <row r="101" spans="1:17" x14ac:dyDescent="0.35">
      <c r="A101" s="407" t="s">
        <v>682</v>
      </c>
      <c r="P101"/>
    </row>
    <row r="102" spans="1:17" x14ac:dyDescent="0.35">
      <c r="Q102" s="1"/>
    </row>
    <row r="103" spans="1:17" x14ac:dyDescent="0.35">
      <c r="B103" s="41" t="str">
        <f>$A$4</f>
        <v>SC5 Rate II</v>
      </c>
      <c r="C103" s="3"/>
      <c r="D103" s="3"/>
      <c r="E103" s="3"/>
      <c r="F103" s="3"/>
      <c r="G103" s="3"/>
      <c r="H103" s="1316" t="s">
        <v>680</v>
      </c>
      <c r="I103" s="1317"/>
      <c r="J103" s="1318"/>
      <c r="K103" s="3"/>
      <c r="L103" s="1307" t="s">
        <v>81</v>
      </c>
      <c r="M103" s="1308"/>
      <c r="N103" s="1309"/>
      <c r="P103"/>
    </row>
    <row r="104" spans="1:17" x14ac:dyDescent="0.35">
      <c r="B104" s="3"/>
      <c r="C104" s="3"/>
      <c r="E104" s="30" t="s">
        <v>80</v>
      </c>
      <c r="F104" s="3"/>
      <c r="G104" s="3"/>
      <c r="H104" s="30" t="s">
        <v>42</v>
      </c>
      <c r="I104" s="30"/>
      <c r="J104" s="30" t="s">
        <v>40</v>
      </c>
      <c r="K104" s="3"/>
      <c r="L104" s="30" t="s">
        <v>42</v>
      </c>
      <c r="M104" s="86"/>
      <c r="N104" s="30" t="s">
        <v>40</v>
      </c>
      <c r="P104"/>
    </row>
    <row r="105" spans="1:17" x14ac:dyDescent="0.35">
      <c r="E105" s="123"/>
      <c r="F105" s="121" t="s">
        <v>1393</v>
      </c>
      <c r="G105" s="123"/>
      <c r="H105" s="348">
        <f>G14</f>
        <v>7.9000000000000008E-3</v>
      </c>
      <c r="I105" s="54" t="s">
        <v>1639</v>
      </c>
      <c r="J105" s="348">
        <f>G16</f>
        <v>7.9000000000000008E-3</v>
      </c>
      <c r="K105" s="54" t="s">
        <v>1603</v>
      </c>
      <c r="L105" s="27">
        <f>H105-$J$106</f>
        <v>0</v>
      </c>
      <c r="M105" s="54" t="s">
        <v>1847</v>
      </c>
      <c r="N105" s="27">
        <f>J105-$J$106</f>
        <v>0</v>
      </c>
      <c r="O105" s="61" t="s">
        <v>1848</v>
      </c>
      <c r="P105"/>
    </row>
    <row r="106" spans="1:17" x14ac:dyDescent="0.35">
      <c r="B106" s="3"/>
      <c r="C106" s="3"/>
      <c r="D106" s="3"/>
      <c r="E106" s="123"/>
      <c r="F106" s="121" t="s">
        <v>445</v>
      </c>
      <c r="G106" s="36"/>
      <c r="H106" s="348">
        <f>G15</f>
        <v>7.9000000000000008E-3</v>
      </c>
      <c r="I106" s="54" t="s">
        <v>1640</v>
      </c>
      <c r="J106" s="348">
        <f>G17</f>
        <v>7.9000000000000008E-3</v>
      </c>
      <c r="K106" s="54" t="s">
        <v>1604</v>
      </c>
      <c r="L106" s="27">
        <f>H106-$J$106</f>
        <v>0</v>
      </c>
      <c r="M106" s="61" t="s">
        <v>1849</v>
      </c>
      <c r="N106" s="112"/>
      <c r="O106" s="61" t="s">
        <v>1735</v>
      </c>
      <c r="P106"/>
    </row>
    <row r="107" spans="1:17" x14ac:dyDescent="0.35">
      <c r="B107" s="3"/>
      <c r="C107" s="3"/>
      <c r="D107" s="3"/>
      <c r="E107" s="3"/>
      <c r="F107" s="3"/>
      <c r="G107" s="36"/>
      <c r="P107"/>
    </row>
    <row r="108" spans="1:17" x14ac:dyDescent="0.35">
      <c r="B108" s="3"/>
      <c r="E108" s="123"/>
      <c r="F108" s="123"/>
      <c r="G108" s="36"/>
      <c r="J108" s="120"/>
      <c r="K108" s="3"/>
      <c r="L108" s="27"/>
      <c r="N108" s="61"/>
      <c r="P108"/>
    </row>
    <row r="109" spans="1:17" x14ac:dyDescent="0.35">
      <c r="K109" s="100" t="s">
        <v>683</v>
      </c>
      <c r="L109" s="906">
        <f>I99</f>
        <v>0</v>
      </c>
      <c r="M109" s="54" t="s">
        <v>1638</v>
      </c>
      <c r="P109"/>
    </row>
    <row r="110" spans="1:17" x14ac:dyDescent="0.35">
      <c r="D110" s="1"/>
      <c r="E110" s="1"/>
      <c r="F110" s="1"/>
      <c r="L110" s="1307" t="s">
        <v>76</v>
      </c>
      <c r="M110" s="1308"/>
      <c r="N110" s="1309"/>
      <c r="P110"/>
    </row>
    <row r="111" spans="1:17" x14ac:dyDescent="0.35">
      <c r="C111" s="70" t="s">
        <v>77</v>
      </c>
      <c r="D111" s="1"/>
      <c r="E111" s="1"/>
      <c r="F111" s="1"/>
      <c r="G111" s="118" t="s">
        <v>42</v>
      </c>
      <c r="H111" s="118" t="s">
        <v>40</v>
      </c>
      <c r="L111" s="30" t="s">
        <v>42</v>
      </c>
      <c r="M111" s="86"/>
      <c r="N111" s="30" t="s">
        <v>40</v>
      </c>
      <c r="P111"/>
    </row>
    <row r="112" spans="1:17" x14ac:dyDescent="0.35">
      <c r="D112" s="121"/>
      <c r="E112" s="122"/>
      <c r="F112" s="121" t="str">
        <f>F105</f>
        <v>On Peak</v>
      </c>
      <c r="G112" s="117" t="str">
        <f>CONCATENATE("X + ",L112)</f>
        <v>X + 0</v>
      </c>
      <c r="H112" s="116" t="str">
        <f>CONCATENATE("X + ",N112)</f>
        <v>X + 0</v>
      </c>
      <c r="L112" s="907">
        <f>ROUND(L105*(1+$L$109),4)</f>
        <v>0</v>
      </c>
      <c r="M112" s="61" t="s">
        <v>1850</v>
      </c>
      <c r="N112" s="223">
        <f>ROUND(N105*(1+$L$109),4)</f>
        <v>0</v>
      </c>
      <c r="O112" s="61" t="s">
        <v>1852</v>
      </c>
      <c r="P112"/>
    </row>
    <row r="113" spans="2:17" x14ac:dyDescent="0.35">
      <c r="C113" s="3"/>
      <c r="D113" s="2"/>
      <c r="E113" s="122"/>
      <c r="F113" s="121" t="str">
        <f>F106</f>
        <v>Off Peak</v>
      </c>
      <c r="G113" s="111" t="str">
        <f>CONCATENATE("X + ",L113)</f>
        <v>X + 0</v>
      </c>
      <c r="H113" s="350" t="s">
        <v>32</v>
      </c>
      <c r="L113" s="223">
        <f>ROUND(L106*(1+$L$109),4)</f>
        <v>0</v>
      </c>
      <c r="M113" s="61" t="s">
        <v>1851</v>
      </c>
      <c r="N113" s="223">
        <f>ROUND(N106*(1+$L$109),4)</f>
        <v>0</v>
      </c>
      <c r="O113" s="61" t="s">
        <v>1853</v>
      </c>
      <c r="P113"/>
    </row>
    <row r="114" spans="2:17" x14ac:dyDescent="0.35">
      <c r="D114" s="1"/>
      <c r="E114" s="1"/>
      <c r="F114" s="1"/>
      <c r="P114"/>
    </row>
    <row r="115" spans="2:17" x14ac:dyDescent="0.35">
      <c r="D115" s="1"/>
      <c r="E115" s="1"/>
      <c r="F115" s="1"/>
      <c r="P115"/>
    </row>
    <row r="116" spans="2:17" x14ac:dyDescent="0.35">
      <c r="B116" s="334" t="s">
        <v>46</v>
      </c>
      <c r="P116"/>
    </row>
    <row r="117" spans="2:17" x14ac:dyDescent="0.35">
      <c r="B117" s="41" t="str">
        <f>$A$4</f>
        <v>SC5 Rate II</v>
      </c>
      <c r="P117"/>
    </row>
    <row r="118" spans="2:17" x14ac:dyDescent="0.35">
      <c r="B118" s="70" t="s">
        <v>414</v>
      </c>
      <c r="C118" s="70"/>
      <c r="D118" s="70"/>
      <c r="E118" s="3"/>
      <c r="F118" s="3"/>
      <c r="I118" s="69" t="s">
        <v>44</v>
      </c>
      <c r="J118" s="3"/>
      <c r="K118" s="3"/>
      <c r="P118"/>
    </row>
    <row r="119" spans="2:17" x14ac:dyDescent="0.35">
      <c r="B119" s="3"/>
      <c r="C119" s="3" t="s">
        <v>42</v>
      </c>
      <c r="D119" s="108" t="str">
        <f>CONCATENATE(D105,E105,F105," kWh")</f>
        <v>On Peak kWh</v>
      </c>
      <c r="I119" s="72">
        <f>U6+U16</f>
        <v>15582174</v>
      </c>
      <c r="J119" s="36" t="s">
        <v>39</v>
      </c>
      <c r="K119" s="74" t="str">
        <f>CONCATENATE("[",G112,"]")</f>
        <v>[X + 0]</v>
      </c>
      <c r="L119" s="61" t="s">
        <v>1854</v>
      </c>
      <c r="P119"/>
    </row>
    <row r="120" spans="2:17" x14ac:dyDescent="0.35">
      <c r="B120" s="3"/>
      <c r="C120" s="3" t="s">
        <v>42</v>
      </c>
      <c r="D120" s="108" t="str">
        <f>CONCATENATE(D106,E106,F106," kWh")</f>
        <v>Off Peak kWh</v>
      </c>
      <c r="I120" s="72">
        <f>U7+U17</f>
        <v>20445426</v>
      </c>
      <c r="J120" s="36" t="s">
        <v>39</v>
      </c>
      <c r="K120" s="107" t="str">
        <f>CONCATENATE("[",G113,"]")</f>
        <v>[X + 0]</v>
      </c>
      <c r="L120" s="61" t="s">
        <v>1855</v>
      </c>
      <c r="P120"/>
    </row>
    <row r="121" spans="2:17" x14ac:dyDescent="0.35">
      <c r="B121" s="3"/>
      <c r="C121" s="3" t="s">
        <v>40</v>
      </c>
      <c r="D121" s="3" t="str">
        <f>D119</f>
        <v>On Peak kWh</v>
      </c>
      <c r="I121" s="72">
        <f>U11+U21</f>
        <v>33008855</v>
      </c>
      <c r="J121" s="36" t="s">
        <v>39</v>
      </c>
      <c r="K121" s="73" t="str">
        <f>CONCATENATE("[",H112,"]")</f>
        <v>[X + 0]</v>
      </c>
      <c r="L121" s="61" t="s">
        <v>1856</v>
      </c>
      <c r="P121"/>
    </row>
    <row r="122" spans="2:17" x14ac:dyDescent="0.35">
      <c r="B122" s="3"/>
      <c r="C122" s="3" t="s">
        <v>40</v>
      </c>
      <c r="D122" s="3" t="str">
        <f>D120</f>
        <v>Off Peak kWh</v>
      </c>
      <c r="I122" s="67">
        <f>U12+U22</f>
        <v>40075545</v>
      </c>
      <c r="J122" s="36" t="s">
        <v>39</v>
      </c>
      <c r="K122" s="71" t="str">
        <f>CONCATENATE("[",H113,"]")</f>
        <v>[X]</v>
      </c>
      <c r="L122" s="61" t="s">
        <v>1857</v>
      </c>
      <c r="P122"/>
    </row>
    <row r="123" spans="2:17" x14ac:dyDescent="0.35">
      <c r="I123" s="366">
        <f>SUM(I119:I122)</f>
        <v>109112000</v>
      </c>
      <c r="J123" s="61" t="s">
        <v>1858</v>
      </c>
      <c r="Q123" s="1"/>
    </row>
    <row r="124" spans="2:17" x14ac:dyDescent="0.35">
      <c r="Q124" s="1"/>
    </row>
    <row r="125" spans="2:17" x14ac:dyDescent="0.35">
      <c r="B125" s="70" t="s">
        <v>472</v>
      </c>
      <c r="P125"/>
    </row>
    <row r="126" spans="2:17" x14ac:dyDescent="0.35">
      <c r="B126" s="41" t="str">
        <f>$A$4</f>
        <v>SC5 Rate II</v>
      </c>
      <c r="F126" s="3"/>
      <c r="G126" s="3"/>
      <c r="H126" s="3"/>
      <c r="I126" s="69" t="s">
        <v>44</v>
      </c>
      <c r="J126" s="3"/>
      <c r="L126" s="3"/>
      <c r="M126" s="3"/>
      <c r="N126" s="17"/>
      <c r="P126"/>
    </row>
    <row r="127" spans="2:17" x14ac:dyDescent="0.35">
      <c r="C127" s="3" t="s">
        <v>42</v>
      </c>
      <c r="D127" s="392" t="str">
        <f>D119</f>
        <v>On Peak kWh</v>
      </c>
      <c r="H127" s="3"/>
      <c r="I127" s="105">
        <f>I119</f>
        <v>15582174</v>
      </c>
      <c r="J127" s="65" t="s">
        <v>63</v>
      </c>
      <c r="K127" s="26">
        <f>ROUND(I127*L112,0)</f>
        <v>0</v>
      </c>
      <c r="L127" s="3" t="s">
        <v>62</v>
      </c>
      <c r="M127" s="61" t="s">
        <v>1861</v>
      </c>
      <c r="N127" s="17"/>
      <c r="P127"/>
    </row>
    <row r="128" spans="2:17" x14ac:dyDescent="0.35">
      <c r="C128" s="3" t="s">
        <v>42</v>
      </c>
      <c r="D128" s="392" t="str">
        <f>D120</f>
        <v>Off Peak kWh</v>
      </c>
      <c r="H128" s="3"/>
      <c r="I128" s="105">
        <f>I120</f>
        <v>20445426</v>
      </c>
      <c r="J128" s="65" t="s">
        <v>63</v>
      </c>
      <c r="K128" s="26">
        <f>ROUND(I128*L113,0)</f>
        <v>0</v>
      </c>
      <c r="L128" s="3" t="s">
        <v>62</v>
      </c>
      <c r="M128" s="61" t="s">
        <v>1862</v>
      </c>
      <c r="N128" s="17"/>
      <c r="P128"/>
    </row>
    <row r="129" spans="1:16" x14ac:dyDescent="0.35">
      <c r="C129" s="3" t="s">
        <v>40</v>
      </c>
      <c r="D129" s="392" t="str">
        <f>D121</f>
        <v>On Peak kWh</v>
      </c>
      <c r="H129" s="3"/>
      <c r="I129" s="105">
        <f>I121</f>
        <v>33008855</v>
      </c>
      <c r="J129" s="65" t="s">
        <v>63</v>
      </c>
      <c r="K129" s="26">
        <f>ROUND(I129*N112,0)</f>
        <v>0</v>
      </c>
      <c r="L129" s="3" t="s">
        <v>62</v>
      </c>
      <c r="M129" s="61" t="s">
        <v>1863</v>
      </c>
      <c r="N129" s="17"/>
      <c r="P129"/>
    </row>
    <row r="130" spans="1:16" x14ac:dyDescent="0.35">
      <c r="C130" s="3" t="s">
        <v>40</v>
      </c>
      <c r="D130" s="392" t="str">
        <f>D122</f>
        <v>Off Peak kWh</v>
      </c>
      <c r="H130" s="3"/>
      <c r="I130" s="351">
        <f>I122</f>
        <v>40075545</v>
      </c>
      <c r="J130" s="65" t="s">
        <v>63</v>
      </c>
      <c r="K130" s="37">
        <f>ROUND(I130*N113,0)</f>
        <v>0</v>
      </c>
      <c r="L130" s="3" t="s">
        <v>62</v>
      </c>
      <c r="M130" s="61" t="s">
        <v>1864</v>
      </c>
      <c r="N130" s="17"/>
      <c r="P130"/>
    </row>
    <row r="131" spans="1:16" x14ac:dyDescent="0.35">
      <c r="C131" s="3"/>
      <c r="F131" s="66"/>
      <c r="G131" s="908">
        <f>I97</f>
        <v>861985</v>
      </c>
      <c r="H131" s="63" t="s">
        <v>31</v>
      </c>
      <c r="I131" s="28">
        <f>SUM(I127:I130)</f>
        <v>109112000</v>
      </c>
      <c r="J131" s="65" t="s">
        <v>63</v>
      </c>
      <c r="K131" s="103">
        <f>SUM(K127:K130)</f>
        <v>0</v>
      </c>
      <c r="L131" s="3" t="s">
        <v>1859</v>
      </c>
      <c r="M131" s="61" t="s">
        <v>1865</v>
      </c>
      <c r="N131" s="17"/>
      <c r="P131"/>
    </row>
    <row r="132" spans="1:16" x14ac:dyDescent="0.35">
      <c r="F132" s="3"/>
      <c r="G132" s="3"/>
      <c r="H132" s="3"/>
      <c r="I132" s="3"/>
      <c r="J132" s="3"/>
      <c r="K132" s="3"/>
      <c r="L132" s="3"/>
      <c r="M132" s="61" t="s">
        <v>1866</v>
      </c>
      <c r="N132" s="17"/>
      <c r="P132"/>
    </row>
    <row r="133" spans="1:16" x14ac:dyDescent="0.35">
      <c r="F133" s="34"/>
      <c r="G133" s="34">
        <f>G131-K131</f>
        <v>861985</v>
      </c>
      <c r="H133" s="63" t="s">
        <v>31</v>
      </c>
      <c r="I133" s="28">
        <f>I131</f>
        <v>109112000</v>
      </c>
      <c r="J133" s="65" t="s">
        <v>32</v>
      </c>
      <c r="K133" s="3"/>
      <c r="L133" s="3"/>
      <c r="M133" s="61" t="s">
        <v>1867</v>
      </c>
      <c r="N133" s="17"/>
      <c r="P133"/>
    </row>
    <row r="134" spans="1:16" x14ac:dyDescent="0.35">
      <c r="F134" s="3"/>
      <c r="G134" s="3"/>
      <c r="H134" s="3"/>
      <c r="I134" s="3"/>
      <c r="J134" s="3"/>
      <c r="K134" s="34"/>
      <c r="L134" s="34"/>
      <c r="M134" s="34"/>
      <c r="N134" s="17"/>
      <c r="P134"/>
    </row>
    <row r="135" spans="1:16" x14ac:dyDescent="0.35">
      <c r="B135" s="406"/>
      <c r="F135" s="64"/>
      <c r="G135" s="101" t="s">
        <v>32</v>
      </c>
      <c r="H135" s="63" t="s">
        <v>31</v>
      </c>
      <c r="I135" s="983">
        <f>ROUND(G133/I133,4)</f>
        <v>7.9000000000000008E-3</v>
      </c>
      <c r="J135" s="61" t="s">
        <v>1860</v>
      </c>
      <c r="K135" s="34"/>
      <c r="L135" s="34"/>
      <c r="M135" s="61" t="s">
        <v>1868</v>
      </c>
      <c r="N135" s="17"/>
      <c r="P135"/>
    </row>
    <row r="136" spans="1:16" x14ac:dyDescent="0.35">
      <c r="A136" s="42"/>
      <c r="B136" s="407"/>
      <c r="C136" s="3"/>
      <c r="D136" s="3"/>
      <c r="E136" s="3"/>
      <c r="F136" s="3"/>
      <c r="G136" s="3"/>
      <c r="H136" s="3"/>
      <c r="I136" s="3"/>
    </row>
    <row r="137" spans="1:16" x14ac:dyDescent="0.35">
      <c r="B137" s="334" t="str">
        <f>CONCATENATE($A$4," at Proposed Energy Rates")</f>
        <v>SC5 Rate II at Proposed Energy Rates</v>
      </c>
      <c r="P137"/>
    </row>
    <row r="138" spans="1:16" x14ac:dyDescent="0.35">
      <c r="B138" s="334"/>
      <c r="P138"/>
    </row>
    <row r="139" spans="1:16" x14ac:dyDescent="0.35">
      <c r="B139" s="406"/>
      <c r="C139" s="60" t="s">
        <v>5</v>
      </c>
      <c r="D139" s="982">
        <f>$L$4</f>
        <v>2020</v>
      </c>
      <c r="E139" s="58"/>
      <c r="F139" s="58"/>
      <c r="G139" s="59"/>
      <c r="H139" s="59"/>
      <c r="I139" s="59"/>
      <c r="J139" s="59"/>
      <c r="K139" s="98"/>
      <c r="L139" s="3"/>
      <c r="M139" s="3"/>
      <c r="N139" s="17"/>
      <c r="O139" s="3"/>
      <c r="P139"/>
    </row>
    <row r="140" spans="1:16" x14ac:dyDescent="0.35">
      <c r="B140" s="406"/>
      <c r="C140" s="96"/>
      <c r="D140" s="44"/>
      <c r="E140" s="44"/>
      <c r="F140" s="44"/>
      <c r="G140" s="44"/>
      <c r="H140" s="1313" t="s">
        <v>668</v>
      </c>
      <c r="I140" s="1314"/>
      <c r="J140" s="1315"/>
      <c r="K140" s="94"/>
      <c r="L140" s="3"/>
      <c r="M140" s="1307" t="s">
        <v>471</v>
      </c>
      <c r="N140" s="1308"/>
      <c r="O140" s="1309"/>
      <c r="P140"/>
    </row>
    <row r="141" spans="1:16" x14ac:dyDescent="0.35">
      <c r="B141" s="406"/>
      <c r="C141" s="96"/>
      <c r="D141" s="44"/>
      <c r="E141" s="44"/>
      <c r="F141" s="44"/>
      <c r="G141" s="44"/>
      <c r="H141" s="1182" t="s">
        <v>10</v>
      </c>
      <c r="I141" s="44"/>
      <c r="J141" s="1182" t="s">
        <v>7</v>
      </c>
      <c r="K141" s="94"/>
      <c r="L141" s="3"/>
      <c r="M141" s="1182" t="s">
        <v>10</v>
      </c>
      <c r="N141" s="44"/>
      <c r="O141" s="1182" t="s">
        <v>7</v>
      </c>
      <c r="P141"/>
    </row>
    <row r="142" spans="1:16" x14ac:dyDescent="0.35">
      <c r="C142" s="96"/>
      <c r="D142" s="355"/>
      <c r="E142" s="356"/>
      <c r="F142" s="355" t="str">
        <f>$F$112</f>
        <v>On Peak</v>
      </c>
      <c r="G142" s="44"/>
      <c r="H142" s="357">
        <f>$I$135+L112</f>
        <v>7.9000000000000008E-3</v>
      </c>
      <c r="I142" s="358" t="s">
        <v>50</v>
      </c>
      <c r="J142" s="357">
        <f>$I$135+N112</f>
        <v>7.9000000000000008E-3</v>
      </c>
      <c r="K142" s="359" t="s">
        <v>48</v>
      </c>
      <c r="L142" s="3"/>
      <c r="M142" s="81">
        <f>ROUND(H142/H105-1,4)</f>
        <v>0</v>
      </c>
      <c r="N142" s="358" t="s">
        <v>1869</v>
      </c>
      <c r="O142" s="81">
        <f>ROUND(J142/J105-1,4)</f>
        <v>0</v>
      </c>
      <c r="P142" s="358" t="s">
        <v>1871</v>
      </c>
    </row>
    <row r="143" spans="1:16" x14ac:dyDescent="0.35">
      <c r="C143" s="96"/>
      <c r="D143" s="360"/>
      <c r="E143" s="356"/>
      <c r="F143" s="355" t="str">
        <f>$F$113</f>
        <v>Off Peak</v>
      </c>
      <c r="G143" s="44"/>
      <c r="H143" s="357">
        <f>$I$135+L113</f>
        <v>7.9000000000000008E-3</v>
      </c>
      <c r="I143" s="358" t="s">
        <v>49</v>
      </c>
      <c r="J143" s="357">
        <f>$I$135+N113</f>
        <v>7.9000000000000008E-3</v>
      </c>
      <c r="K143" s="359" t="s">
        <v>47</v>
      </c>
      <c r="L143" s="3"/>
      <c r="M143" s="81">
        <f>ROUND(H143/H106-1,4)</f>
        <v>0</v>
      </c>
      <c r="N143" s="358" t="s">
        <v>1870</v>
      </c>
      <c r="O143" s="81">
        <f>ROUND(J143/J106-1,4)</f>
        <v>0</v>
      </c>
      <c r="P143" s="358" t="s">
        <v>1872</v>
      </c>
    </row>
    <row r="144" spans="1:16" x14ac:dyDescent="0.35">
      <c r="C144" s="93"/>
      <c r="D144" s="46"/>
      <c r="E144" s="46"/>
      <c r="F144" s="46"/>
      <c r="G144" s="46"/>
      <c r="H144" s="46"/>
      <c r="I144" s="46"/>
      <c r="J144" s="46"/>
      <c r="K144" s="91"/>
      <c r="L144" s="3"/>
      <c r="M144" s="81"/>
      <c r="O144" s="81"/>
      <c r="P144"/>
    </row>
    <row r="145" spans="1:16" x14ac:dyDescent="0.35">
      <c r="A145" s="42"/>
      <c r="B145" s="41"/>
      <c r="C145" s="3"/>
      <c r="D145" s="3"/>
      <c r="E145" s="3"/>
      <c r="F145" s="3"/>
      <c r="G145" s="3"/>
      <c r="H145" s="3"/>
      <c r="I145" s="3"/>
    </row>
    <row r="146" spans="1:16" x14ac:dyDescent="0.35">
      <c r="A146" s="42"/>
      <c r="B146" s="41"/>
      <c r="C146" s="3"/>
      <c r="D146" s="3"/>
      <c r="E146" s="3"/>
      <c r="F146" s="3"/>
      <c r="G146" s="3"/>
      <c r="H146" s="3"/>
      <c r="I146" s="3"/>
    </row>
    <row r="147" spans="1:16" x14ac:dyDescent="0.35">
      <c r="A147" s="334" t="s">
        <v>1873</v>
      </c>
      <c r="B147" s="410"/>
      <c r="C147" s="410"/>
      <c r="D147" s="3"/>
      <c r="E147" s="3"/>
      <c r="F147" s="3"/>
      <c r="G147" s="3"/>
      <c r="H147" s="3"/>
      <c r="I147" s="3"/>
      <c r="P147"/>
    </row>
    <row r="148" spans="1:16" x14ac:dyDescent="0.35">
      <c r="A148" s="334"/>
      <c r="B148" s="410"/>
      <c r="C148" s="410"/>
      <c r="D148" s="3"/>
      <c r="E148" s="3"/>
      <c r="F148" s="3"/>
      <c r="G148" s="3"/>
      <c r="H148" s="3"/>
      <c r="I148" s="3"/>
      <c r="K148" s="3"/>
      <c r="L148" s="3"/>
      <c r="P148"/>
    </row>
    <row r="149" spans="1:16" x14ac:dyDescent="0.35">
      <c r="A149" s="410"/>
      <c r="B149" s="334" t="str">
        <f>CONCATENATE($A$4," at Proposed Demand Rates")</f>
        <v>SC5 Rate II at Proposed Demand Rates</v>
      </c>
      <c r="C149" s="410"/>
      <c r="L149" s="3"/>
      <c r="M149" s="462" t="s">
        <v>10</v>
      </c>
      <c r="N149" s="3"/>
      <c r="O149" s="3"/>
      <c r="P149" s="2"/>
    </row>
    <row r="150" spans="1:16" x14ac:dyDescent="0.35">
      <c r="A150" s="410"/>
      <c r="B150" s="410"/>
      <c r="C150" s="410"/>
      <c r="D150" s="3"/>
      <c r="E150" s="3"/>
      <c r="F150" s="3"/>
      <c r="G150" s="3"/>
      <c r="H150" s="30" t="s">
        <v>26</v>
      </c>
      <c r="I150" s="30" t="s">
        <v>25</v>
      </c>
      <c r="J150" s="3"/>
      <c r="K150" s="30" t="s">
        <v>11</v>
      </c>
      <c r="M150" s="30" t="s">
        <v>6</v>
      </c>
      <c r="N150" s="3"/>
      <c r="O150" s="3"/>
      <c r="P150" s="2"/>
    </row>
    <row r="151" spans="1:16" x14ac:dyDescent="0.35">
      <c r="A151" s="406"/>
      <c r="B151" s="410" t="s">
        <v>656</v>
      </c>
      <c r="C151" s="835" t="s">
        <v>667</v>
      </c>
      <c r="D151" s="1158" t="s">
        <v>1174</v>
      </c>
      <c r="E151" s="1158"/>
      <c r="F151" s="3"/>
      <c r="G151" s="1133"/>
      <c r="H151" s="1159">
        <f>$Y$7+$AA$7</f>
        <v>20</v>
      </c>
      <c r="I151" s="3"/>
      <c r="K151" s="1157">
        <f>H89</f>
        <v>143.09</v>
      </c>
      <c r="L151" s="3"/>
      <c r="M151" s="1164">
        <f>ROUND(H151*K151,0)</f>
        <v>2862</v>
      </c>
      <c r="N151" s="3"/>
      <c r="O151" s="3"/>
      <c r="P151" s="2"/>
    </row>
    <row r="152" spans="1:16" x14ac:dyDescent="0.35">
      <c r="B152" s="3"/>
      <c r="C152" s="3" t="s">
        <v>42</v>
      </c>
      <c r="D152" s="1187" t="str">
        <f>$C$50</f>
        <v>D1</v>
      </c>
      <c r="E152" s="36"/>
      <c r="F152" s="1187" t="str">
        <f>$D$50</f>
        <v>8-6</v>
      </c>
      <c r="G152" s="3"/>
      <c r="H152" s="3"/>
      <c r="I152" s="29">
        <f>I58</f>
        <v>69562.48000000001</v>
      </c>
      <c r="J152" s="3"/>
      <c r="K152" s="35">
        <f>H85</f>
        <v>4.76</v>
      </c>
      <c r="L152" s="3"/>
      <c r="M152" s="26">
        <f>ROUND(K152*I152,0)</f>
        <v>331117</v>
      </c>
      <c r="N152" s="3"/>
      <c r="O152" s="3"/>
      <c r="P152" s="2"/>
    </row>
    <row r="153" spans="1:16" x14ac:dyDescent="0.35">
      <c r="B153" s="3"/>
      <c r="C153" s="3"/>
      <c r="D153" s="1187" t="str">
        <f>$C$51</f>
        <v>D2</v>
      </c>
      <c r="E153" s="36"/>
      <c r="F153" s="1187" t="str">
        <f>$D$51</f>
        <v>8-10</v>
      </c>
      <c r="G153" s="3"/>
      <c r="H153" s="3"/>
      <c r="I153" s="29">
        <f>I60</f>
        <v>71347.600000000006</v>
      </c>
      <c r="J153" s="3"/>
      <c r="K153" s="35">
        <f>H86</f>
        <v>9.67</v>
      </c>
      <c r="L153" s="3"/>
      <c r="M153" s="26">
        <f>ROUND(K153*I153,0)</f>
        <v>689931</v>
      </c>
      <c r="N153" s="3"/>
      <c r="O153" s="3"/>
      <c r="P153" s="2"/>
    </row>
    <row r="154" spans="1:16" x14ac:dyDescent="0.35">
      <c r="B154" s="3"/>
      <c r="C154" s="3"/>
      <c r="D154" s="1187" t="str">
        <f>$C$52</f>
        <v>D3</v>
      </c>
      <c r="E154" s="36"/>
      <c r="F154" s="1187" t="str">
        <f>$D$52</f>
        <v>All Day</v>
      </c>
      <c r="G154" s="3"/>
      <c r="H154" s="3"/>
      <c r="I154" s="38">
        <f>I62</f>
        <v>9249.5</v>
      </c>
      <c r="J154" s="3"/>
      <c r="K154" s="35">
        <f>H87</f>
        <v>10.32</v>
      </c>
      <c r="L154" s="3"/>
      <c r="M154" s="37">
        <f>ROUND(K154*I154,0)</f>
        <v>95455</v>
      </c>
      <c r="N154" s="3"/>
      <c r="O154" s="3"/>
      <c r="P154" s="2"/>
    </row>
    <row r="155" spans="1:16" x14ac:dyDescent="0.35">
      <c r="B155" s="3"/>
      <c r="C155" s="3"/>
      <c r="D155" s="36"/>
      <c r="E155" s="36"/>
      <c r="F155" s="36"/>
      <c r="G155" s="3"/>
      <c r="H155" s="3"/>
      <c r="I155" s="28">
        <f>I152+I153+I154</f>
        <v>150159.58000000002</v>
      </c>
      <c r="J155" s="3"/>
      <c r="K155" s="35"/>
      <c r="L155" s="3"/>
      <c r="M155" s="832">
        <f>M151+M152+M153+M154</f>
        <v>1119365</v>
      </c>
      <c r="N155" s="34"/>
      <c r="O155" s="36" t="s">
        <v>10</v>
      </c>
      <c r="P155" s="2"/>
    </row>
    <row r="156" spans="1:16" x14ac:dyDescent="0.35">
      <c r="B156" s="3"/>
      <c r="C156" s="3"/>
      <c r="D156" s="36"/>
      <c r="E156" s="36"/>
      <c r="F156" s="36"/>
      <c r="G156" s="28"/>
      <c r="H156" s="3"/>
      <c r="I156" s="28"/>
      <c r="J156" s="3"/>
      <c r="K156" s="35"/>
      <c r="L156" s="33" t="s">
        <v>22</v>
      </c>
      <c r="M156" s="34">
        <f>ROUND(M155*(O156-1),0)</f>
        <v>13343</v>
      </c>
      <c r="N156" s="33" t="s">
        <v>23</v>
      </c>
      <c r="O156" s="40">
        <f>L10</f>
        <v>1.0119199999999999</v>
      </c>
      <c r="P156" s="2"/>
    </row>
    <row r="157" spans="1:16" x14ac:dyDescent="0.35">
      <c r="B157" s="3"/>
      <c r="C157" s="3"/>
      <c r="D157" s="36"/>
      <c r="E157" s="36"/>
      <c r="F157" s="36"/>
      <c r="G157" s="28"/>
      <c r="H157" s="3"/>
      <c r="I157" s="28"/>
      <c r="J157" s="3"/>
      <c r="K157" s="35"/>
      <c r="L157" s="33" t="s">
        <v>21</v>
      </c>
      <c r="M157" s="32">
        <f>M155+M156</f>
        <v>1132708</v>
      </c>
      <c r="N157" s="8"/>
      <c r="O157" s="3"/>
      <c r="P157" s="2"/>
    </row>
    <row r="158" spans="1:16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2"/>
    </row>
    <row r="159" spans="1:16" x14ac:dyDescent="0.35">
      <c r="B159" s="3"/>
      <c r="C159" s="3"/>
      <c r="L159" s="3"/>
      <c r="M159" s="462" t="s">
        <v>7</v>
      </c>
      <c r="N159" s="3"/>
      <c r="O159" s="3"/>
      <c r="P159" s="2"/>
    </row>
    <row r="160" spans="1:16" x14ac:dyDescent="0.35">
      <c r="B160" s="3"/>
      <c r="C160" s="3"/>
      <c r="D160" s="3"/>
      <c r="E160" s="3"/>
      <c r="F160" s="3"/>
      <c r="G160" s="392"/>
      <c r="H160" s="834" t="s">
        <v>26</v>
      </c>
      <c r="I160" s="30" t="s">
        <v>25</v>
      </c>
      <c r="J160" s="3"/>
      <c r="K160" s="30" t="s">
        <v>11</v>
      </c>
      <c r="L160" s="3"/>
      <c r="M160" s="30" t="s">
        <v>6</v>
      </c>
      <c r="N160" s="3"/>
      <c r="O160" s="3"/>
      <c r="P160" s="2"/>
    </row>
    <row r="161" spans="1:17" x14ac:dyDescent="0.35">
      <c r="B161" s="3"/>
      <c r="C161" s="3"/>
      <c r="D161" s="1158" t="s">
        <v>1174</v>
      </c>
      <c r="E161" s="1158"/>
      <c r="F161" s="3"/>
      <c r="G161" s="1133"/>
      <c r="H161" s="1159">
        <f>$Z$7+$AB$7</f>
        <v>40</v>
      </c>
      <c r="I161" s="3"/>
      <c r="J161" s="3"/>
      <c r="K161" s="1157">
        <f>J89</f>
        <v>143.09</v>
      </c>
      <c r="L161" s="3"/>
      <c r="M161" s="1164">
        <f>ROUND(H161*K161,0)</f>
        <v>5724</v>
      </c>
      <c r="N161" s="3"/>
      <c r="O161" s="3"/>
      <c r="P161" s="2"/>
    </row>
    <row r="162" spans="1:17" x14ac:dyDescent="0.35">
      <c r="B162" s="3"/>
      <c r="C162" s="3" t="s">
        <v>40</v>
      </c>
      <c r="D162" s="1187" t="str">
        <f>$C$50</f>
        <v>D1</v>
      </c>
      <c r="E162" s="36"/>
      <c r="F162" s="1187" t="str">
        <f>$D$50</f>
        <v>8-6</v>
      </c>
      <c r="G162" s="3"/>
      <c r="H162" s="3"/>
      <c r="I162" s="29">
        <f>I59</f>
        <v>0</v>
      </c>
      <c r="J162" s="3"/>
      <c r="K162" s="35">
        <f>J85</f>
        <v>0</v>
      </c>
      <c r="L162" s="3"/>
      <c r="M162" s="26">
        <f>ROUND(K162*I162,0)</f>
        <v>0</v>
      </c>
      <c r="N162" s="3"/>
      <c r="O162" s="3"/>
      <c r="P162" s="2"/>
    </row>
    <row r="163" spans="1:17" x14ac:dyDescent="0.35">
      <c r="B163" s="3"/>
      <c r="C163" s="3"/>
      <c r="D163" s="1187" t="str">
        <f>$C$51</f>
        <v>D2</v>
      </c>
      <c r="E163" s="36"/>
      <c r="F163" s="1187" t="str">
        <f>$D$51</f>
        <v>8-10</v>
      </c>
      <c r="G163" s="3"/>
      <c r="H163" s="3"/>
      <c r="I163" s="29">
        <f>I61</f>
        <v>156592.96000000005</v>
      </c>
      <c r="J163" s="3"/>
      <c r="K163" s="35">
        <f>J86</f>
        <v>8.1999999999999993</v>
      </c>
      <c r="L163" s="3"/>
      <c r="M163" s="26">
        <f>ROUND(K163*I163,0)</f>
        <v>1284062</v>
      </c>
      <c r="N163" s="3"/>
      <c r="O163" s="3"/>
      <c r="P163" s="2"/>
    </row>
    <row r="164" spans="1:17" x14ac:dyDescent="0.35">
      <c r="B164" s="3"/>
      <c r="C164" s="3"/>
      <c r="D164" s="1187" t="str">
        <f>$C$52</f>
        <v>D3</v>
      </c>
      <c r="E164" s="36"/>
      <c r="F164" s="1187" t="str">
        <f>$D$52</f>
        <v>All Day</v>
      </c>
      <c r="G164" s="3"/>
      <c r="H164" s="3"/>
      <c r="I164" s="38">
        <f>I63</f>
        <v>17349.300000000003</v>
      </c>
      <c r="J164" s="3"/>
      <c r="K164" s="35">
        <f>J87</f>
        <v>3.9099999999999993</v>
      </c>
      <c r="L164" s="3"/>
      <c r="M164" s="37">
        <f>ROUND(K164*I164,0)</f>
        <v>67836</v>
      </c>
      <c r="N164" s="3"/>
      <c r="O164" s="3"/>
      <c r="P164" s="2"/>
    </row>
    <row r="165" spans="1:17" x14ac:dyDescent="0.35">
      <c r="B165" s="3"/>
      <c r="C165" s="3"/>
      <c r="D165" s="36"/>
      <c r="E165" s="36"/>
      <c r="F165" s="36"/>
      <c r="G165" s="3"/>
      <c r="H165" s="3"/>
      <c r="I165" s="28">
        <f>I162+I163+I164</f>
        <v>173942.26000000007</v>
      </c>
      <c r="J165" s="3"/>
      <c r="K165" s="35"/>
      <c r="L165" s="3"/>
      <c r="M165" s="832">
        <f>M161+M162+M163+M164</f>
        <v>1357622</v>
      </c>
      <c r="N165" s="3"/>
      <c r="O165" s="36" t="s">
        <v>7</v>
      </c>
      <c r="P165" s="2"/>
    </row>
    <row r="166" spans="1:17" x14ac:dyDescent="0.35">
      <c r="B166" s="3"/>
      <c r="C166" s="3"/>
      <c r="D166" s="36"/>
      <c r="E166" s="36"/>
      <c r="F166" s="36"/>
      <c r="G166" s="3"/>
      <c r="H166" s="3"/>
      <c r="I166" s="28"/>
      <c r="J166" s="3"/>
      <c r="K166" s="35"/>
      <c r="L166" s="33" t="s">
        <v>22</v>
      </c>
      <c r="M166" s="34">
        <f>ROUND(M165*(O166-1),0)</f>
        <v>14486</v>
      </c>
      <c r="N166" s="33" t="s">
        <v>23</v>
      </c>
      <c r="O166" s="40">
        <f>L11</f>
        <v>1.01067</v>
      </c>
      <c r="P166" s="2"/>
    </row>
    <row r="167" spans="1:17" x14ac:dyDescent="0.35">
      <c r="B167" s="3"/>
      <c r="C167" s="3"/>
      <c r="D167" s="36"/>
      <c r="E167" s="36"/>
      <c r="F167" s="36"/>
      <c r="G167" s="28"/>
      <c r="H167" s="3"/>
      <c r="I167" s="28"/>
      <c r="J167" s="3"/>
      <c r="K167" s="35"/>
      <c r="L167" s="33" t="s">
        <v>21</v>
      </c>
      <c r="M167" s="32">
        <f>M165+M166</f>
        <v>1372108</v>
      </c>
      <c r="N167" s="8"/>
      <c r="O167" s="3"/>
      <c r="P167" s="2"/>
    </row>
    <row r="168" spans="1:17" x14ac:dyDescent="0.35">
      <c r="B168" s="3"/>
      <c r="C168" s="410"/>
      <c r="D168" s="410"/>
      <c r="E168" s="410"/>
      <c r="F168" s="410"/>
      <c r="G168" s="410"/>
      <c r="H168" s="3"/>
      <c r="I168" s="3"/>
      <c r="J168" s="3"/>
      <c r="K168" s="3"/>
      <c r="L168" s="3"/>
      <c r="M168" s="3"/>
      <c r="N168" s="3"/>
      <c r="O168" s="3"/>
      <c r="P168" s="2"/>
    </row>
    <row r="169" spans="1:17" x14ac:dyDescent="0.35">
      <c r="B169" s="3"/>
      <c r="C169" s="837" t="str">
        <f>CONCATENATE($A$4," - Annual Demand Revenue Price-Out at Proposed Rates - Incl. EDB:")</f>
        <v>SC5 Rate II - Annual Demand Revenue Price-Out at Proposed Rates - Incl. EDB:</v>
      </c>
      <c r="D169" s="410"/>
      <c r="E169" s="410"/>
      <c r="F169" s="410"/>
      <c r="G169" s="410"/>
      <c r="H169" s="3"/>
      <c r="I169" s="3"/>
      <c r="J169" s="3"/>
      <c r="K169" s="3"/>
      <c r="L169" s="3"/>
      <c r="M169" s="32">
        <f>M157+M167</f>
        <v>2504816</v>
      </c>
      <c r="N169" s="17"/>
      <c r="O169" s="3"/>
      <c r="P169" s="2"/>
    </row>
    <row r="170" spans="1:17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6"/>
      <c r="N170" s="17"/>
      <c r="O170" s="3"/>
      <c r="P170" s="2"/>
    </row>
    <row r="171" spans="1:17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6"/>
      <c r="N171" s="17"/>
      <c r="O171" s="3"/>
      <c r="P171" s="2"/>
    </row>
    <row r="172" spans="1:17" x14ac:dyDescent="0.35">
      <c r="A172" s="42"/>
      <c r="B172" s="334" t="str">
        <f>CONCATENATE($A$4," at Proposed Energy Rates")</f>
        <v>SC5 Rate II at Proposed Energy Rates</v>
      </c>
      <c r="C172" s="410"/>
      <c r="D172" s="410"/>
      <c r="E172" s="410"/>
      <c r="F172" s="410"/>
      <c r="G172" s="410"/>
      <c r="H172" s="3"/>
      <c r="I172" s="3"/>
      <c r="K172" s="367" t="s">
        <v>426</v>
      </c>
      <c r="L172" s="368">
        <f>$L$10</f>
        <v>1.0119199999999999</v>
      </c>
      <c r="N172" s="344" t="str">
        <f>$A$4</f>
        <v>SC5 Rate II</v>
      </c>
      <c r="P172"/>
      <c r="Q172" s="1"/>
    </row>
    <row r="173" spans="1:17" x14ac:dyDescent="0.35">
      <c r="B173" s="407"/>
      <c r="C173" s="406"/>
      <c r="D173" s="406"/>
      <c r="E173" s="406"/>
      <c r="F173" s="406"/>
      <c r="G173" s="406"/>
      <c r="H173" s="1307" t="s">
        <v>417</v>
      </c>
      <c r="I173" s="1308"/>
      <c r="J173" s="1309"/>
      <c r="L173" s="1180" t="s">
        <v>475</v>
      </c>
      <c r="N173" s="369" t="s">
        <v>42</v>
      </c>
      <c r="P173"/>
      <c r="Q173" s="1"/>
    </row>
    <row r="174" spans="1:17" x14ac:dyDescent="0.35">
      <c r="B174" s="410"/>
      <c r="C174" s="406"/>
      <c r="D174" s="406"/>
      <c r="E174" s="406"/>
      <c r="F174" s="406"/>
      <c r="G174" s="406"/>
      <c r="H174" s="30" t="s">
        <v>416</v>
      </c>
      <c r="I174" s="30" t="s">
        <v>674</v>
      </c>
      <c r="J174" s="36" t="s">
        <v>676</v>
      </c>
      <c r="L174" s="30" t="s">
        <v>425</v>
      </c>
      <c r="N174" s="36" t="s">
        <v>675</v>
      </c>
      <c r="P174"/>
      <c r="Q174" s="1"/>
    </row>
    <row r="175" spans="1:17" x14ac:dyDescent="0.35">
      <c r="B175" s="407" t="s">
        <v>42</v>
      </c>
      <c r="C175" s="978" t="str">
        <f>$F$112</f>
        <v>On Peak</v>
      </c>
      <c r="D175" s="979"/>
      <c r="E175" s="980"/>
      <c r="F175" s="406"/>
      <c r="G175" s="406"/>
      <c r="H175" s="223">
        <f>H142</f>
        <v>7.9000000000000008E-3</v>
      </c>
      <c r="I175" s="105">
        <f>I127</f>
        <v>15582174</v>
      </c>
      <c r="J175" s="26">
        <f>ROUND(H175*I175,0)</f>
        <v>123099</v>
      </c>
      <c r="L175" s="397"/>
      <c r="N175" s="26">
        <f>J175+L175</f>
        <v>123099</v>
      </c>
      <c r="P175"/>
      <c r="Q175" s="1"/>
    </row>
    <row r="176" spans="1:17" x14ac:dyDescent="0.35">
      <c r="B176" s="406"/>
      <c r="C176" s="978" t="str">
        <f>$F$113</f>
        <v>Off Peak</v>
      </c>
      <c r="D176" s="272"/>
      <c r="E176" s="980"/>
      <c r="F176" s="406"/>
      <c r="G176" s="406"/>
      <c r="H176" s="223">
        <f>H143</f>
        <v>7.9000000000000008E-3</v>
      </c>
      <c r="I176" s="105">
        <f>I128</f>
        <v>20445426</v>
      </c>
      <c r="J176" s="26">
        <f>ROUND(H176*I176,0)</f>
        <v>161519</v>
      </c>
      <c r="L176" s="397"/>
      <c r="N176" s="26">
        <f>J176+L176</f>
        <v>161519</v>
      </c>
      <c r="P176"/>
      <c r="Q176" s="1"/>
    </row>
    <row r="177" spans="2:18" x14ac:dyDescent="0.35">
      <c r="B177" s="406"/>
      <c r="C177" s="410" t="s">
        <v>420</v>
      </c>
      <c r="D177" s="410"/>
      <c r="E177" s="410"/>
      <c r="F177" s="410"/>
      <c r="G177" s="406"/>
      <c r="H177" s="223"/>
      <c r="I177" s="223"/>
      <c r="J177" s="32">
        <f>SUM(J175:J176)</f>
        <v>284618</v>
      </c>
      <c r="L177" s="32">
        <f>SUM(L175:L176)</f>
        <v>0</v>
      </c>
      <c r="N177" s="32">
        <f>SUM(N175:N176)</f>
        <v>284618</v>
      </c>
      <c r="P177"/>
      <c r="Q177" s="1"/>
    </row>
    <row r="178" spans="2:18" s="1" customFormat="1" x14ac:dyDescent="0.35">
      <c r="B178" s="464"/>
      <c r="C178" s="392"/>
      <c r="D178" s="979"/>
      <c r="E178" s="979"/>
      <c r="F178" s="981"/>
      <c r="G178" s="464"/>
      <c r="H178" s="223"/>
      <c r="I178" s="362"/>
      <c r="J178" s="395"/>
      <c r="K178"/>
    </row>
    <row r="179" spans="2:18" s="1" customFormat="1" x14ac:dyDescent="0.35">
      <c r="B179" s="464"/>
      <c r="C179" s="392"/>
      <c r="D179" s="979"/>
      <c r="E179" s="979"/>
      <c r="F179" s="981"/>
      <c r="G179" s="464"/>
      <c r="H179" s="223"/>
      <c r="I179" s="362"/>
      <c r="J179" s="223"/>
      <c r="K179"/>
      <c r="L179" s="368">
        <f>$L$11</f>
        <v>1.01067</v>
      </c>
    </row>
    <row r="180" spans="2:18" s="1" customFormat="1" x14ac:dyDescent="0.35">
      <c r="B180" s="464"/>
      <c r="C180" s="392"/>
      <c r="D180" s="979"/>
      <c r="E180" s="979"/>
      <c r="F180" s="981"/>
      <c r="G180" s="464"/>
      <c r="H180" s="1307" t="s">
        <v>417</v>
      </c>
      <c r="I180" s="1308"/>
      <c r="J180" s="1309"/>
      <c r="K180"/>
      <c r="L180" s="1180" t="s">
        <v>475</v>
      </c>
      <c r="N180" s="369" t="s">
        <v>40</v>
      </c>
    </row>
    <row r="181" spans="2:18" s="1" customFormat="1" x14ac:dyDescent="0.35">
      <c r="B181" s="464"/>
      <c r="C181" s="392"/>
      <c r="D181" s="979"/>
      <c r="E181" s="979"/>
      <c r="F181" s="981"/>
      <c r="G181" s="464"/>
      <c r="H181" s="30" t="s">
        <v>416</v>
      </c>
      <c r="I181" s="30" t="s">
        <v>674</v>
      </c>
      <c r="J181" s="36" t="s">
        <v>676</v>
      </c>
      <c r="K181"/>
      <c r="L181" s="30" t="s">
        <v>425</v>
      </c>
      <c r="N181" s="36" t="s">
        <v>675</v>
      </c>
    </row>
    <row r="182" spans="2:18" s="1" customFormat="1" x14ac:dyDescent="0.35">
      <c r="B182" s="407" t="s">
        <v>40</v>
      </c>
      <c r="C182" s="978" t="str">
        <f>$F$112</f>
        <v>On Peak</v>
      </c>
      <c r="D182" s="979"/>
      <c r="E182" s="980"/>
      <c r="F182" s="464"/>
      <c r="G182" s="464"/>
      <c r="H182" s="223">
        <f>J142</f>
        <v>7.9000000000000008E-3</v>
      </c>
      <c r="I182" s="105">
        <f>I129</f>
        <v>33008855</v>
      </c>
      <c r="J182" s="26">
        <f>ROUND(H182*I182,0)</f>
        <v>260770</v>
      </c>
      <c r="K182"/>
      <c r="L182" s="397"/>
      <c r="N182" s="26">
        <f>J182+L182</f>
        <v>260770</v>
      </c>
    </row>
    <row r="183" spans="2:18" s="1" customFormat="1" x14ac:dyDescent="0.35">
      <c r="B183" s="406"/>
      <c r="C183" s="978" t="str">
        <f>$F$113</f>
        <v>Off Peak</v>
      </c>
      <c r="D183" s="272"/>
      <c r="E183" s="980"/>
      <c r="F183" s="464"/>
      <c r="G183" s="464"/>
      <c r="H183" s="223">
        <f>J143</f>
        <v>7.9000000000000008E-3</v>
      </c>
      <c r="I183" s="105">
        <f>I130</f>
        <v>40075545</v>
      </c>
      <c r="J183" s="26">
        <f>ROUND(H183*I183,0)</f>
        <v>316597</v>
      </c>
      <c r="K183"/>
      <c r="L183" s="397"/>
      <c r="N183" s="26">
        <f>J183+L183</f>
        <v>316597</v>
      </c>
    </row>
    <row r="184" spans="2:18" s="1" customFormat="1" x14ac:dyDescent="0.35">
      <c r="B184" s="406"/>
      <c r="C184" s="410" t="s">
        <v>421</v>
      </c>
      <c r="D184" s="410"/>
      <c r="E184" s="410"/>
      <c r="F184" s="410"/>
      <c r="G184" s="464"/>
      <c r="H184" s="223"/>
      <c r="I184" s="223"/>
      <c r="J184" s="32">
        <f>SUM(J182:J183)</f>
        <v>577367</v>
      </c>
      <c r="K184"/>
      <c r="L184" s="32">
        <f>SUM(L182:L183)</f>
        <v>0</v>
      </c>
      <c r="N184" s="32">
        <f>SUM(N182:N183)</f>
        <v>577367</v>
      </c>
    </row>
    <row r="185" spans="2:18" s="1" customFormat="1" x14ac:dyDescent="0.35">
      <c r="B185" s="464"/>
      <c r="C185" s="392"/>
      <c r="D185" s="979"/>
      <c r="E185" s="979"/>
      <c r="F185" s="981"/>
      <c r="G185" s="464"/>
      <c r="H185" s="223"/>
      <c r="I185" s="362"/>
      <c r="J185" s="395"/>
      <c r="K185"/>
      <c r="N185" s="223"/>
    </row>
    <row r="186" spans="2:18" s="1" customFormat="1" x14ac:dyDescent="0.35">
      <c r="B186" s="464"/>
      <c r="C186" s="837" t="str">
        <f>CONCATENATE($A$4," - Annual Energy Revenue Price-Out at Proposed Rates:")</f>
        <v>SC5 Rate II - Annual Energy Revenue Price-Out at Proposed Rates:</v>
      </c>
      <c r="D186" s="979"/>
      <c r="E186" s="979"/>
      <c r="F186" s="981"/>
      <c r="G186" s="464"/>
      <c r="H186" s="223"/>
      <c r="I186" s="222" t="s">
        <v>427</v>
      </c>
      <c r="J186" s="243">
        <f>J177+J184</f>
        <v>861985</v>
      </c>
      <c r="K186" s="222" t="s">
        <v>428</v>
      </c>
      <c r="L186" s="243">
        <f>L177+L184</f>
        <v>0</v>
      </c>
      <c r="N186" s="243">
        <f>N177+N184</f>
        <v>861985</v>
      </c>
      <c r="O186" s="374"/>
    </row>
    <row r="187" spans="2:18" s="1" customFormat="1" x14ac:dyDescent="0.35">
      <c r="C187" s="25"/>
      <c r="D187" s="121"/>
      <c r="E187" s="121"/>
      <c r="F187" s="361"/>
      <c r="H187" s="223"/>
      <c r="I187" s="222"/>
      <c r="J187" s="396"/>
      <c r="K187" s="362"/>
      <c r="L187" s="363"/>
      <c r="M187" s="364"/>
      <c r="N187" s="222"/>
      <c r="O187" s="26"/>
      <c r="Q187" s="26"/>
      <c r="R187" s="374"/>
    </row>
    <row r="188" spans="2:18" s="1" customFormat="1" x14ac:dyDescent="0.35">
      <c r="C188" s="25"/>
      <c r="D188" s="121"/>
      <c r="E188" s="121"/>
      <c r="F188" s="361"/>
      <c r="H188" s="223"/>
      <c r="I188" s="222"/>
      <c r="J188" s="396"/>
      <c r="K188" s="362"/>
      <c r="L188" s="363"/>
      <c r="M188" s="364"/>
      <c r="N188" s="222"/>
      <c r="O188" s="26"/>
      <c r="Q188" s="26"/>
      <c r="R188" s="374"/>
    </row>
    <row r="189" spans="2:18" x14ac:dyDescent="0.35">
      <c r="B189" s="3"/>
      <c r="C189" s="70" t="s">
        <v>684</v>
      </c>
      <c r="D189" s="3"/>
      <c r="E189" s="3"/>
      <c r="F189" s="3"/>
      <c r="G189" s="3"/>
      <c r="H189" s="3"/>
      <c r="I189" s="3"/>
      <c r="J189" s="3"/>
      <c r="K189" s="3"/>
      <c r="L189" s="3"/>
      <c r="M189" s="26"/>
      <c r="N189" s="17"/>
      <c r="O189" s="3"/>
      <c r="P189" s="2"/>
    </row>
    <row r="190" spans="2:18" x14ac:dyDescent="0.35">
      <c r="B190" s="3"/>
      <c r="C190" s="41" t="str">
        <f>$A$4</f>
        <v>SC5 Rate II</v>
      </c>
      <c r="D190" s="3"/>
      <c r="E190" s="3"/>
      <c r="F190" s="3"/>
      <c r="G190" s="3"/>
      <c r="H190" s="3"/>
      <c r="I190" s="3"/>
      <c r="J190" s="3"/>
      <c r="K190" s="3"/>
      <c r="L190" s="3"/>
      <c r="M190" s="26"/>
      <c r="N190" s="17"/>
      <c r="O190" s="3"/>
      <c r="P190" s="2"/>
    </row>
    <row r="191" spans="2:18" x14ac:dyDescent="0.35">
      <c r="B191" s="3"/>
      <c r="C191" s="3" t="s">
        <v>678</v>
      </c>
      <c r="D191" s="3"/>
      <c r="E191" s="3"/>
      <c r="F191" s="3"/>
      <c r="G191" s="3"/>
      <c r="H191" s="3"/>
      <c r="I191" s="3"/>
      <c r="J191" s="3"/>
      <c r="K191" s="3"/>
      <c r="L191" s="3"/>
      <c r="M191" s="26">
        <f>M169</f>
        <v>2504816</v>
      </c>
      <c r="N191" s="17"/>
      <c r="O191" s="3"/>
      <c r="P191" s="2"/>
    </row>
    <row r="192" spans="2:18" x14ac:dyDescent="0.35">
      <c r="B192" s="3"/>
      <c r="C192" s="3" t="s">
        <v>677</v>
      </c>
      <c r="D192" s="3"/>
      <c r="E192" s="3"/>
      <c r="F192" s="3"/>
      <c r="G192" s="3"/>
      <c r="H192" s="3"/>
      <c r="I192" s="3"/>
      <c r="J192" s="3"/>
      <c r="K192" s="3"/>
      <c r="L192" s="3"/>
      <c r="M192" s="26">
        <f>N186</f>
        <v>861985</v>
      </c>
      <c r="N192" s="17"/>
      <c r="O192" s="3"/>
      <c r="P192" s="2"/>
    </row>
    <row r="193" spans="1:16" x14ac:dyDescent="0.35">
      <c r="B193" s="3"/>
      <c r="C193" s="837" t="s">
        <v>685</v>
      </c>
      <c r="D193" s="410"/>
      <c r="E193" s="410"/>
      <c r="F193" s="410"/>
      <c r="G193" s="3"/>
      <c r="H193" s="3"/>
      <c r="I193" s="3"/>
      <c r="J193" s="3"/>
      <c r="K193" s="3"/>
      <c r="L193" s="3"/>
      <c r="M193" s="925">
        <f>M191+M192</f>
        <v>3366801</v>
      </c>
      <c r="N193" s="17"/>
      <c r="O193" s="3"/>
      <c r="P193" s="2"/>
    </row>
    <row r="194" spans="1:16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7"/>
      <c r="O194" s="3"/>
      <c r="P194" s="2"/>
    </row>
    <row r="195" spans="1:16" x14ac:dyDescent="0.3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7"/>
      <c r="O195" s="3"/>
      <c r="P195" s="2"/>
    </row>
    <row r="196" spans="1:16" x14ac:dyDescent="0.35">
      <c r="B196" s="3"/>
      <c r="C196" s="815" t="str">
        <f>$A$4</f>
        <v>SC5 Rate II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1" t="s">
        <v>6</v>
      </c>
      <c r="N196" s="17"/>
      <c r="O196" s="2"/>
      <c r="P196" s="2"/>
    </row>
    <row r="197" spans="1:16" x14ac:dyDescent="0.35">
      <c r="B197" s="3"/>
      <c r="C197" s="11" t="s">
        <v>5</v>
      </c>
      <c r="D197" s="1305">
        <f>L4</f>
        <v>2020</v>
      </c>
      <c r="E197" s="1305"/>
      <c r="F197" s="1305"/>
      <c r="G197" s="10"/>
      <c r="H197" s="10"/>
      <c r="I197" s="10"/>
      <c r="J197" s="10"/>
      <c r="K197" s="10"/>
      <c r="L197" s="10"/>
      <c r="M197" s="13"/>
      <c r="N197" s="17"/>
      <c r="O197" s="17"/>
      <c r="P197" s="2"/>
    </row>
    <row r="198" spans="1:16" x14ac:dyDescent="0.35">
      <c r="B198" s="3"/>
      <c r="C198" s="699" t="s">
        <v>679</v>
      </c>
      <c r="D198" s="1181"/>
      <c r="E198" s="1181"/>
      <c r="F198" s="1181"/>
      <c r="G198" s="10"/>
      <c r="H198" s="10"/>
      <c r="I198" s="10"/>
      <c r="J198" s="10"/>
      <c r="K198" s="10"/>
      <c r="L198" s="10"/>
      <c r="M198" s="12">
        <f>M193</f>
        <v>3366801</v>
      </c>
      <c r="N198" s="17"/>
      <c r="O198" s="17"/>
      <c r="P198" s="2"/>
    </row>
    <row r="199" spans="1:16" x14ac:dyDescent="0.35">
      <c r="B199" s="3"/>
      <c r="C199" s="20"/>
      <c r="D199" s="1181"/>
      <c r="E199" s="1181"/>
      <c r="F199" s="1181"/>
      <c r="G199" s="10"/>
      <c r="H199" s="10"/>
      <c r="I199" s="10"/>
      <c r="J199" s="10"/>
      <c r="K199" s="10"/>
      <c r="L199" s="10"/>
      <c r="M199" s="18"/>
      <c r="N199" s="17"/>
      <c r="O199" s="17"/>
      <c r="P199" s="2"/>
    </row>
    <row r="200" spans="1:16" x14ac:dyDescent="0.35">
      <c r="B200" s="3"/>
      <c r="C200" s="20"/>
      <c r="D200" s="1181"/>
      <c r="E200" s="1181"/>
      <c r="F200" s="1181"/>
      <c r="G200" s="10"/>
      <c r="H200" s="10"/>
      <c r="I200" s="10"/>
      <c r="J200" s="10"/>
      <c r="K200" s="10"/>
      <c r="L200" s="10"/>
      <c r="M200" s="188"/>
      <c r="N200" s="17"/>
      <c r="O200" s="17"/>
      <c r="P200" s="2"/>
    </row>
    <row r="201" spans="1:16" x14ac:dyDescent="0.35">
      <c r="B201" s="3"/>
      <c r="C201" s="11" t="s">
        <v>679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2">
        <f>M198+M199+M200</f>
        <v>3366801</v>
      </c>
      <c r="N201" s="17"/>
      <c r="O201" s="17"/>
      <c r="P201" s="2"/>
    </row>
    <row r="202" spans="1:16" x14ac:dyDescent="0.35">
      <c r="B202" s="3"/>
      <c r="C202" s="11"/>
      <c r="D202" s="10"/>
      <c r="E202" s="10"/>
      <c r="F202" s="10"/>
      <c r="G202" s="10"/>
      <c r="H202" s="10"/>
      <c r="I202" s="10"/>
      <c r="J202" s="10"/>
      <c r="K202" s="10"/>
      <c r="L202" s="10"/>
      <c r="M202" s="13"/>
      <c r="N202" s="17"/>
      <c r="O202" s="17"/>
      <c r="P202" s="2"/>
    </row>
    <row r="203" spans="1:16" x14ac:dyDescent="0.35">
      <c r="B203" s="3"/>
      <c r="C203" s="11"/>
      <c r="D203" s="10" t="s">
        <v>2</v>
      </c>
      <c r="E203" s="10"/>
      <c r="F203" s="10"/>
      <c r="G203" s="10"/>
      <c r="H203" s="10"/>
      <c r="I203" s="10"/>
      <c r="J203" s="10"/>
      <c r="K203" s="10"/>
      <c r="L203" s="10"/>
      <c r="M203" s="924">
        <f>L22</f>
        <v>3367982</v>
      </c>
      <c r="N203" s="17"/>
      <c r="O203" s="17"/>
      <c r="P203" s="2"/>
    </row>
    <row r="204" spans="1:16" x14ac:dyDescent="0.35">
      <c r="B204" s="3"/>
      <c r="C204" s="11"/>
      <c r="D204" s="10" t="s">
        <v>1</v>
      </c>
      <c r="E204" s="10"/>
      <c r="F204" s="10"/>
      <c r="G204" s="10"/>
      <c r="H204" s="10"/>
      <c r="I204" s="10"/>
      <c r="J204" s="10"/>
      <c r="K204" s="10"/>
      <c r="L204" s="10"/>
      <c r="M204" s="12">
        <f>M201-M203</f>
        <v>-1181</v>
      </c>
      <c r="N204" s="17"/>
      <c r="O204" s="17"/>
      <c r="P204" s="2"/>
    </row>
    <row r="205" spans="1:16" x14ac:dyDescent="0.35">
      <c r="B205" s="3"/>
      <c r="C205" s="11"/>
      <c r="D205" s="10" t="s">
        <v>0</v>
      </c>
      <c r="E205" s="10"/>
      <c r="F205" s="10"/>
      <c r="G205" s="10"/>
      <c r="H205" s="10"/>
      <c r="I205" s="10"/>
      <c r="J205" s="10"/>
      <c r="K205" s="10"/>
      <c r="L205" s="10"/>
      <c r="M205" s="9">
        <f>M201/M203-1</f>
        <v>-3.5065508069820339E-4</v>
      </c>
      <c r="N205" s="17"/>
      <c r="O205" s="17"/>
      <c r="P205" s="2"/>
    </row>
    <row r="206" spans="1:16" x14ac:dyDescent="0.35">
      <c r="B206" s="3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5"/>
      <c r="N206" s="17"/>
      <c r="O206" s="17"/>
      <c r="P206" s="2"/>
    </row>
    <row r="207" spans="1:16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7"/>
      <c r="O207" s="3"/>
      <c r="P207" s="2"/>
    </row>
    <row r="208" spans="1:16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"/>
    </row>
    <row r="209" spans="1:16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"/>
    </row>
    <row r="210" spans="1:16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2"/>
    </row>
    <row r="211" spans="1:16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2"/>
    </row>
  </sheetData>
  <mergeCells count="15">
    <mergeCell ref="H41:J41"/>
    <mergeCell ref="L41:N41"/>
    <mergeCell ref="L48:N48"/>
    <mergeCell ref="D80:F80"/>
    <mergeCell ref="N82:Q82"/>
    <mergeCell ref="H83:J83"/>
    <mergeCell ref="N83:Q83"/>
    <mergeCell ref="H180:J180"/>
    <mergeCell ref="D197:F197"/>
    <mergeCell ref="H103:J103"/>
    <mergeCell ref="L103:N103"/>
    <mergeCell ref="L110:N110"/>
    <mergeCell ref="H140:J140"/>
    <mergeCell ref="M140:O140"/>
    <mergeCell ref="H173:J173"/>
  </mergeCells>
  <printOptions horizontalCentered="1"/>
  <pageMargins left="0.2" right="0.2" top="0.5" bottom="0.25" header="0.3" footer="0.1"/>
  <pageSetup scale="45" orientation="landscape" horizontalDpi="1200" verticalDpi="1200" r:id="rId1"/>
  <headerFooter>
    <oddFooter>&amp;C&amp;F (Tab: &amp;A)&amp;RPage &amp;P / &amp;N</oddFooter>
  </headerFooter>
  <rowBreaks count="2" manualBreakCount="2">
    <brk id="78" max="16383" man="1"/>
    <brk id="146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B211"/>
  <sheetViews>
    <sheetView workbookViewId="0">
      <selection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1796875" customWidth="1"/>
    <col min="12" max="12" width="17.453125" customWidth="1"/>
    <col min="13" max="13" width="15.453125" customWidth="1"/>
    <col min="14" max="14" width="20.1796875" customWidth="1"/>
    <col min="15" max="15" width="16.453125" customWidth="1"/>
    <col min="16" max="16" width="15" style="1" customWidth="1"/>
    <col min="17" max="19" width="12.26953125" customWidth="1"/>
    <col min="20" max="20" width="11.453125" customWidth="1"/>
    <col min="21" max="21" width="14" customWidth="1"/>
    <col min="22" max="23" width="11.7265625" customWidth="1"/>
    <col min="24" max="24" width="16.81640625" customWidth="1"/>
    <col min="25" max="28" width="11.7265625" customWidth="1"/>
  </cols>
  <sheetData>
    <row r="1" spans="1:28" ht="18.5" x14ac:dyDescent="0.45">
      <c r="A1" s="447" t="s">
        <v>834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8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2"/>
      <c r="L3" s="687">
        <f>'[1]A1.)RatesInput'!$G$4</f>
        <v>2019</v>
      </c>
      <c r="M3" s="2"/>
      <c r="P3" s="192" t="str">
        <f>$A$4</f>
        <v>SC8 Rate II</v>
      </c>
      <c r="Q3" s="3"/>
      <c r="S3" s="3"/>
    </row>
    <row r="4" spans="1:28" outlineLevel="1" x14ac:dyDescent="0.35">
      <c r="A4" s="864" t="s">
        <v>687</v>
      </c>
      <c r="B4" s="864"/>
      <c r="C4" s="3"/>
      <c r="D4" s="3"/>
      <c r="E4" s="3"/>
      <c r="F4" s="3"/>
      <c r="G4" s="3"/>
      <c r="H4" s="3"/>
      <c r="J4" s="3" t="s">
        <v>5</v>
      </c>
      <c r="K4" s="2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8" outlineLevel="1" x14ac:dyDescent="0.35">
      <c r="C5" s="3"/>
      <c r="D5" s="3"/>
      <c r="E5" s="3"/>
      <c r="F5" s="3"/>
      <c r="G5" s="3"/>
      <c r="J5" s="3"/>
      <c r="K5" s="2"/>
      <c r="L5" s="2"/>
      <c r="M5" s="2"/>
      <c r="P5" s="2"/>
      <c r="Q5" s="3"/>
      <c r="R5" s="3"/>
      <c r="S5" s="30" t="s">
        <v>25</v>
      </c>
      <c r="U5" s="30" t="s">
        <v>12</v>
      </c>
    </row>
    <row r="6" spans="1:28" outlineLevel="1" x14ac:dyDescent="0.35">
      <c r="A6" s="180"/>
      <c r="B6" s="180"/>
      <c r="C6" s="180"/>
      <c r="D6" s="180"/>
      <c r="E6" s="180"/>
      <c r="F6" s="3"/>
      <c r="G6" s="490" t="str">
        <f>'12A.)TODL_RateDesignSummary'!D39</f>
        <v>Current(RY1)</v>
      </c>
      <c r="H6" s="101" t="s">
        <v>521</v>
      </c>
      <c r="J6" t="s">
        <v>1382</v>
      </c>
      <c r="K6" s="1"/>
      <c r="L6" s="687">
        <f>'[1]A1.)RatesInput'!$G$3</f>
        <v>2017</v>
      </c>
      <c r="M6" s="984"/>
      <c r="P6" s="165" t="s">
        <v>114</v>
      </c>
      <c r="Q6" s="164" t="s">
        <v>640</v>
      </c>
      <c r="R6" s="163" t="s">
        <v>643</v>
      </c>
      <c r="S6" s="386">
        <f>'[1]D2.)BillingDeterminants(TOD)'!$D$39+'[1]D2.)BillingDeterminants(TOD)'!$D$54</f>
        <v>118011.03</v>
      </c>
      <c r="T6" s="164" t="s">
        <v>1393</v>
      </c>
      <c r="U6" s="386">
        <f>'[1]D2.)BillingDeterminants(TOD)'!$D$46+'[1]D2.)BillingDeterminants(TOD)'!$D$61</f>
        <v>24244884</v>
      </c>
      <c r="W6" s="464"/>
      <c r="X6" s="1126" t="s">
        <v>2208</v>
      </c>
      <c r="Y6" s="1127" t="s">
        <v>114</v>
      </c>
      <c r="Z6" s="1127" t="s">
        <v>113</v>
      </c>
      <c r="AA6" s="1127" t="s">
        <v>112</v>
      </c>
      <c r="AB6" s="1128" t="s">
        <v>111</v>
      </c>
    </row>
    <row r="7" spans="1:28" ht="15" outlineLevel="1" thickBot="1" x14ac:dyDescent="0.4">
      <c r="A7" s="3"/>
      <c r="B7" s="3"/>
      <c r="C7" s="3"/>
      <c r="D7" s="3"/>
      <c r="E7" s="3"/>
      <c r="F7" s="3"/>
      <c r="G7" s="101"/>
      <c r="J7" s="3"/>
      <c r="K7" s="416"/>
      <c r="L7" s="985" t="str">
        <f>A4</f>
        <v>SC8 Rate II</v>
      </c>
      <c r="M7" s="2"/>
      <c r="P7" s="170" t="s">
        <v>114</v>
      </c>
      <c r="Q7" s="159" t="s">
        <v>641</v>
      </c>
      <c r="R7" s="158" t="s">
        <v>888</v>
      </c>
      <c r="S7" s="387">
        <f>'[1]D2.)BillingDeterminants(TOD)'!$D$41+'[1]D2.)BillingDeterminants(TOD)'!$D$56</f>
        <v>125362.57999999999</v>
      </c>
      <c r="T7" s="159" t="s">
        <v>445</v>
      </c>
      <c r="U7" s="387">
        <f>'[1]D2.)BillingDeterminants(TOD)'!$D$48+'[1]D2.)BillingDeterminants(TOD)'!$D$63</f>
        <v>30476076</v>
      </c>
      <c r="W7" s="1125" t="s">
        <v>2207</v>
      </c>
      <c r="X7" s="1162">
        <f>'[2]3C.)HY_Metering PxOut'!$B$40</f>
        <v>240</v>
      </c>
      <c r="Y7" s="1131">
        <f>ROUND($X7*$Q$9/($Q$9+$Q$14+$Q$19+$Q$24),0)</f>
        <v>80</v>
      </c>
      <c r="Z7" s="1131">
        <f>X7-Y7-AA7-AB7</f>
        <v>160</v>
      </c>
      <c r="AA7" s="1131">
        <f>ROUND($X7*$Q$19/($Q$9+$Q$14+$Q$19+$Q$24),0)</f>
        <v>0</v>
      </c>
      <c r="AB7" s="1132">
        <f>ROUND($X7*$Q$24/($Q$9+$Q$14+$Q$19+$Q$24),0)</f>
        <v>0</v>
      </c>
    </row>
    <row r="8" spans="1:28" ht="15.5" outlineLevel="1" thickTop="1" thickBot="1" x14ac:dyDescent="0.4">
      <c r="A8" s="3" t="s">
        <v>876</v>
      </c>
      <c r="B8" s="3"/>
      <c r="C8" s="3"/>
      <c r="D8" s="3"/>
      <c r="E8" s="3"/>
      <c r="F8" s="3"/>
      <c r="G8" s="309">
        <f>'12A.)TODL_RateDesignSummary'!D41</f>
        <v>0</v>
      </c>
      <c r="H8" s="177">
        <f>J85</f>
        <v>0</v>
      </c>
      <c r="J8" s="33"/>
      <c r="K8" s="416"/>
      <c r="L8" s="688"/>
      <c r="M8" s="2"/>
      <c r="P8" s="168" t="s">
        <v>114</v>
      </c>
      <c r="Q8" s="154" t="s">
        <v>642</v>
      </c>
      <c r="R8" s="176" t="s">
        <v>645</v>
      </c>
      <c r="S8" s="172">
        <f>'[1]D2.)BillingDeterminants(TOD)'!$D$43+'[1]D2.)BillingDeterminants(TOD)'!$D$58</f>
        <v>125660.2</v>
      </c>
      <c r="T8" s="453"/>
      <c r="U8" s="452"/>
    </row>
    <row r="9" spans="1:28" ht="15.5" outlineLevel="1" thickTop="1" thickBot="1" x14ac:dyDescent="0.4">
      <c r="A9" s="3" t="s">
        <v>877</v>
      </c>
      <c r="B9" s="3"/>
      <c r="C9" s="3"/>
      <c r="D9" s="3"/>
      <c r="E9" s="3"/>
      <c r="F9" s="3"/>
      <c r="G9" s="310">
        <f>'12A.)TODL_RateDesignSummary'!D42</f>
        <v>15.98</v>
      </c>
      <c r="H9" s="169">
        <f t="shared" ref="H9:H10" si="0">J86</f>
        <v>16.39</v>
      </c>
      <c r="J9" s="33" t="s">
        <v>139</v>
      </c>
      <c r="K9" s="416"/>
      <c r="L9" s="689">
        <f>HLOOKUP($L$6,'[1]A1.)RatesInput'!$D$63:$J$83,'[1]A1.)RatesInput'!$A$80,0)</f>
        <v>1.01108</v>
      </c>
      <c r="M9" s="986" t="s">
        <v>138</v>
      </c>
      <c r="P9" s="1158" t="s">
        <v>2207</v>
      </c>
      <c r="Q9" s="1161">
        <f>'[1]B1.)HYAdjSalesDatabase'!$T$248</f>
        <v>80</v>
      </c>
      <c r="S9" s="151">
        <f>SUM(S6:S8)</f>
        <v>369033.81</v>
      </c>
      <c r="U9" s="151">
        <f>SUM(U6:U8)</f>
        <v>54720960</v>
      </c>
      <c r="X9" s="1009">
        <f>X7+X8-Q9-Q14-Q19-Q24</f>
        <v>0</v>
      </c>
    </row>
    <row r="10" spans="1:28" ht="15" outlineLevel="1" thickTop="1" x14ac:dyDescent="0.35">
      <c r="A10" s="3" t="s">
        <v>878</v>
      </c>
      <c r="B10" s="3"/>
      <c r="C10" s="3"/>
      <c r="D10" s="3"/>
      <c r="E10" s="3"/>
      <c r="F10" s="3"/>
      <c r="G10" s="310">
        <f>'12A.)TODL_RateDesignSummary'!D43</f>
        <v>3.74</v>
      </c>
      <c r="H10" s="169">
        <f t="shared" si="0"/>
        <v>3.83</v>
      </c>
      <c r="J10" s="33" t="s">
        <v>137</v>
      </c>
      <c r="K10" s="416"/>
      <c r="L10" s="689">
        <f>HLOOKUP($L$6,'[1]A1.)RatesInput'!$D$63:$J$83,'[1]A1.)RatesInput'!$A$81,0)</f>
        <v>1.0119199999999999</v>
      </c>
      <c r="M10" s="2"/>
    </row>
    <row r="11" spans="1:28" outlineLevel="1" x14ac:dyDescent="0.35">
      <c r="A11" s="3" t="s">
        <v>879</v>
      </c>
      <c r="B11" s="3"/>
      <c r="C11" s="3"/>
      <c r="D11" s="3"/>
      <c r="E11" s="3"/>
      <c r="F11" s="3"/>
      <c r="G11" s="310">
        <f>'12A.)TODL_RateDesignSummary'!D44</f>
        <v>9.06</v>
      </c>
      <c r="H11" s="169">
        <f>H85</f>
        <v>9.2900000000000009</v>
      </c>
      <c r="J11" s="33" t="s">
        <v>136</v>
      </c>
      <c r="K11" s="416"/>
      <c r="L11" s="689">
        <f>HLOOKUP($L$6,'[1]A1.)RatesInput'!$D$63:$J$83,'[1]A1.)RatesInput'!$A$82,0)</f>
        <v>1.01067</v>
      </c>
      <c r="M11" s="2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386">
        <f>'[1]D2.)BillingDeterminants(TOD)'!$E$46+'[1]D2.)BillingDeterminants(TOD)'!$E$61</f>
        <v>36455816</v>
      </c>
    </row>
    <row r="12" spans="1:28" outlineLevel="1" x14ac:dyDescent="0.35">
      <c r="A12" s="3" t="s">
        <v>880</v>
      </c>
      <c r="B12" s="3"/>
      <c r="C12" s="3"/>
      <c r="D12" s="3"/>
      <c r="E12" s="3"/>
      <c r="F12" s="3"/>
      <c r="G12" s="310">
        <f>'12A.)TODL_RateDesignSummary'!D45</f>
        <v>21.84</v>
      </c>
      <c r="H12" s="169">
        <f t="shared" ref="H12:H13" si="1">H86</f>
        <v>22.4</v>
      </c>
      <c r="K12" s="1"/>
      <c r="L12" s="1"/>
      <c r="M12" s="1"/>
      <c r="P12" s="160" t="s">
        <v>113</v>
      </c>
      <c r="Q12" s="157" t="str">
        <f>Q$7</f>
        <v>D2</v>
      </c>
      <c r="R12" s="157" t="str">
        <f>R$7</f>
        <v>8-10</v>
      </c>
      <c r="S12" s="387">
        <f>'[1]D2.)BillingDeterminants(TOD)'!$E$41+'[1]D2.)BillingDeterminants(TOD)'!$E$56</f>
        <v>167172.66999999995</v>
      </c>
      <c r="T12" s="159" t="str">
        <f>T$7</f>
        <v>Off Peak</v>
      </c>
      <c r="U12" s="387">
        <f>'[1]D2.)BillingDeterminants(TOD)'!$E$48+'[1]D2.)BillingDeterminants(TOD)'!$E$63</f>
        <v>45198664</v>
      </c>
    </row>
    <row r="13" spans="1:28" ht="15" outlineLevel="1" thickBot="1" x14ac:dyDescent="0.4">
      <c r="A13" s="3" t="s">
        <v>881</v>
      </c>
      <c r="B13" s="3"/>
      <c r="C13" s="3"/>
      <c r="D13" s="3"/>
      <c r="E13" s="3"/>
      <c r="F13" s="3"/>
      <c r="G13" s="310">
        <f>'12A.)TODL_RateDesignSummary'!D46</f>
        <v>17.740000000000002</v>
      </c>
      <c r="H13" s="169">
        <f t="shared" si="1"/>
        <v>18.2</v>
      </c>
      <c r="K13" s="1"/>
      <c r="L13" s="1"/>
      <c r="M13" s="1"/>
      <c r="P13" s="155" t="s">
        <v>113</v>
      </c>
      <c r="Q13" s="154" t="str">
        <f>Q8</f>
        <v>D3</v>
      </c>
      <c r="R13" s="154" t="str">
        <f>R8</f>
        <v>All Day</v>
      </c>
      <c r="S13" s="172">
        <f>'[1]D2.)BillingDeterminants(TOD)'!$E$43+'[1]D2.)BillingDeterminants(TOD)'!$E$58</f>
        <v>168411.10000000003</v>
      </c>
      <c r="T13" s="453"/>
      <c r="U13" s="452"/>
    </row>
    <row r="14" spans="1:28" ht="15.5" outlineLevel="1" thickTop="1" thickBot="1" x14ac:dyDescent="0.4">
      <c r="A14" t="s">
        <v>647</v>
      </c>
      <c r="F14" s="3"/>
      <c r="G14" s="310">
        <f>'12A.)TODL_RateDesignSummary'!D47</f>
        <v>7.9000000000000008E-3</v>
      </c>
      <c r="H14" s="169">
        <f>H142</f>
        <v>7.9000000000000008E-3</v>
      </c>
      <c r="K14" s="1"/>
      <c r="L14" s="1"/>
      <c r="M14" s="1"/>
      <c r="P14" s="1158" t="s">
        <v>2207</v>
      </c>
      <c r="Q14" s="1161">
        <f>'[1]B1.)HYAdjSalesDatabase'!$U$248</f>
        <v>160</v>
      </c>
      <c r="R14" s="3"/>
      <c r="S14" s="151">
        <f>SUM(S11:S13)</f>
        <v>335583.77</v>
      </c>
      <c r="U14" s="151">
        <f>SUM(U11:U13)</f>
        <v>81654480</v>
      </c>
    </row>
    <row r="15" spans="1:28" ht="15" outlineLevel="1" thickTop="1" x14ac:dyDescent="0.35">
      <c r="A15" t="s">
        <v>648</v>
      </c>
      <c r="F15" s="3"/>
      <c r="G15" s="310">
        <f>'12A.)TODL_RateDesignSummary'!D48</f>
        <v>7.9000000000000008E-3</v>
      </c>
      <c r="H15" s="169">
        <f>H143</f>
        <v>7.9000000000000008E-3</v>
      </c>
      <c r="J15" s="1"/>
      <c r="K15" s="1"/>
      <c r="L15" s="1"/>
      <c r="M15" s="1"/>
    </row>
    <row r="16" spans="1:28" outlineLevel="1" x14ac:dyDescent="0.35">
      <c r="A16" t="s">
        <v>649</v>
      </c>
      <c r="F16" s="3"/>
      <c r="G16" s="310">
        <f>'12A.)TODL_RateDesignSummary'!D49</f>
        <v>7.9000000000000008E-3</v>
      </c>
      <c r="H16" s="169">
        <f>J142</f>
        <v>7.9000000000000008E-3</v>
      </c>
      <c r="K16" s="1"/>
      <c r="L16" s="726" t="s">
        <v>135</v>
      </c>
      <c r="M16" s="726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386">
        <f>'[1]D2.)BillingDeterminants(TOD)'!$D$40+'[1]D2.)BillingDeterminants(TOD)'!$D$55</f>
        <v>0</v>
      </c>
      <c r="T16" s="164" t="str">
        <f>T$6</f>
        <v>On Peak</v>
      </c>
      <c r="U16" s="386">
        <f>'[1]D2.)BillingDeterminants(TOD)'!$D$47+'[1]D2.)BillingDeterminants(TOD)'!$D$62</f>
        <v>0</v>
      </c>
    </row>
    <row r="17" spans="1:21" outlineLevel="1" x14ac:dyDescent="0.35">
      <c r="A17" t="s">
        <v>650</v>
      </c>
      <c r="F17" s="3"/>
      <c r="G17" s="310">
        <f>'12A.)TODL_RateDesignSummary'!D50</f>
        <v>7.9000000000000008E-3</v>
      </c>
      <c r="H17" s="169">
        <f>J143</f>
        <v>7.9000000000000008E-3</v>
      </c>
      <c r="J17" s="33" t="s">
        <v>133</v>
      </c>
      <c r="K17" s="1"/>
      <c r="L17" s="245">
        <f>'[2]6B.)RateChgAllocation'!$N$43</f>
        <v>279344</v>
      </c>
      <c r="M17" s="701">
        <f>ROUND(L17/ROUND(L18/M18,5),0)</f>
        <v>276174</v>
      </c>
      <c r="P17" s="170" t="s">
        <v>112</v>
      </c>
      <c r="Q17" s="157" t="str">
        <f>Q$7</f>
        <v>D2</v>
      </c>
      <c r="R17" s="157" t="str">
        <f>R$7</f>
        <v>8-10</v>
      </c>
      <c r="S17" s="387">
        <f>'[1]D2.)BillingDeterminants(TOD)'!$D$42+'[1]D2.)BillingDeterminants(TOD)'!$D$57</f>
        <v>0</v>
      </c>
      <c r="T17" s="159" t="str">
        <f>T$7</f>
        <v>Off Peak</v>
      </c>
      <c r="U17" s="387">
        <f>'[1]D2.)BillingDeterminants(TOD)'!$D$49+'[1]D2.)BillingDeterminants(TOD)'!$D$64</f>
        <v>0</v>
      </c>
    </row>
    <row r="18" spans="1:21" ht="15" outlineLevel="1" thickBot="1" x14ac:dyDescent="0.4">
      <c r="A18" t="s">
        <v>651</v>
      </c>
      <c r="F18" s="3"/>
      <c r="G18" s="310">
        <f>'12A.)TODL_RateDesignSummary'!D51</f>
        <v>7.9000000000000008E-3</v>
      </c>
      <c r="H18" s="169">
        <f>H14</f>
        <v>7.9000000000000008E-3</v>
      </c>
      <c r="J18" s="33" t="s">
        <v>131</v>
      </c>
      <c r="K18" s="1"/>
      <c r="L18" s="701">
        <f>'[2]4D-3.)HY_TODLRatePxOut(SC8)'!$Y$44</f>
        <v>9444767</v>
      </c>
      <c r="M18" s="245">
        <f>'[2]4D-3.)HY_TODLRatePxOut(SC8)'!$W$44</f>
        <v>9337589</v>
      </c>
      <c r="P18" s="168" t="s">
        <v>112</v>
      </c>
      <c r="Q18" s="154" t="str">
        <f>Q8</f>
        <v>D3</v>
      </c>
      <c r="R18" s="154" t="str">
        <f>R8</f>
        <v>All Day</v>
      </c>
      <c r="S18" s="172"/>
      <c r="T18" s="453"/>
      <c r="U18" s="452"/>
    </row>
    <row r="19" spans="1:21" ht="15.5" outlineLevel="1" thickTop="1" thickBot="1" x14ac:dyDescent="0.4">
      <c r="A19" t="s">
        <v>652</v>
      </c>
      <c r="F19" s="3"/>
      <c r="G19" s="310">
        <f>'12A.)TODL_RateDesignSummary'!D52</f>
        <v>7.9000000000000008E-3</v>
      </c>
      <c r="H19" s="169">
        <f t="shared" ref="H19:H21" si="2">H15</f>
        <v>7.9000000000000008E-3</v>
      </c>
      <c r="J19" s="33" t="s">
        <v>123</v>
      </c>
      <c r="K19" s="1"/>
      <c r="L19" s="245">
        <f>'[2]6B.)RateChgAllocation'!$M$43</f>
        <v>0</v>
      </c>
      <c r="M19" s="245">
        <f>ROUND(L19/ROUND(L18/M18,5),0)</f>
        <v>0</v>
      </c>
      <c r="P19" s="1158" t="s">
        <v>2207</v>
      </c>
      <c r="Q19" s="1161">
        <f>'[1]B1.)HYAdjSalesDatabase'!$T$247</f>
        <v>0</v>
      </c>
      <c r="S19" s="151">
        <f>SUM(S16:S18)</f>
        <v>0</v>
      </c>
      <c r="U19" s="151">
        <f>SUM(U16:U18)</f>
        <v>0</v>
      </c>
    </row>
    <row r="20" spans="1:21" ht="15" outlineLevel="1" thickTop="1" x14ac:dyDescent="0.35">
      <c r="A20" t="s">
        <v>653</v>
      </c>
      <c r="F20" s="3"/>
      <c r="G20" s="310">
        <f>'12A.)TODL_RateDesignSummary'!D53</f>
        <v>7.9000000000000008E-3</v>
      </c>
      <c r="H20" s="169">
        <f t="shared" si="2"/>
        <v>7.9000000000000008E-3</v>
      </c>
      <c r="J20" s="33" t="s">
        <v>129</v>
      </c>
      <c r="K20" s="1"/>
      <c r="L20" s="701">
        <f>'[2]4D-3.)HY_TODLRatePxOut(SC8)'!$Y$80</f>
        <v>1077367</v>
      </c>
      <c r="M20" s="245">
        <f>'[2]4D-3.)HY_TODLRatePxOut(SC8)'!$W$80</f>
        <v>1077367</v>
      </c>
    </row>
    <row r="21" spans="1:21" ht="15" outlineLevel="1" thickBot="1" x14ac:dyDescent="0.4">
      <c r="A21" t="s">
        <v>654</v>
      </c>
      <c r="F21" s="3"/>
      <c r="G21" s="311">
        <f>'12A.)TODL_RateDesignSummary'!D54</f>
        <v>7.9000000000000008E-3</v>
      </c>
      <c r="H21" s="167">
        <f t="shared" si="2"/>
        <v>7.9000000000000008E-3</v>
      </c>
      <c r="K21" s="1"/>
      <c r="L21" s="702"/>
      <c r="M21" s="702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386">
        <f>'[1]D2.)BillingDeterminants(TOD)'!$E$47+'[1]D2.)BillingDeterminants(TOD)'!$E$62</f>
        <v>0</v>
      </c>
    </row>
    <row r="22" spans="1:21" ht="15.5" outlineLevel="1" thickTop="1" thickBot="1" x14ac:dyDescent="0.4">
      <c r="J22" s="33" t="str">
        <f>CONCATENATE(A4," - T&amp;D Target:")</f>
        <v>SC8 Rate II - T&amp;D Target:</v>
      </c>
      <c r="K22" s="1"/>
      <c r="L22" s="701">
        <f>'[2]6A.)RateChange'!$BN$43</f>
        <v>10801478</v>
      </c>
      <c r="M22" s="702"/>
      <c r="P22" s="160" t="s">
        <v>111</v>
      </c>
      <c r="Q22" s="157" t="str">
        <f>Q$7</f>
        <v>D2</v>
      </c>
      <c r="R22" s="157" t="str">
        <f>R$7</f>
        <v>8-10</v>
      </c>
      <c r="S22" s="387">
        <f>'[1]D2.)BillingDeterminants(TOD)'!$E$42+'[1]D2.)BillingDeterminants(TOD)'!$E$57</f>
        <v>0</v>
      </c>
      <c r="T22" s="159" t="str">
        <f>T$7</f>
        <v>Off Peak</v>
      </c>
      <c r="U22" s="387">
        <f>'[1]D2.)BillingDeterminants(TOD)'!$E$49+'[1]D2.)BillingDeterminants(TOD)'!$E$64</f>
        <v>0</v>
      </c>
    </row>
    <row r="23" spans="1:21" ht="15.5" outlineLevel="1" thickTop="1" thickBot="1" x14ac:dyDescent="0.4">
      <c r="A23" s="1171" t="s">
        <v>2203</v>
      </c>
      <c r="B23" s="1172"/>
      <c r="C23" s="1173"/>
      <c r="H23" s="1177" t="s">
        <v>1007</v>
      </c>
      <c r="K23" s="1"/>
      <c r="L23" s="1"/>
      <c r="M23" s="1"/>
      <c r="P23" s="155" t="s">
        <v>111</v>
      </c>
      <c r="Q23" s="154" t="str">
        <f>Q8</f>
        <v>D3</v>
      </c>
      <c r="R23" s="154" t="str">
        <f>R8</f>
        <v>All Day</v>
      </c>
      <c r="S23" s="172"/>
      <c r="T23" s="453"/>
      <c r="U23" s="452"/>
    </row>
    <row r="24" spans="1:21" ht="15.5" outlineLevel="1" thickTop="1" thickBot="1" x14ac:dyDescent="0.4">
      <c r="A24" s="1174" t="s">
        <v>2229</v>
      </c>
      <c r="B24" s="1175"/>
      <c r="C24" s="1176"/>
      <c r="H24" s="1170">
        <f>'7C.)CustCharge_DemandClasses'!$E$15</f>
        <v>143.09</v>
      </c>
      <c r="P24" s="1158" t="s">
        <v>2207</v>
      </c>
      <c r="Q24" s="1161">
        <f>'[1]B1.)HYAdjSalesDatabase'!$U$247</f>
        <v>0</v>
      </c>
      <c r="S24" s="151">
        <f>SUM(S21:S23)</f>
        <v>0</v>
      </c>
      <c r="U24" s="151">
        <f>SUM(U21:U23)</f>
        <v>0</v>
      </c>
    </row>
    <row r="25" spans="1:21" ht="15.5" outlineLevel="1" thickTop="1" thickBot="1" x14ac:dyDescent="0.4">
      <c r="S25" s="150"/>
    </row>
    <row r="26" spans="1:21" ht="15.5" outlineLevel="1" thickTop="1" thickBot="1" x14ac:dyDescent="0.4">
      <c r="R26" t="s">
        <v>205</v>
      </c>
      <c r="S26" s="151">
        <f>S9+S14+S19+S24</f>
        <v>704617.58000000007</v>
      </c>
      <c r="U26" s="151">
        <f>U9+U14+U19+U24</f>
        <v>136375440</v>
      </c>
    </row>
    <row r="27" spans="1:21" ht="15" outlineLevel="1" thickTop="1" x14ac:dyDescent="0.35"/>
    <row r="28" spans="1:21" s="148" customFormat="1" outlineLevel="1" x14ac:dyDescent="0.35"/>
    <row r="29" spans="1:21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58"/>
      <c r="M29" s="1169" t="s">
        <v>2240</v>
      </c>
      <c r="N29" s="1"/>
      <c r="O29" s="1"/>
    </row>
    <row r="30" spans="1:21" x14ac:dyDescent="0.35">
      <c r="A30" s="407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143.09</v>
      </c>
      <c r="N30" s="1"/>
      <c r="O30" s="1"/>
    </row>
    <row r="31" spans="1:21" x14ac:dyDescent="0.35">
      <c r="A31" s="406"/>
      <c r="B31" s="41" t="str">
        <f>$A$4</f>
        <v>SC8 Rate II</v>
      </c>
      <c r="C31" s="133" t="s">
        <v>662</v>
      </c>
      <c r="D31" s="133"/>
      <c r="E31" s="133"/>
      <c r="F31" s="133"/>
      <c r="H31" s="1149" t="s">
        <v>2226</v>
      </c>
      <c r="I31" s="1149" t="s">
        <v>2227</v>
      </c>
      <c r="L31" s="1158"/>
      <c r="M31" s="1158"/>
      <c r="N31" s="1"/>
      <c r="O31" s="1"/>
      <c r="P31"/>
    </row>
    <row r="32" spans="1:21" x14ac:dyDescent="0.35">
      <c r="A32" s="406"/>
      <c r="C32" s="142" t="s">
        <v>97</v>
      </c>
      <c r="D32" s="464"/>
      <c r="E32" s="464"/>
      <c r="F32" s="464"/>
      <c r="G32" s="464"/>
      <c r="H32" s="810">
        <f>M17</f>
        <v>276174</v>
      </c>
      <c r="I32" s="1156">
        <f>H32-M38</f>
        <v>241832</v>
      </c>
      <c r="J32" s="892" t="s">
        <v>79</v>
      </c>
      <c r="L32" s="1165" t="s">
        <v>2221</v>
      </c>
      <c r="M32" s="1159">
        <f>Y7</f>
        <v>80</v>
      </c>
      <c r="N32" s="1"/>
      <c r="O32" s="1"/>
      <c r="P32"/>
    </row>
    <row r="33" spans="1:16" ht="15" thickBot="1" x14ac:dyDescent="0.4">
      <c r="A33" s="406"/>
      <c r="C33" t="s">
        <v>102</v>
      </c>
      <c r="I33" s="819">
        <f>M18</f>
        <v>9337589</v>
      </c>
      <c r="J33" s="892" t="s">
        <v>78</v>
      </c>
      <c r="L33" s="1165" t="s">
        <v>2222</v>
      </c>
      <c r="M33" s="1159">
        <f>Z7</f>
        <v>160</v>
      </c>
      <c r="N33" s="1"/>
      <c r="O33" s="1"/>
      <c r="P33"/>
    </row>
    <row r="34" spans="1:16" ht="15.5" thickTop="1" thickBot="1" x14ac:dyDescent="0.4">
      <c r="A34" s="406"/>
      <c r="C34" t="s">
        <v>657</v>
      </c>
      <c r="I34" s="128">
        <f>I32+I33</f>
        <v>9579421</v>
      </c>
      <c r="J34" s="892" t="s">
        <v>1580</v>
      </c>
      <c r="L34" s="1158"/>
      <c r="M34" s="1158"/>
      <c r="N34" s="1"/>
      <c r="O34" s="1"/>
      <c r="P34"/>
    </row>
    <row r="35" spans="1:16" ht="15" thickTop="1" x14ac:dyDescent="0.35">
      <c r="A35" s="406"/>
      <c r="I35" s="345"/>
      <c r="J35" s="136"/>
      <c r="L35" s="1165" t="s">
        <v>2223</v>
      </c>
      <c r="M35" s="1159">
        <f>AA7</f>
        <v>0</v>
      </c>
      <c r="N35" s="1"/>
      <c r="O35" s="1"/>
      <c r="P35"/>
    </row>
    <row r="36" spans="1:16" x14ac:dyDescent="0.35">
      <c r="A36" s="406"/>
      <c r="C36" s="75" t="s">
        <v>658</v>
      </c>
      <c r="D36" s="75"/>
      <c r="E36" s="75"/>
      <c r="F36" s="75"/>
      <c r="I36" s="637">
        <f>ROUND(I32/I33,8)</f>
        <v>2.589876E-2</v>
      </c>
      <c r="J36" s="892" t="s">
        <v>1777</v>
      </c>
      <c r="L36" s="1165" t="s">
        <v>2224</v>
      </c>
      <c r="M36" s="1159">
        <f>AB7</f>
        <v>0</v>
      </c>
      <c r="N36" s="1"/>
      <c r="O36" s="1"/>
      <c r="P36"/>
    </row>
    <row r="37" spans="1:16" x14ac:dyDescent="0.35">
      <c r="A37" s="406"/>
      <c r="L37" s="1158"/>
      <c r="M37" s="1158"/>
      <c r="N37" s="1"/>
      <c r="O37" s="1"/>
      <c r="P37"/>
    </row>
    <row r="38" spans="1:16" x14ac:dyDescent="0.35">
      <c r="A38" s="406"/>
      <c r="L38" s="1165" t="s">
        <v>2225</v>
      </c>
      <c r="M38" s="1160">
        <f>ROUND((M32+M33+M35+M36)*M30,0)</f>
        <v>34342</v>
      </c>
      <c r="N38" s="1"/>
      <c r="O38" s="1"/>
      <c r="P38"/>
    </row>
    <row r="39" spans="1:16" x14ac:dyDescent="0.35">
      <c r="A39" s="858" t="s">
        <v>666</v>
      </c>
      <c r="L39" s="1"/>
      <c r="M39" s="1"/>
      <c r="N39" s="1"/>
      <c r="O39" s="1"/>
      <c r="P39"/>
    </row>
    <row r="40" spans="1:16" ht="15" thickBot="1" x14ac:dyDescent="0.4">
      <c r="A40" s="406"/>
      <c r="P40"/>
    </row>
    <row r="41" spans="1:16" ht="15.5" thickTop="1" thickBot="1" x14ac:dyDescent="0.4">
      <c r="A41" s="406"/>
      <c r="B41" s="41" t="str">
        <f>$A$4</f>
        <v>SC8 Rate II</v>
      </c>
      <c r="C41" s="3"/>
      <c r="D41" s="3"/>
      <c r="E41" s="3"/>
      <c r="F41" s="3"/>
      <c r="G41" s="3"/>
      <c r="H41" s="1316" t="s">
        <v>82</v>
      </c>
      <c r="I41" s="1317"/>
      <c r="J41" s="1318"/>
      <c r="K41" s="3"/>
      <c r="L41" s="1307" t="s">
        <v>81</v>
      </c>
      <c r="M41" s="1308"/>
      <c r="N41" s="1309"/>
    </row>
    <row r="42" spans="1:16" ht="15" thickTop="1" x14ac:dyDescent="0.35">
      <c r="A42" s="406"/>
      <c r="B42" s="3"/>
      <c r="C42" s="3"/>
      <c r="E42" s="30" t="s">
        <v>80</v>
      </c>
      <c r="F42" s="3"/>
      <c r="G42" s="3"/>
      <c r="H42" s="30" t="s">
        <v>42</v>
      </c>
      <c r="I42" s="30"/>
      <c r="J42" s="30" t="s">
        <v>40</v>
      </c>
      <c r="K42" s="3"/>
      <c r="L42" s="30" t="s">
        <v>42</v>
      </c>
      <c r="M42" s="86"/>
      <c r="N42" s="30" t="s">
        <v>40</v>
      </c>
    </row>
    <row r="43" spans="1:16" x14ac:dyDescent="0.35">
      <c r="A43" s="406"/>
      <c r="B43" s="3" t="s">
        <v>656</v>
      </c>
      <c r="C43" s="3"/>
      <c r="D43" s="121" t="str">
        <f>Q6</f>
        <v>D1</v>
      </c>
      <c r="E43" s="122"/>
      <c r="F43" s="121" t="str">
        <f>R6</f>
        <v>8-6</v>
      </c>
      <c r="G43" s="123"/>
      <c r="H43" s="35">
        <f>G11</f>
        <v>9.06</v>
      </c>
      <c r="I43" s="892" t="s">
        <v>177</v>
      </c>
      <c r="J43" s="35">
        <f>G8</f>
        <v>0</v>
      </c>
      <c r="K43" s="3"/>
      <c r="L43" s="27">
        <f>H43-$J$44</f>
        <v>-6.92</v>
      </c>
      <c r="M43" s="892" t="s">
        <v>1779</v>
      </c>
      <c r="N43" s="3"/>
    </row>
    <row r="44" spans="1:16" x14ac:dyDescent="0.35">
      <c r="A44" s="406"/>
      <c r="B44" s="3"/>
      <c r="C44" s="3"/>
      <c r="D44" s="121" t="str">
        <f>Q7</f>
        <v>D2</v>
      </c>
      <c r="E44" s="122"/>
      <c r="F44" s="121" t="str">
        <f>R7</f>
        <v>8-10</v>
      </c>
      <c r="G44" s="36"/>
      <c r="H44" s="35">
        <f>G12</f>
        <v>21.84</v>
      </c>
      <c r="I44" s="892" t="s">
        <v>178</v>
      </c>
      <c r="J44" s="35">
        <f>G9</f>
        <v>15.98</v>
      </c>
      <c r="K44" s="892" t="s">
        <v>1583</v>
      </c>
      <c r="L44" s="27">
        <f>H44-$J$44</f>
        <v>5.8599999999999994</v>
      </c>
      <c r="M44" s="892" t="s">
        <v>1782</v>
      </c>
      <c r="N44" s="112"/>
      <c r="O44" s="892" t="s">
        <v>213</v>
      </c>
    </row>
    <row r="45" spans="1:16" x14ac:dyDescent="0.35">
      <c r="A45" s="406"/>
      <c r="B45" s="3"/>
      <c r="C45" s="3"/>
      <c r="D45" s="121" t="str">
        <f>Q8</f>
        <v>D3</v>
      </c>
      <c r="E45" s="122"/>
      <c r="F45" s="121" t="str">
        <f>R8</f>
        <v>All Day</v>
      </c>
      <c r="G45" s="36"/>
      <c r="H45" s="35">
        <f>G13</f>
        <v>17.740000000000002</v>
      </c>
      <c r="I45" s="892" t="s">
        <v>1778</v>
      </c>
      <c r="J45" s="35">
        <f>G10</f>
        <v>3.74</v>
      </c>
      <c r="K45" s="892" t="s">
        <v>1304</v>
      </c>
      <c r="L45" s="27">
        <f>H45-$J$44</f>
        <v>1.7600000000000016</v>
      </c>
      <c r="M45" s="892" t="s">
        <v>1783</v>
      </c>
      <c r="N45" s="27">
        <f>J45-$J$44</f>
        <v>-12.24</v>
      </c>
      <c r="O45" s="892" t="s">
        <v>1784</v>
      </c>
    </row>
    <row r="46" spans="1:16" x14ac:dyDescent="0.35">
      <c r="A46" s="406"/>
      <c r="B46" s="3"/>
      <c r="C46" s="3"/>
      <c r="D46" s="2"/>
      <c r="E46" s="122"/>
      <c r="F46" s="122"/>
      <c r="G46" s="36"/>
      <c r="H46" s="120"/>
      <c r="J46" s="120"/>
      <c r="K46" s="3"/>
      <c r="L46" s="27"/>
      <c r="N46" s="61"/>
    </row>
    <row r="47" spans="1:16" ht="15" thickBot="1" x14ac:dyDescent="0.4">
      <c r="A47" s="406"/>
      <c r="K47" s="100" t="s">
        <v>688</v>
      </c>
      <c r="L47" s="968">
        <f>I36</f>
        <v>2.589876E-2</v>
      </c>
      <c r="M47" s="892" t="s">
        <v>1173</v>
      </c>
    </row>
    <row r="48" spans="1:16" ht="15.5" thickTop="1" thickBot="1" x14ac:dyDescent="0.4">
      <c r="A48" s="406"/>
      <c r="B48" s="119" t="s">
        <v>77</v>
      </c>
      <c r="L48" s="1307" t="s">
        <v>76</v>
      </c>
      <c r="M48" s="1308"/>
      <c r="N48" s="1309"/>
    </row>
    <row r="49" spans="1:21" ht="15.5" thickTop="1" thickBot="1" x14ac:dyDescent="0.4">
      <c r="A49" s="406"/>
      <c r="C49" s="41" t="str">
        <f>B41</f>
        <v>SC8 Rate II</v>
      </c>
      <c r="D49" s="41" t="str">
        <f>$B$43</f>
        <v>(HT &amp; LT)</v>
      </c>
      <c r="H49" s="118" t="s">
        <v>42</v>
      </c>
      <c r="I49" s="118" t="s">
        <v>40</v>
      </c>
      <c r="L49" s="30" t="s">
        <v>42</v>
      </c>
      <c r="M49" s="86"/>
      <c r="N49" s="30" t="s">
        <v>40</v>
      </c>
    </row>
    <row r="50" spans="1:21" x14ac:dyDescent="0.35">
      <c r="A50" s="406"/>
      <c r="C50" s="121" t="str">
        <f>D43</f>
        <v>D1</v>
      </c>
      <c r="D50" s="121" t="str">
        <f>F43</f>
        <v>8-6</v>
      </c>
      <c r="H50" s="117" t="str">
        <f>CONCATENATE("X + ",L50)</f>
        <v>X + -7.1</v>
      </c>
      <c r="I50" s="457"/>
      <c r="L50" s="27">
        <f>ROUND(L43*(1+$L$47),2)</f>
        <v>-7.1</v>
      </c>
      <c r="M50" s="892" t="s">
        <v>1785</v>
      </c>
    </row>
    <row r="51" spans="1:21" x14ac:dyDescent="0.35">
      <c r="A51" s="406"/>
      <c r="C51" s="121" t="str">
        <f>D44</f>
        <v>D2</v>
      </c>
      <c r="D51" s="121" t="str">
        <f>F44</f>
        <v>8-10</v>
      </c>
      <c r="H51" s="114" t="str">
        <f>CONCATENATE("X + ",L51)</f>
        <v>X + 6.01</v>
      </c>
      <c r="I51" s="115" t="s">
        <v>32</v>
      </c>
      <c r="L51" s="27">
        <f>ROUND(L44*(1+$L$47),2)</f>
        <v>6.01</v>
      </c>
      <c r="M51" s="892" t="s">
        <v>1786</v>
      </c>
      <c r="N51" s="112"/>
      <c r="O51" s="892" t="s">
        <v>213</v>
      </c>
    </row>
    <row r="52" spans="1:21" s="1" customFormat="1" ht="15" thickBot="1" x14ac:dyDescent="0.4">
      <c r="A52" s="406"/>
      <c r="C52" s="121" t="str">
        <f>D45</f>
        <v>D3</v>
      </c>
      <c r="D52" s="121" t="str">
        <f>F45</f>
        <v>All Day</v>
      </c>
      <c r="E52"/>
      <c r="F52"/>
      <c r="H52" s="111" t="str">
        <f>CONCATENATE("X + ",L52)</f>
        <v>X + 1.81</v>
      </c>
      <c r="I52" s="110" t="str">
        <f>CONCATENATE("X + ",N52)</f>
        <v>X + -12.56</v>
      </c>
      <c r="J52"/>
      <c r="K52"/>
      <c r="L52" s="27">
        <f>ROUND(L45*(1+$L$47),2)</f>
        <v>1.81</v>
      </c>
      <c r="M52" s="892" t="s">
        <v>1787</v>
      </c>
      <c r="N52" s="27">
        <f>ROUND(N45*(1+$L$47),2)</f>
        <v>-12.56</v>
      </c>
      <c r="O52" s="892" t="s">
        <v>1788</v>
      </c>
      <c r="Q52"/>
      <c r="R52"/>
      <c r="S52"/>
      <c r="T52"/>
      <c r="U52"/>
    </row>
    <row r="53" spans="1:21" s="1" customFormat="1" x14ac:dyDescent="0.35">
      <c r="A53" s="406"/>
      <c r="B53"/>
      <c r="C53"/>
      <c r="D53"/>
      <c r="E53"/>
      <c r="F53"/>
      <c r="G53"/>
      <c r="H53"/>
      <c r="I53"/>
      <c r="J53"/>
      <c r="K53"/>
      <c r="L53"/>
      <c r="N53"/>
      <c r="O53"/>
      <c r="Q53"/>
      <c r="R53"/>
      <c r="S53"/>
      <c r="T53"/>
      <c r="U53"/>
    </row>
    <row r="54" spans="1:21" s="1" customFormat="1" x14ac:dyDescent="0.35">
      <c r="A54" s="406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Q54"/>
      <c r="R54"/>
      <c r="S54"/>
      <c r="T54"/>
      <c r="U54"/>
    </row>
    <row r="55" spans="1:21" s="1" customFormat="1" x14ac:dyDescent="0.35">
      <c r="A55" s="406"/>
      <c r="B55" s="334" t="s">
        <v>70</v>
      </c>
      <c r="C55"/>
      <c r="D55"/>
      <c r="E55"/>
      <c r="F55"/>
      <c r="G55"/>
      <c r="H55"/>
      <c r="I55"/>
      <c r="J55"/>
      <c r="K55"/>
      <c r="L55"/>
      <c r="M55"/>
      <c r="N55"/>
      <c r="O55"/>
      <c r="Q55"/>
      <c r="R55"/>
      <c r="S55"/>
      <c r="T55"/>
      <c r="U55"/>
    </row>
    <row r="56" spans="1:21" s="1" customFormat="1" x14ac:dyDescent="0.35">
      <c r="A56" s="406"/>
      <c r="B56" s="41" t="str">
        <f>$A$4</f>
        <v>SC8 Rate II</v>
      </c>
      <c r="C56"/>
      <c r="D56"/>
      <c r="E56"/>
      <c r="F56"/>
      <c r="G56"/>
      <c r="H56"/>
      <c r="I56"/>
      <c r="J56"/>
      <c r="K56"/>
      <c r="L56"/>
      <c r="M56"/>
      <c r="N56"/>
      <c r="O56"/>
      <c r="Q56"/>
      <c r="R56"/>
      <c r="S56"/>
      <c r="T56"/>
      <c r="U56"/>
    </row>
    <row r="57" spans="1:21" s="1" customFormat="1" ht="15" thickBot="1" x14ac:dyDescent="0.4">
      <c r="A57" s="406"/>
      <c r="B57" s="70" t="s">
        <v>69</v>
      </c>
      <c r="C57" s="70"/>
      <c r="D57" s="70"/>
      <c r="E57" s="3"/>
      <c r="F57" s="3"/>
      <c r="G57" s="3"/>
      <c r="H57"/>
      <c r="I57" s="69" t="s">
        <v>25</v>
      </c>
      <c r="J57" s="3"/>
      <c r="K57" s="3"/>
      <c r="L57"/>
      <c r="M57"/>
      <c r="N57"/>
      <c r="O57"/>
      <c r="Q57"/>
      <c r="R57"/>
      <c r="S57"/>
      <c r="T57"/>
      <c r="U57"/>
    </row>
    <row r="58" spans="1:21" s="1" customFormat="1" x14ac:dyDescent="0.35">
      <c r="A58" s="406"/>
      <c r="B58" s="3"/>
      <c r="C58" s="392" t="str">
        <f>CONCATENATE(D43,": ",F43)</f>
        <v>D1: 8-6</v>
      </c>
      <c r="D58" s="70"/>
      <c r="E58" s="3" t="s">
        <v>42</v>
      </c>
      <c r="F58" s="3"/>
      <c r="I58" s="72">
        <f>S6+S16</f>
        <v>118011.03</v>
      </c>
      <c r="J58" s="36"/>
      <c r="K58" s="74" t="str">
        <f>CONCATENATE("[",H50,"]")</f>
        <v>[X + -7.1]</v>
      </c>
      <c r="L58" s="61" t="s">
        <v>1819</v>
      </c>
      <c r="M58"/>
      <c r="N58"/>
      <c r="O58"/>
      <c r="Q58"/>
      <c r="R58"/>
      <c r="S58"/>
      <c r="T58"/>
      <c r="U58"/>
    </row>
    <row r="59" spans="1:21" s="1" customFormat="1" x14ac:dyDescent="0.35">
      <c r="A59" s="406"/>
      <c r="B59" s="3"/>
      <c r="C59" s="464"/>
      <c r="D59" s="3"/>
      <c r="E59" s="3" t="s">
        <v>40</v>
      </c>
      <c r="F59" s="3"/>
      <c r="I59" s="458">
        <f>S11+S21</f>
        <v>0</v>
      </c>
      <c r="J59" s="36" t="s">
        <v>39</v>
      </c>
      <c r="K59" s="456"/>
      <c r="L59" s="61"/>
      <c r="M59"/>
      <c r="N59"/>
      <c r="O59"/>
      <c r="Q59"/>
      <c r="R59"/>
      <c r="S59"/>
      <c r="T59"/>
      <c r="U59"/>
    </row>
    <row r="60" spans="1:21" s="1" customFormat="1" x14ac:dyDescent="0.35">
      <c r="A60" s="406"/>
      <c r="B60" s="3"/>
      <c r="C60" s="392" t="str">
        <f>CONCATENATE(D44,": ",F44)</f>
        <v>D2: 8-10</v>
      </c>
      <c r="D60" s="3"/>
      <c r="E60" s="3" t="s">
        <v>42</v>
      </c>
      <c r="F60" s="3"/>
      <c r="I60" s="72">
        <f>S7+S17</f>
        <v>125362.57999999999</v>
      </c>
      <c r="J60" s="36"/>
      <c r="K60" s="73" t="str">
        <f>CONCATENATE("[",H51,"]")</f>
        <v>[X + 6.01]</v>
      </c>
      <c r="L60" s="61" t="s">
        <v>1820</v>
      </c>
      <c r="M60"/>
      <c r="N60"/>
      <c r="O60"/>
      <c r="Q60"/>
      <c r="R60"/>
      <c r="S60"/>
      <c r="T60"/>
      <c r="U60"/>
    </row>
    <row r="61" spans="1:21" s="1" customFormat="1" x14ac:dyDescent="0.35">
      <c r="A61" s="406"/>
      <c r="B61" s="3"/>
      <c r="C61" s="464"/>
      <c r="D61" s="3"/>
      <c r="E61" s="3" t="s">
        <v>40</v>
      </c>
      <c r="F61" s="3"/>
      <c r="H61"/>
      <c r="I61" s="366">
        <f>S12+S22</f>
        <v>167172.66999999995</v>
      </c>
      <c r="J61" s="36" t="s">
        <v>39</v>
      </c>
      <c r="K61" s="73" t="str">
        <f>CONCATENATE("[",I51,"]")</f>
        <v>[X]</v>
      </c>
      <c r="L61" s="61" t="s">
        <v>1642</v>
      </c>
      <c r="M61"/>
      <c r="N61"/>
      <c r="O61"/>
      <c r="Q61"/>
      <c r="R61"/>
      <c r="S61"/>
      <c r="T61"/>
      <c r="U61"/>
    </row>
    <row r="62" spans="1:21" s="1" customFormat="1" x14ac:dyDescent="0.35">
      <c r="A62" s="406"/>
      <c r="B62" s="3"/>
      <c r="C62" s="392" t="str">
        <f>CONCATENATE(D45,": ",F45)</f>
        <v>D3: All Day</v>
      </c>
      <c r="D62" s="3"/>
      <c r="E62" s="3" t="s">
        <v>42</v>
      </c>
      <c r="F62" s="3"/>
      <c r="H62"/>
      <c r="I62" s="72">
        <f>S8+S18</f>
        <v>125660.2</v>
      </c>
      <c r="J62" s="36" t="s">
        <v>39</v>
      </c>
      <c r="K62" s="73" t="str">
        <f>CONCATENATE("[",H52,"]")</f>
        <v>[X + 1.81]</v>
      </c>
      <c r="L62" s="61" t="s">
        <v>1821</v>
      </c>
      <c r="M62"/>
      <c r="N62"/>
      <c r="O62"/>
      <c r="Q62"/>
      <c r="R62"/>
      <c r="S62"/>
      <c r="T62"/>
      <c r="U62"/>
    </row>
    <row r="63" spans="1:21" s="1" customFormat="1" ht="15" thickBot="1" x14ac:dyDescent="0.4">
      <c r="A63" s="406"/>
      <c r="B63" s="3"/>
      <c r="C63" s="410"/>
      <c r="D63" s="3"/>
      <c r="E63" s="3" t="s">
        <v>40</v>
      </c>
      <c r="F63" s="3"/>
      <c r="H63"/>
      <c r="I63" s="553">
        <f>S13+S23</f>
        <v>168411.10000000003</v>
      </c>
      <c r="J63" s="36" t="s">
        <v>39</v>
      </c>
      <c r="K63" s="71" t="str">
        <f>CONCATENATE("[",I52,"]")</f>
        <v>[X + -12.56]</v>
      </c>
      <c r="L63" s="61" t="s">
        <v>1822</v>
      </c>
      <c r="M63"/>
      <c r="N63"/>
      <c r="O63"/>
      <c r="Q63"/>
      <c r="R63"/>
      <c r="S63"/>
      <c r="T63"/>
      <c r="U63"/>
    </row>
    <row r="64" spans="1:21" s="1" customFormat="1" x14ac:dyDescent="0.35">
      <c r="A64" s="406"/>
      <c r="B64" s="3"/>
      <c r="C64" s="3"/>
      <c r="D64" s="3"/>
      <c r="E64" s="3"/>
      <c r="F64" s="3"/>
      <c r="H64"/>
      <c r="I64" s="28">
        <f>SUM(I58:I63)</f>
        <v>704617.57999999984</v>
      </c>
      <c r="J64" s="61" t="s">
        <v>1823</v>
      </c>
      <c r="K64"/>
      <c r="L64"/>
      <c r="M64"/>
      <c r="N64"/>
      <c r="O64"/>
      <c r="Q64"/>
      <c r="R64"/>
      <c r="S64"/>
      <c r="T64"/>
      <c r="U64"/>
    </row>
    <row r="65" spans="1:21" x14ac:dyDescent="0.35">
      <c r="A65" s="406"/>
      <c r="B65" s="70" t="s">
        <v>660</v>
      </c>
    </row>
    <row r="66" spans="1:21" x14ac:dyDescent="0.35">
      <c r="A66" s="406"/>
      <c r="B66" s="41" t="str">
        <f>$A$4</f>
        <v>SC8 Rate II</v>
      </c>
      <c r="C66" s="3" t="s">
        <v>656</v>
      </c>
      <c r="F66" s="3"/>
      <c r="G66" s="3"/>
      <c r="H66" s="3"/>
      <c r="I66" s="69" t="s">
        <v>25</v>
      </c>
      <c r="J66" s="3"/>
      <c r="K66" s="106"/>
      <c r="L66" s="3"/>
      <c r="N66" s="17"/>
    </row>
    <row r="67" spans="1:21" x14ac:dyDescent="0.35">
      <c r="A67" s="406"/>
      <c r="C67" s="3" t="str">
        <f>C58</f>
        <v>D1: 8-6</v>
      </c>
      <c r="D67" s="3" t="str">
        <f t="shared" ref="D67:D72" si="3">E58</f>
        <v>Summer</v>
      </c>
      <c r="F67" s="3"/>
      <c r="G67" s="3"/>
      <c r="H67" s="3"/>
      <c r="I67" s="105">
        <f t="shared" ref="I67:I72" si="4">I58</f>
        <v>118011.03</v>
      </c>
      <c r="J67" s="65" t="s">
        <v>63</v>
      </c>
      <c r="K67" s="103">
        <f>ROUND(I67*L50,0)</f>
        <v>-837878</v>
      </c>
      <c r="L67" s="3" t="s">
        <v>62</v>
      </c>
      <c r="M67" s="61" t="s">
        <v>1826</v>
      </c>
      <c r="N67" s="17"/>
    </row>
    <row r="68" spans="1:21" x14ac:dyDescent="0.35">
      <c r="A68" s="406"/>
      <c r="C68" s="3"/>
      <c r="D68" s="3" t="str">
        <f t="shared" si="3"/>
        <v>Winter</v>
      </c>
      <c r="F68" s="3"/>
      <c r="G68" s="3"/>
      <c r="H68" s="3"/>
      <c r="I68" s="105">
        <f t="shared" si="4"/>
        <v>0</v>
      </c>
      <c r="J68" s="65" t="s">
        <v>63</v>
      </c>
      <c r="K68" s="103">
        <f>ROUND(I68*N50,0)</f>
        <v>0</v>
      </c>
      <c r="L68" s="3" t="s">
        <v>62</v>
      </c>
      <c r="M68" s="61"/>
      <c r="N68" s="17"/>
    </row>
    <row r="69" spans="1:21" x14ac:dyDescent="0.35">
      <c r="A69" s="406"/>
      <c r="C69" s="3" t="str">
        <f>C60</f>
        <v>D2: 8-10</v>
      </c>
      <c r="D69" s="3" t="str">
        <f t="shared" si="3"/>
        <v>Summer</v>
      </c>
      <c r="F69" s="3"/>
      <c r="G69" s="3"/>
      <c r="H69" s="3"/>
      <c r="I69" s="105">
        <f t="shared" si="4"/>
        <v>125362.57999999999</v>
      </c>
      <c r="J69" s="65" t="s">
        <v>63</v>
      </c>
      <c r="K69" s="103">
        <f>ROUND(I69*L51,0)</f>
        <v>753429</v>
      </c>
      <c r="L69" s="3" t="s">
        <v>62</v>
      </c>
      <c r="M69" s="61" t="s">
        <v>1827</v>
      </c>
      <c r="N69" s="17"/>
    </row>
    <row r="70" spans="1:21" x14ac:dyDescent="0.35">
      <c r="A70" s="406"/>
      <c r="C70" s="3"/>
      <c r="D70" s="3" t="str">
        <f t="shared" si="3"/>
        <v>Winter</v>
      </c>
      <c r="F70" s="3"/>
      <c r="G70" s="3"/>
      <c r="H70" s="3"/>
      <c r="I70" s="105">
        <f t="shared" si="4"/>
        <v>167172.66999999995</v>
      </c>
      <c r="J70" s="65" t="s">
        <v>63</v>
      </c>
      <c r="K70" s="134">
        <f>ROUND(I70*N51,0)</f>
        <v>0</v>
      </c>
      <c r="L70" s="3" t="s">
        <v>62</v>
      </c>
      <c r="M70" s="61" t="s">
        <v>1828</v>
      </c>
      <c r="N70" s="17"/>
    </row>
    <row r="71" spans="1:21" x14ac:dyDescent="0.35">
      <c r="A71" s="406"/>
      <c r="C71" s="3" t="str">
        <f>C62</f>
        <v>D3: All Day</v>
      </c>
      <c r="D71" s="3" t="str">
        <f t="shared" si="3"/>
        <v>Summer</v>
      </c>
      <c r="F71" s="3"/>
      <c r="G71" s="3"/>
      <c r="H71" s="3"/>
      <c r="I71" s="105">
        <f t="shared" si="4"/>
        <v>125660.2</v>
      </c>
      <c r="J71" s="65" t="s">
        <v>63</v>
      </c>
      <c r="K71" s="103">
        <f>ROUND(I71*L52,0)</f>
        <v>227445</v>
      </c>
      <c r="L71" s="3" t="s">
        <v>62</v>
      </c>
      <c r="M71" s="61" t="s">
        <v>1829</v>
      </c>
      <c r="N71" s="17"/>
    </row>
    <row r="72" spans="1:21" x14ac:dyDescent="0.35">
      <c r="A72" s="406"/>
      <c r="C72" s="3"/>
      <c r="D72" s="3" t="str">
        <f t="shared" si="3"/>
        <v>Winter</v>
      </c>
      <c r="F72" s="3"/>
      <c r="G72" s="3"/>
      <c r="H72" s="3"/>
      <c r="I72" s="351">
        <f t="shared" si="4"/>
        <v>168411.10000000003</v>
      </c>
      <c r="J72" s="104" t="s">
        <v>63</v>
      </c>
      <c r="K72" s="977">
        <f>ROUND(I72*N52,0)</f>
        <v>-2115243</v>
      </c>
      <c r="L72" s="44" t="s">
        <v>62</v>
      </c>
      <c r="M72" s="61" t="s">
        <v>1830</v>
      </c>
      <c r="N72" s="17"/>
    </row>
    <row r="73" spans="1:21" x14ac:dyDescent="0.35">
      <c r="A73" s="406"/>
      <c r="C73" s="3" t="s">
        <v>659</v>
      </c>
      <c r="F73" s="66"/>
      <c r="G73" s="66">
        <f>I34</f>
        <v>9579421</v>
      </c>
      <c r="H73" s="63" t="s">
        <v>31</v>
      </c>
      <c r="I73" s="28">
        <f>SUM(I67:I72)</f>
        <v>704617.57999999984</v>
      </c>
      <c r="J73" s="65" t="s">
        <v>63</v>
      </c>
      <c r="K73" s="103">
        <f>SUM(K67:K72)</f>
        <v>-1972247</v>
      </c>
      <c r="L73" s="3" t="s">
        <v>1824</v>
      </c>
      <c r="M73" s="61" t="s">
        <v>1645</v>
      </c>
      <c r="N73" s="17"/>
    </row>
    <row r="74" spans="1:21" x14ac:dyDescent="0.35">
      <c r="A74" s="406"/>
      <c r="F74" s="3"/>
      <c r="G74" s="3"/>
      <c r="H74" s="3"/>
      <c r="I74" s="3"/>
      <c r="J74" s="3"/>
      <c r="K74" s="3"/>
      <c r="L74" s="3"/>
      <c r="M74" s="61" t="s">
        <v>1831</v>
      </c>
      <c r="N74" s="17"/>
    </row>
    <row r="75" spans="1:21" x14ac:dyDescent="0.35">
      <c r="A75" s="406"/>
      <c r="F75" s="34"/>
      <c r="G75" s="34">
        <f>G73-K73</f>
        <v>11551668</v>
      </c>
      <c r="H75" s="63" t="s">
        <v>31</v>
      </c>
      <c r="I75" s="28">
        <f>I73</f>
        <v>704617.57999999984</v>
      </c>
      <c r="J75" s="65" t="s">
        <v>32</v>
      </c>
      <c r="K75" s="3"/>
      <c r="L75" s="3"/>
      <c r="M75" s="61" t="s">
        <v>1832</v>
      </c>
      <c r="N75" s="17"/>
    </row>
    <row r="76" spans="1:21" ht="15" thickBot="1" x14ac:dyDescent="0.4">
      <c r="A76" s="406"/>
      <c r="F76" s="3"/>
      <c r="G76" s="3"/>
      <c r="H76" s="3"/>
      <c r="I76" s="3"/>
      <c r="J76" s="3"/>
      <c r="K76" s="3"/>
      <c r="L76" s="3"/>
      <c r="M76" s="3"/>
      <c r="N76" s="17"/>
    </row>
    <row r="77" spans="1:21" s="1" customFormat="1" ht="15.5" thickTop="1" thickBot="1" x14ac:dyDescent="0.4">
      <c r="A77" s="406"/>
      <c r="B77"/>
      <c r="C77"/>
      <c r="D77"/>
      <c r="E77"/>
      <c r="F77" s="64"/>
      <c r="G77" s="64" t="s">
        <v>32</v>
      </c>
      <c r="H77" s="63" t="s">
        <v>31</v>
      </c>
      <c r="I77" s="102">
        <f>ROUND(G75/I75,2)</f>
        <v>16.39</v>
      </c>
      <c r="J77" s="61" t="s">
        <v>1825</v>
      </c>
      <c r="K77" s="3"/>
      <c r="L77" s="3"/>
      <c r="M77" s="61" t="s">
        <v>1833</v>
      </c>
      <c r="N77" s="17"/>
      <c r="O77"/>
      <c r="Q77"/>
      <c r="R77"/>
      <c r="S77"/>
      <c r="T77"/>
      <c r="U77"/>
    </row>
    <row r="78" spans="1:21" ht="15" thickTop="1" x14ac:dyDescent="0.35">
      <c r="A78" s="406"/>
      <c r="P78"/>
    </row>
    <row r="79" spans="1:21" s="1" customFormat="1" x14ac:dyDescent="0.35">
      <c r="A79" s="406"/>
      <c r="B79" s="334" t="str">
        <f>CONCATENATE($A$4," at Proposed Demand Rates")</f>
        <v>SC8 Rate II at Proposed Demand Rates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x14ac:dyDescent="0.35">
      <c r="A80" s="406"/>
      <c r="C80" s="3" t="s">
        <v>5</v>
      </c>
      <c r="D80" s="1319">
        <f>$L$4</f>
        <v>2020</v>
      </c>
      <c r="E80" s="1319"/>
      <c r="F80" s="1319"/>
      <c r="G80" s="3"/>
      <c r="H80" s="3"/>
      <c r="I80" s="3"/>
      <c r="J80" s="3"/>
      <c r="K80" s="3"/>
      <c r="L80" s="3"/>
      <c r="M80" s="3"/>
      <c r="Q80"/>
      <c r="R80"/>
      <c r="S80"/>
      <c r="T80"/>
      <c r="U80"/>
    </row>
    <row r="81" spans="1:21" s="1" customFormat="1" ht="15" thickBot="1" x14ac:dyDescent="0.4">
      <c r="A81" s="406"/>
      <c r="B8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/>
      <c r="Q81"/>
      <c r="R81"/>
      <c r="S81"/>
      <c r="T81"/>
      <c r="U81"/>
    </row>
    <row r="82" spans="1:21" s="1" customFormat="1" ht="15" thickBot="1" x14ac:dyDescent="0.4">
      <c r="A82" s="406"/>
      <c r="B82"/>
      <c r="C82" s="60"/>
      <c r="D82" s="59"/>
      <c r="E82" s="59"/>
      <c r="F82" s="59"/>
      <c r="G82" s="59"/>
      <c r="H82" s="59"/>
      <c r="I82" s="59"/>
      <c r="J82" s="59"/>
      <c r="K82" s="59"/>
      <c r="L82" s="98"/>
      <c r="M82" s="3"/>
      <c r="N82" s="1349" t="s">
        <v>661</v>
      </c>
      <c r="O82" s="1349"/>
      <c r="P82" s="1349"/>
      <c r="Q82" s="1349"/>
      <c r="R82"/>
      <c r="S82"/>
      <c r="T82"/>
      <c r="U82"/>
    </row>
    <row r="83" spans="1:21" s="1" customFormat="1" ht="15.5" thickTop="1" thickBot="1" x14ac:dyDescent="0.4">
      <c r="A83" s="406"/>
      <c r="B83"/>
      <c r="C83" s="461" t="str">
        <f>$A$4</f>
        <v>SC8 Rate II</v>
      </c>
      <c r="D83" s="44"/>
      <c r="E83" s="44"/>
      <c r="F83" s="44"/>
      <c r="G83" s="44"/>
      <c r="H83" s="1313" t="s">
        <v>58</v>
      </c>
      <c r="I83" s="1314"/>
      <c r="J83" s="1315"/>
      <c r="K83" s="44"/>
      <c r="L83" s="94"/>
      <c r="N83" s="1349" t="s">
        <v>57</v>
      </c>
      <c r="O83" s="1349"/>
      <c r="P83" s="1349"/>
      <c r="Q83" s="1349"/>
      <c r="R83"/>
      <c r="S83"/>
      <c r="T83"/>
      <c r="U83"/>
    </row>
    <row r="84" spans="1:21" s="1" customFormat="1" ht="15" thickTop="1" x14ac:dyDescent="0.35">
      <c r="A84" s="406"/>
      <c r="B84"/>
      <c r="C84" s="96" t="str">
        <f>$B$43</f>
        <v>(HT &amp; LT)</v>
      </c>
      <c r="D84" s="44"/>
      <c r="E84" s="44"/>
      <c r="F84" s="44"/>
      <c r="G84" s="44"/>
      <c r="H84" s="56" t="s">
        <v>10</v>
      </c>
      <c r="I84" s="44"/>
      <c r="J84" s="56" t="s">
        <v>7</v>
      </c>
      <c r="K84" s="44"/>
      <c r="L84" s="94"/>
      <c r="N84" s="36" t="s">
        <v>10</v>
      </c>
      <c r="P84" s="36" t="s">
        <v>7</v>
      </c>
      <c r="Q84"/>
      <c r="R84"/>
      <c r="S84"/>
      <c r="T84"/>
      <c r="U84"/>
    </row>
    <row r="85" spans="1:21" x14ac:dyDescent="0.35">
      <c r="A85" s="406"/>
      <c r="C85" s="96"/>
      <c r="D85" s="56" t="str">
        <f>$C$50</f>
        <v>D1</v>
      </c>
      <c r="E85" s="56"/>
      <c r="F85" s="56" t="str">
        <f>$D$50</f>
        <v>8-6</v>
      </c>
      <c r="G85" s="44"/>
      <c r="H85" s="97">
        <f>$J$86+L50</f>
        <v>9.2900000000000009</v>
      </c>
      <c r="I85" s="54" t="s">
        <v>1834</v>
      </c>
      <c r="J85" s="459"/>
      <c r="K85" s="54"/>
      <c r="L85" s="94"/>
      <c r="N85" s="460">
        <f>H85/H43-1</f>
        <v>2.5386313465783683E-2</v>
      </c>
      <c r="O85" s="54" t="s">
        <v>1840</v>
      </c>
      <c r="P85" s="460"/>
    </row>
    <row r="86" spans="1:21" x14ac:dyDescent="0.35">
      <c r="A86" s="406"/>
      <c r="C86" s="96"/>
      <c r="D86" s="56" t="str">
        <f>$C$51</f>
        <v>D2</v>
      </c>
      <c r="E86" s="56"/>
      <c r="F86" s="56" t="str">
        <f>$D$51</f>
        <v>8-10</v>
      </c>
      <c r="G86" s="44"/>
      <c r="H86" s="97">
        <f>$J$86+L51</f>
        <v>22.4</v>
      </c>
      <c r="I86" s="54" t="s">
        <v>1836</v>
      </c>
      <c r="J86" s="987">
        <f>I77</f>
        <v>16.39</v>
      </c>
      <c r="K86" s="54" t="s">
        <v>1835</v>
      </c>
      <c r="L86" s="94"/>
      <c r="N86" s="460">
        <f>H86/H44-1</f>
        <v>2.564102564102555E-2</v>
      </c>
      <c r="O86" s="54" t="s">
        <v>1841</v>
      </c>
      <c r="P86" s="460">
        <f>J86/J44-1</f>
        <v>2.5657071339173942E-2</v>
      </c>
      <c r="Q86" s="54" t="s">
        <v>1843</v>
      </c>
    </row>
    <row r="87" spans="1:21" x14ac:dyDescent="0.35">
      <c r="A87" s="406"/>
      <c r="C87" s="96"/>
      <c r="D87" s="56" t="str">
        <f>$C$52</f>
        <v>D3</v>
      </c>
      <c r="E87" s="56"/>
      <c r="F87" s="56" t="str">
        <f>$D$52</f>
        <v>All Day</v>
      </c>
      <c r="G87" s="44"/>
      <c r="H87" s="97">
        <f>$J$86+L52</f>
        <v>18.2</v>
      </c>
      <c r="I87" s="54" t="s">
        <v>1837</v>
      </c>
      <c r="J87" s="97">
        <f>$J$86+N52</f>
        <v>3.83</v>
      </c>
      <c r="K87" s="54" t="s">
        <v>1838</v>
      </c>
      <c r="L87" s="94"/>
      <c r="N87" s="460">
        <f>H87/H45-1</f>
        <v>2.5930101465614364E-2</v>
      </c>
      <c r="O87" s="54" t="s">
        <v>1842</v>
      </c>
      <c r="P87" s="460">
        <f>J87/J45-1</f>
        <v>2.4064171122994527E-2</v>
      </c>
      <c r="Q87" s="54" t="s">
        <v>1844</v>
      </c>
    </row>
    <row r="88" spans="1:21" ht="15" thickBot="1" x14ac:dyDescent="0.4">
      <c r="A88" s="406"/>
      <c r="C88" s="93"/>
      <c r="D88" s="46"/>
      <c r="E88" s="46"/>
      <c r="F88" s="46"/>
      <c r="G88" s="46"/>
      <c r="H88" s="46"/>
      <c r="I88" s="92"/>
      <c r="J88" s="46"/>
      <c r="K88" s="92"/>
      <c r="L88" s="91"/>
      <c r="M88" s="17"/>
    </row>
    <row r="89" spans="1:21" ht="15" thickBot="1" x14ac:dyDescent="0.4">
      <c r="A89" s="406"/>
      <c r="D89" s="1152" t="s">
        <v>1174</v>
      </c>
      <c r="E89" s="1153"/>
      <c r="F89" s="1153"/>
      <c r="G89" s="1153"/>
      <c r="H89" s="1163">
        <f>H24</f>
        <v>143.09</v>
      </c>
      <c r="I89" s="1155" t="s">
        <v>2241</v>
      </c>
      <c r="J89" s="1163">
        <f>H89</f>
        <v>143.09</v>
      </c>
      <c r="K89" s="1155" t="s">
        <v>2242</v>
      </c>
      <c r="L89" s="1154"/>
    </row>
    <row r="90" spans="1:21" x14ac:dyDescent="0.35">
      <c r="A90" s="406"/>
      <c r="D90" s="3"/>
      <c r="E90" s="3"/>
      <c r="F90" s="3"/>
      <c r="G90" s="3"/>
      <c r="H90" s="3"/>
      <c r="I90" s="3"/>
      <c r="J90" s="3"/>
      <c r="K90" s="3"/>
      <c r="L90" s="3"/>
    </row>
    <row r="91" spans="1:21" x14ac:dyDescent="0.35">
      <c r="A91" s="858" t="s">
        <v>665</v>
      </c>
      <c r="B91" s="3"/>
      <c r="C91" s="3"/>
      <c r="D91" s="3"/>
      <c r="E91" s="3"/>
      <c r="F91" s="3"/>
      <c r="G91" s="3"/>
      <c r="H91" s="3"/>
      <c r="I91" s="3"/>
    </row>
    <row r="92" spans="1:21" x14ac:dyDescent="0.35">
      <c r="A92" s="858"/>
      <c r="B92" s="3"/>
      <c r="C92" s="3"/>
      <c r="D92" s="3"/>
      <c r="E92" s="3"/>
      <c r="F92" s="3"/>
      <c r="G92" s="3"/>
      <c r="H92" s="3"/>
      <c r="I92" s="3"/>
    </row>
    <row r="93" spans="1:21" x14ac:dyDescent="0.35">
      <c r="A93" s="334"/>
      <c r="B93" s="334" t="s">
        <v>664</v>
      </c>
      <c r="C93" s="3"/>
      <c r="D93" s="3"/>
      <c r="E93" s="3"/>
      <c r="F93" s="3"/>
      <c r="G93" s="3"/>
      <c r="H93" s="3"/>
      <c r="I93" s="3"/>
    </row>
    <row r="94" spans="1:21" x14ac:dyDescent="0.35">
      <c r="A94" s="334"/>
      <c r="B94" s="41" t="str">
        <f>$A$4</f>
        <v>SC8 Rate II</v>
      </c>
      <c r="C94" s="133" t="s">
        <v>669</v>
      </c>
      <c r="D94" s="133"/>
      <c r="E94" s="133"/>
      <c r="F94" s="133"/>
    </row>
    <row r="95" spans="1:21" x14ac:dyDescent="0.35">
      <c r="A95" s="334"/>
      <c r="B95" s="41"/>
      <c r="C95" t="s">
        <v>670</v>
      </c>
      <c r="I95" s="819">
        <f>M19</f>
        <v>0</v>
      </c>
      <c r="J95" s="54" t="s">
        <v>109</v>
      </c>
    </row>
    <row r="96" spans="1:21" ht="15" thickBot="1" x14ac:dyDescent="0.4">
      <c r="A96" s="334"/>
      <c r="B96" s="41"/>
      <c r="C96" t="s">
        <v>671</v>
      </c>
      <c r="I96" s="819">
        <f>M20</f>
        <v>1077367</v>
      </c>
      <c r="J96" s="54" t="s">
        <v>108</v>
      </c>
    </row>
    <row r="97" spans="1:17" ht="15.5" thickTop="1" thickBot="1" x14ac:dyDescent="0.4">
      <c r="A97" s="334"/>
      <c r="B97" s="41"/>
      <c r="C97" t="s">
        <v>672</v>
      </c>
      <c r="I97" s="128">
        <f>I95+I96</f>
        <v>1077367</v>
      </c>
      <c r="J97" s="54" t="s">
        <v>1845</v>
      </c>
    </row>
    <row r="98" spans="1:17" ht="15" thickTop="1" x14ac:dyDescent="0.35">
      <c r="A98" s="334"/>
      <c r="B98" s="41"/>
      <c r="I98" s="345"/>
    </row>
    <row r="99" spans="1:17" x14ac:dyDescent="0.35">
      <c r="A99" s="334"/>
      <c r="B99" s="41"/>
      <c r="C99" s="75" t="s">
        <v>681</v>
      </c>
      <c r="D99" s="75"/>
      <c r="E99" s="75"/>
      <c r="F99" s="75"/>
      <c r="I99" s="637">
        <f>ROUND(I95/I96,8)</f>
        <v>0</v>
      </c>
      <c r="J99" s="54" t="s">
        <v>1846</v>
      </c>
    </row>
    <row r="100" spans="1:17" x14ac:dyDescent="0.35">
      <c r="A100" s="334"/>
      <c r="B100" s="41"/>
      <c r="C100" s="3"/>
      <c r="D100" s="3"/>
      <c r="E100" s="3"/>
      <c r="F100" s="3"/>
      <c r="G100" s="3"/>
      <c r="H100" s="3"/>
      <c r="I100" s="3"/>
    </row>
    <row r="101" spans="1:17" x14ac:dyDescent="0.35">
      <c r="A101" s="407" t="s">
        <v>682</v>
      </c>
      <c r="P101"/>
    </row>
    <row r="102" spans="1:17" ht="15" thickBot="1" x14ac:dyDescent="0.4">
      <c r="Q102" s="1"/>
    </row>
    <row r="103" spans="1:17" ht="15.5" thickTop="1" thickBot="1" x14ac:dyDescent="0.4">
      <c r="B103" s="41" t="str">
        <f>$A$4</f>
        <v>SC8 Rate II</v>
      </c>
      <c r="C103" s="3"/>
      <c r="D103" s="3"/>
      <c r="E103" s="3"/>
      <c r="F103" s="3"/>
      <c r="G103" s="3"/>
      <c r="H103" s="1316" t="s">
        <v>680</v>
      </c>
      <c r="I103" s="1317"/>
      <c r="J103" s="1318"/>
      <c r="K103" s="3"/>
      <c r="L103" s="1307" t="s">
        <v>81</v>
      </c>
      <c r="M103" s="1308"/>
      <c r="N103" s="1309"/>
      <c r="P103"/>
    </row>
    <row r="104" spans="1:17" ht="15" thickTop="1" x14ac:dyDescent="0.35">
      <c r="B104" s="3"/>
      <c r="C104" s="3"/>
      <c r="E104" s="30" t="s">
        <v>80</v>
      </c>
      <c r="F104" s="3"/>
      <c r="G104" s="3"/>
      <c r="H104" s="30" t="s">
        <v>42</v>
      </c>
      <c r="I104" s="30"/>
      <c r="J104" s="30" t="s">
        <v>40</v>
      </c>
      <c r="K104" s="3"/>
      <c r="L104" s="30" t="s">
        <v>42</v>
      </c>
      <c r="M104" s="86"/>
      <c r="N104" s="30" t="s">
        <v>40</v>
      </c>
      <c r="P104"/>
    </row>
    <row r="105" spans="1:17" x14ac:dyDescent="0.35">
      <c r="E105" s="123"/>
      <c r="F105" s="121" t="s">
        <v>1393</v>
      </c>
      <c r="G105" s="123"/>
      <c r="H105" s="348">
        <f>G14</f>
        <v>7.9000000000000008E-3</v>
      </c>
      <c r="I105" s="54" t="s">
        <v>1639</v>
      </c>
      <c r="J105" s="348">
        <f>G16</f>
        <v>7.9000000000000008E-3</v>
      </c>
      <c r="K105" s="54" t="s">
        <v>1603</v>
      </c>
      <c r="L105" s="27">
        <f>H105-$J$106</f>
        <v>0</v>
      </c>
      <c r="M105" s="54" t="s">
        <v>1847</v>
      </c>
      <c r="N105" s="27">
        <f>J105-$J$106</f>
        <v>0</v>
      </c>
      <c r="O105" s="61" t="s">
        <v>1848</v>
      </c>
      <c r="P105"/>
    </row>
    <row r="106" spans="1:17" x14ac:dyDescent="0.35">
      <c r="B106" s="3"/>
      <c r="C106" s="3"/>
      <c r="D106" s="3"/>
      <c r="E106" s="123"/>
      <c r="F106" s="121" t="s">
        <v>445</v>
      </c>
      <c r="G106" s="36"/>
      <c r="H106" s="348">
        <f>G15</f>
        <v>7.9000000000000008E-3</v>
      </c>
      <c r="I106" s="54" t="s">
        <v>1640</v>
      </c>
      <c r="J106" s="348">
        <f>G17</f>
        <v>7.9000000000000008E-3</v>
      </c>
      <c r="K106" s="54" t="s">
        <v>1604</v>
      </c>
      <c r="L106" s="27">
        <f>H106-$J$106</f>
        <v>0</v>
      </c>
      <c r="M106" s="61" t="s">
        <v>1849</v>
      </c>
      <c r="N106" s="112"/>
      <c r="O106" s="61" t="s">
        <v>1735</v>
      </c>
      <c r="P106"/>
    </row>
    <row r="107" spans="1:17" x14ac:dyDescent="0.35">
      <c r="B107" s="3"/>
      <c r="C107" s="3"/>
      <c r="D107" s="3"/>
      <c r="E107" s="3"/>
      <c r="F107" s="3"/>
      <c r="G107" s="36"/>
      <c r="P107"/>
    </row>
    <row r="108" spans="1:17" x14ac:dyDescent="0.35">
      <c r="B108" s="3"/>
      <c r="E108" s="123"/>
      <c r="F108" s="123"/>
      <c r="G108" s="36"/>
      <c r="I108" s="120"/>
      <c r="J108" s="120"/>
      <c r="K108" s="3"/>
      <c r="L108" s="27"/>
      <c r="M108" s="61"/>
      <c r="N108" s="61"/>
      <c r="P108"/>
    </row>
    <row r="109" spans="1:17" ht="15" thickBot="1" x14ac:dyDescent="0.4">
      <c r="K109" s="100" t="s">
        <v>683</v>
      </c>
      <c r="L109" s="906">
        <f>I99</f>
        <v>0</v>
      </c>
      <c r="M109" s="54" t="s">
        <v>1638</v>
      </c>
      <c r="P109"/>
    </row>
    <row r="110" spans="1:17" ht="15.5" thickTop="1" thickBot="1" x14ac:dyDescent="0.4">
      <c r="D110" s="1"/>
      <c r="E110" s="1"/>
      <c r="F110" s="1"/>
      <c r="L110" s="1307" t="s">
        <v>76</v>
      </c>
      <c r="M110" s="1308"/>
      <c r="N110" s="1309"/>
      <c r="P110"/>
    </row>
    <row r="111" spans="1:17" ht="15.5" thickTop="1" thickBot="1" x14ac:dyDescent="0.4">
      <c r="C111" s="70" t="s">
        <v>77</v>
      </c>
      <c r="D111" s="1"/>
      <c r="E111" s="1"/>
      <c r="F111" s="1"/>
      <c r="G111" s="118" t="s">
        <v>42</v>
      </c>
      <c r="H111" s="118" t="s">
        <v>40</v>
      </c>
      <c r="L111" s="30" t="s">
        <v>42</v>
      </c>
      <c r="M111" s="86"/>
      <c r="N111" s="30" t="s">
        <v>40</v>
      </c>
      <c r="P111"/>
    </row>
    <row r="112" spans="1:17" x14ac:dyDescent="0.35">
      <c r="D112" s="121"/>
      <c r="E112" s="122"/>
      <c r="F112" s="121" t="str">
        <f>F105</f>
        <v>On Peak</v>
      </c>
      <c r="G112" s="117" t="str">
        <f>CONCATENATE("X + ",L112)</f>
        <v>X + 0</v>
      </c>
      <c r="H112" s="116" t="str">
        <f>CONCATENATE("X + ",N112)</f>
        <v>X + 0</v>
      </c>
      <c r="L112" s="907">
        <f>ROUND(L105*(1+$L$109),4)</f>
        <v>0</v>
      </c>
      <c r="M112" s="61" t="s">
        <v>1850</v>
      </c>
      <c r="N112" s="223">
        <f>ROUND(N105*(1+$L$109),4)</f>
        <v>0</v>
      </c>
      <c r="O112" s="61" t="s">
        <v>1852</v>
      </c>
      <c r="P112"/>
    </row>
    <row r="113" spans="2:17" ht="15" thickBot="1" x14ac:dyDescent="0.4">
      <c r="C113" s="3"/>
      <c r="D113" s="2"/>
      <c r="E113" s="122"/>
      <c r="F113" s="121" t="str">
        <f>F106</f>
        <v>Off Peak</v>
      </c>
      <c r="G113" s="111" t="str">
        <f>CONCATENATE("X + ",L113)</f>
        <v>X + 0</v>
      </c>
      <c r="H113" s="350" t="s">
        <v>32</v>
      </c>
      <c r="L113" s="223">
        <f>ROUND(L106*(1+$L$109),4)</f>
        <v>0</v>
      </c>
      <c r="M113" s="61" t="s">
        <v>1851</v>
      </c>
      <c r="N113" s="223">
        <f>ROUND(N106*(1+$L$109),4)</f>
        <v>0</v>
      </c>
      <c r="O113" s="61" t="s">
        <v>1853</v>
      </c>
      <c r="P113"/>
    </row>
    <row r="114" spans="2:17" x14ac:dyDescent="0.35">
      <c r="D114" s="1"/>
      <c r="E114" s="1"/>
      <c r="F114" s="1"/>
      <c r="P114"/>
    </row>
    <row r="115" spans="2:17" x14ac:dyDescent="0.35">
      <c r="D115" s="1"/>
      <c r="E115" s="1"/>
      <c r="F115" s="1"/>
      <c r="P115"/>
    </row>
    <row r="116" spans="2:17" x14ac:dyDescent="0.35">
      <c r="B116" s="334" t="s">
        <v>46</v>
      </c>
      <c r="P116"/>
    </row>
    <row r="117" spans="2:17" x14ac:dyDescent="0.35">
      <c r="B117" s="41" t="str">
        <f>$A$4</f>
        <v>SC8 Rate II</v>
      </c>
      <c r="P117"/>
    </row>
    <row r="118" spans="2:17" ht="15" thickBot="1" x14ac:dyDescent="0.4">
      <c r="B118" s="70" t="s">
        <v>414</v>
      </c>
      <c r="C118" s="70"/>
      <c r="D118" s="70"/>
      <c r="E118" s="3"/>
      <c r="F118" s="3"/>
      <c r="I118" s="69" t="s">
        <v>44</v>
      </c>
      <c r="J118" s="3"/>
      <c r="K118" s="3"/>
      <c r="P118"/>
    </row>
    <row r="119" spans="2:17" x14ac:dyDescent="0.35">
      <c r="B119" s="3"/>
      <c r="C119" s="3" t="s">
        <v>42</v>
      </c>
      <c r="D119" s="108" t="str">
        <f>CONCATENATE(D105,E105,F105," kWh")</f>
        <v>On Peak kWh</v>
      </c>
      <c r="I119" s="72">
        <f>U6+U16</f>
        <v>24244884</v>
      </c>
      <c r="J119" s="36" t="s">
        <v>39</v>
      </c>
      <c r="K119" s="74" t="str">
        <f>CONCATENATE("[",G112,"]")</f>
        <v>[X + 0]</v>
      </c>
      <c r="L119" s="61" t="s">
        <v>1854</v>
      </c>
      <c r="P119"/>
    </row>
    <row r="120" spans="2:17" x14ac:dyDescent="0.35">
      <c r="B120" s="3"/>
      <c r="C120" s="3" t="s">
        <v>42</v>
      </c>
      <c r="D120" s="108" t="str">
        <f>CONCATENATE(D106,E106,F106," kWh")</f>
        <v>Off Peak kWh</v>
      </c>
      <c r="I120" s="72">
        <f>U7+U17</f>
        <v>30476076</v>
      </c>
      <c r="J120" s="36" t="s">
        <v>39</v>
      </c>
      <c r="K120" s="107" t="str">
        <f>CONCATENATE("[",G113,"]")</f>
        <v>[X + 0]</v>
      </c>
      <c r="L120" s="61" t="s">
        <v>1855</v>
      </c>
      <c r="P120"/>
    </row>
    <row r="121" spans="2:17" x14ac:dyDescent="0.35">
      <c r="B121" s="3"/>
      <c r="C121" s="3" t="s">
        <v>40</v>
      </c>
      <c r="D121" s="3" t="str">
        <f>D119</f>
        <v>On Peak kWh</v>
      </c>
      <c r="I121" s="72">
        <f>U11+U21</f>
        <v>36455816</v>
      </c>
      <c r="J121" s="36" t="s">
        <v>39</v>
      </c>
      <c r="K121" s="73" t="str">
        <f>CONCATENATE("[",H112,"]")</f>
        <v>[X + 0]</v>
      </c>
      <c r="L121" s="61" t="s">
        <v>1856</v>
      </c>
      <c r="P121"/>
    </row>
    <row r="122" spans="2:17" ht="15" thickBot="1" x14ac:dyDescent="0.4">
      <c r="B122" s="3"/>
      <c r="C122" s="3" t="s">
        <v>40</v>
      </c>
      <c r="D122" s="3" t="str">
        <f>D120</f>
        <v>Off Peak kWh</v>
      </c>
      <c r="I122" s="67">
        <f>U12+U22</f>
        <v>45198664</v>
      </c>
      <c r="J122" s="36" t="s">
        <v>39</v>
      </c>
      <c r="K122" s="71" t="str">
        <f>CONCATENATE("[",H113,"]")</f>
        <v>[X]</v>
      </c>
      <c r="L122" s="61" t="s">
        <v>1857</v>
      </c>
      <c r="P122"/>
    </row>
    <row r="123" spans="2:17" x14ac:dyDescent="0.35">
      <c r="I123" s="366">
        <f>SUM(I119:I122)</f>
        <v>136375440</v>
      </c>
      <c r="J123" s="61" t="s">
        <v>1858</v>
      </c>
      <c r="Q123" s="1"/>
    </row>
    <row r="124" spans="2:17" x14ac:dyDescent="0.35">
      <c r="Q124" s="1"/>
    </row>
    <row r="125" spans="2:17" x14ac:dyDescent="0.35">
      <c r="B125" s="70" t="s">
        <v>472</v>
      </c>
      <c r="P125"/>
    </row>
    <row r="126" spans="2:17" x14ac:dyDescent="0.35">
      <c r="B126" s="41" t="str">
        <f>$A$4</f>
        <v>SC8 Rate II</v>
      </c>
      <c r="F126" s="3"/>
      <c r="G126" s="3"/>
      <c r="H126" s="3"/>
      <c r="I126" s="69" t="s">
        <v>44</v>
      </c>
      <c r="J126" s="3"/>
      <c r="K126" s="106"/>
      <c r="L126" s="3"/>
      <c r="M126" s="3"/>
      <c r="N126" s="17"/>
      <c r="P126"/>
    </row>
    <row r="127" spans="2:17" x14ac:dyDescent="0.35">
      <c r="C127" s="3" t="s">
        <v>42</v>
      </c>
      <c r="D127" s="392" t="str">
        <f>D119</f>
        <v>On Peak kWh</v>
      </c>
      <c r="H127" s="3"/>
      <c r="I127" s="105">
        <f>I119</f>
        <v>24244884</v>
      </c>
      <c r="J127" s="65" t="s">
        <v>63</v>
      </c>
      <c r="K127" s="26">
        <f>ROUND(I127*L112,0)</f>
        <v>0</v>
      </c>
      <c r="L127" s="3" t="s">
        <v>62</v>
      </c>
      <c r="M127" s="61" t="s">
        <v>1861</v>
      </c>
      <c r="N127" s="17"/>
      <c r="P127"/>
    </row>
    <row r="128" spans="2:17" x14ac:dyDescent="0.35">
      <c r="C128" s="3" t="s">
        <v>42</v>
      </c>
      <c r="D128" s="392" t="str">
        <f>D120</f>
        <v>Off Peak kWh</v>
      </c>
      <c r="H128" s="3"/>
      <c r="I128" s="105">
        <f>I120</f>
        <v>30476076</v>
      </c>
      <c r="J128" s="65" t="s">
        <v>63</v>
      </c>
      <c r="K128" s="26">
        <f>ROUND(I128*L113,0)</f>
        <v>0</v>
      </c>
      <c r="L128" s="3" t="s">
        <v>62</v>
      </c>
      <c r="M128" s="61" t="s">
        <v>1862</v>
      </c>
      <c r="N128" s="17"/>
      <c r="P128"/>
    </row>
    <row r="129" spans="1:16" x14ac:dyDescent="0.35">
      <c r="C129" s="3" t="s">
        <v>40</v>
      </c>
      <c r="D129" s="392" t="str">
        <f>D121</f>
        <v>On Peak kWh</v>
      </c>
      <c r="H129" s="3"/>
      <c r="I129" s="105">
        <f>I121</f>
        <v>36455816</v>
      </c>
      <c r="J129" s="65" t="s">
        <v>63</v>
      </c>
      <c r="K129" s="26">
        <f>ROUND(I129*N112,0)</f>
        <v>0</v>
      </c>
      <c r="L129" s="3" t="s">
        <v>62</v>
      </c>
      <c r="M129" s="61" t="s">
        <v>1863</v>
      </c>
      <c r="N129" s="17"/>
      <c r="P129"/>
    </row>
    <row r="130" spans="1:16" x14ac:dyDescent="0.35">
      <c r="C130" s="3" t="s">
        <v>40</v>
      </c>
      <c r="D130" s="392" t="str">
        <f>D122</f>
        <v>Off Peak kWh</v>
      </c>
      <c r="H130" s="3"/>
      <c r="I130" s="351">
        <f>I122</f>
        <v>45198664</v>
      </c>
      <c r="J130" s="65" t="s">
        <v>63</v>
      </c>
      <c r="K130" s="37">
        <f>ROUND(I130*N113,0)</f>
        <v>0</v>
      </c>
      <c r="L130" s="3" t="s">
        <v>62</v>
      </c>
      <c r="M130" s="61" t="s">
        <v>1864</v>
      </c>
      <c r="N130" s="17"/>
      <c r="P130"/>
    </row>
    <row r="131" spans="1:16" x14ac:dyDescent="0.35">
      <c r="C131" s="3"/>
      <c r="F131" s="66"/>
      <c r="G131" s="908">
        <f>I97</f>
        <v>1077367</v>
      </c>
      <c r="H131" s="63" t="s">
        <v>31</v>
      </c>
      <c r="I131" s="28">
        <f>SUM(I127:I130)</f>
        <v>136375440</v>
      </c>
      <c r="J131" s="65" t="s">
        <v>63</v>
      </c>
      <c r="K131" s="103">
        <f>SUM(K127:K130)</f>
        <v>0</v>
      </c>
      <c r="L131" s="3" t="s">
        <v>1859</v>
      </c>
      <c r="M131" s="61" t="s">
        <v>1865</v>
      </c>
      <c r="N131" s="17"/>
      <c r="P131"/>
    </row>
    <row r="132" spans="1:16" x14ac:dyDescent="0.35">
      <c r="F132" s="3"/>
      <c r="G132" s="3"/>
      <c r="H132" s="3"/>
      <c r="I132" s="3"/>
      <c r="J132" s="3"/>
      <c r="K132" s="3"/>
      <c r="L132" s="3"/>
      <c r="M132" s="61" t="s">
        <v>1866</v>
      </c>
      <c r="N132" s="17"/>
      <c r="P132"/>
    </row>
    <row r="133" spans="1:16" x14ac:dyDescent="0.35">
      <c r="F133" s="34"/>
      <c r="G133" s="34">
        <f>G131-K131</f>
        <v>1077367</v>
      </c>
      <c r="H133" s="63" t="s">
        <v>31</v>
      </c>
      <c r="I133" s="28">
        <f>I131</f>
        <v>136375440</v>
      </c>
      <c r="J133" s="65" t="s">
        <v>32</v>
      </c>
      <c r="K133" s="3"/>
      <c r="L133" s="3"/>
      <c r="M133" s="61" t="s">
        <v>1867</v>
      </c>
      <c r="N133" s="17"/>
      <c r="P133"/>
    </row>
    <row r="134" spans="1:16" ht="15" thickBot="1" x14ac:dyDescent="0.4">
      <c r="F134" s="3"/>
      <c r="G134" s="3"/>
      <c r="H134" s="3"/>
      <c r="I134" s="3"/>
      <c r="J134" s="3"/>
      <c r="K134" s="34"/>
      <c r="L134" s="34"/>
      <c r="M134" s="34"/>
      <c r="N134" s="17"/>
      <c r="P134"/>
    </row>
    <row r="135" spans="1:16" ht="15.5" thickTop="1" thickBot="1" x14ac:dyDescent="0.4">
      <c r="B135" s="406"/>
      <c r="F135" s="64"/>
      <c r="G135" s="101" t="s">
        <v>32</v>
      </c>
      <c r="H135" s="63" t="s">
        <v>31</v>
      </c>
      <c r="I135" s="352">
        <f>ROUND(G133/I133,4)</f>
        <v>7.9000000000000008E-3</v>
      </c>
      <c r="J135" s="61" t="s">
        <v>1860</v>
      </c>
      <c r="K135" s="143"/>
      <c r="L135" s="34"/>
      <c r="M135" s="61" t="s">
        <v>1868</v>
      </c>
      <c r="N135" s="17"/>
      <c r="P135"/>
    </row>
    <row r="136" spans="1:16" ht="15" thickTop="1" x14ac:dyDescent="0.35">
      <c r="A136" s="42"/>
      <c r="B136" s="407"/>
      <c r="C136" s="3"/>
      <c r="D136" s="3"/>
      <c r="E136" s="3"/>
      <c r="F136" s="3"/>
      <c r="G136" s="3"/>
      <c r="H136" s="3"/>
      <c r="I136" s="3"/>
    </row>
    <row r="137" spans="1:16" x14ac:dyDescent="0.35">
      <c r="B137" s="334" t="str">
        <f>CONCATENATE($A$4," at Proposed Energy Rates")</f>
        <v>SC8 Rate II at Proposed Energy Rates</v>
      </c>
      <c r="P137"/>
    </row>
    <row r="138" spans="1:16" ht="15" thickBot="1" x14ac:dyDescent="0.4">
      <c r="B138" s="334"/>
      <c r="P138"/>
    </row>
    <row r="139" spans="1:16" ht="15" thickBot="1" x14ac:dyDescent="0.4">
      <c r="B139" s="406"/>
      <c r="C139" s="60" t="s">
        <v>5</v>
      </c>
      <c r="D139" s="982">
        <f>$L$4</f>
        <v>2020</v>
      </c>
      <c r="E139" s="58"/>
      <c r="F139" s="58"/>
      <c r="G139" s="59"/>
      <c r="H139" s="59"/>
      <c r="I139" s="59"/>
      <c r="J139" s="59"/>
      <c r="K139" s="98"/>
      <c r="L139" s="3"/>
      <c r="M139" s="3"/>
      <c r="N139" s="17"/>
      <c r="O139" s="3"/>
      <c r="P139"/>
    </row>
    <row r="140" spans="1:16" ht="15.5" thickTop="1" thickBot="1" x14ac:dyDescent="0.4">
      <c r="B140" s="406"/>
      <c r="C140" s="96"/>
      <c r="D140" s="44"/>
      <c r="E140" s="44"/>
      <c r="F140" s="44"/>
      <c r="G140" s="44"/>
      <c r="H140" s="1313" t="s">
        <v>668</v>
      </c>
      <c r="I140" s="1314"/>
      <c r="J140" s="1315"/>
      <c r="K140" s="94"/>
      <c r="L140" s="3"/>
      <c r="M140" s="1307" t="s">
        <v>471</v>
      </c>
      <c r="N140" s="1308"/>
      <c r="O140" s="1309"/>
      <c r="P140"/>
    </row>
    <row r="141" spans="1:16" ht="15" thickTop="1" x14ac:dyDescent="0.35">
      <c r="B141" s="406"/>
      <c r="C141" s="96"/>
      <c r="D141" s="44"/>
      <c r="E141" s="44"/>
      <c r="F141" s="44"/>
      <c r="G141" s="44"/>
      <c r="H141" s="56" t="s">
        <v>10</v>
      </c>
      <c r="I141" s="44"/>
      <c r="J141" s="56" t="s">
        <v>7</v>
      </c>
      <c r="K141" s="94"/>
      <c r="L141" s="3"/>
      <c r="M141" s="56" t="s">
        <v>10</v>
      </c>
      <c r="N141" s="44"/>
      <c r="O141" s="56" t="s">
        <v>7</v>
      </c>
      <c r="P141"/>
    </row>
    <row r="142" spans="1:16" x14ac:dyDescent="0.35">
      <c r="C142" s="96"/>
      <c r="D142" s="355"/>
      <c r="E142" s="356"/>
      <c r="F142" s="355" t="str">
        <f>$F$112</f>
        <v>On Peak</v>
      </c>
      <c r="G142" s="44"/>
      <c r="H142" s="357">
        <f>$I$135+L112</f>
        <v>7.9000000000000008E-3</v>
      </c>
      <c r="I142" s="358" t="s">
        <v>1966</v>
      </c>
      <c r="J142" s="357">
        <f>$I$135+N112</f>
        <v>7.9000000000000008E-3</v>
      </c>
      <c r="K142" s="359" t="s">
        <v>1968</v>
      </c>
      <c r="L142" s="3"/>
      <c r="M142" s="81">
        <f>ROUND(H142/H105-1,4)</f>
        <v>0</v>
      </c>
      <c r="N142" s="358" t="s">
        <v>1946</v>
      </c>
      <c r="O142" s="81">
        <f>ROUND(J142/J105-1,4)</f>
        <v>0</v>
      </c>
      <c r="P142" s="358" t="s">
        <v>1948</v>
      </c>
    </row>
    <row r="143" spans="1:16" x14ac:dyDescent="0.35">
      <c r="C143" s="96"/>
      <c r="D143" s="360"/>
      <c r="E143" s="356"/>
      <c r="F143" s="355" t="str">
        <f>$F$113</f>
        <v>Off Peak</v>
      </c>
      <c r="G143" s="44"/>
      <c r="H143" s="357">
        <f>$I$135+L113</f>
        <v>7.9000000000000008E-3</v>
      </c>
      <c r="I143" s="358" t="s">
        <v>1967</v>
      </c>
      <c r="J143" s="357">
        <f>$I$135+N113</f>
        <v>7.9000000000000008E-3</v>
      </c>
      <c r="K143" s="359" t="s">
        <v>1969</v>
      </c>
      <c r="L143" s="3"/>
      <c r="M143" s="81">
        <f>ROUND(H143/H106-1,4)</f>
        <v>0</v>
      </c>
      <c r="N143" s="358" t="s">
        <v>1947</v>
      </c>
      <c r="O143" s="81">
        <f>ROUND(J143/J106-1,4)</f>
        <v>0</v>
      </c>
      <c r="P143" s="358" t="s">
        <v>1949</v>
      </c>
    </row>
    <row r="144" spans="1:16" ht="15" thickBot="1" x14ac:dyDescent="0.4">
      <c r="C144" s="93"/>
      <c r="D144" s="46"/>
      <c r="E144" s="46"/>
      <c r="F144" s="46"/>
      <c r="G144" s="46"/>
      <c r="H144" s="46"/>
      <c r="I144" s="46"/>
      <c r="J144" s="46"/>
      <c r="K144" s="91"/>
      <c r="L144" s="3"/>
      <c r="M144" s="81"/>
      <c r="N144" s="3"/>
      <c r="O144" s="81"/>
      <c r="P144"/>
    </row>
    <row r="145" spans="1:16" x14ac:dyDescent="0.35">
      <c r="A145" s="42"/>
      <c r="B145" s="41"/>
      <c r="C145" s="3"/>
      <c r="D145" s="3"/>
      <c r="E145" s="3"/>
      <c r="F145" s="3"/>
      <c r="G145" s="3"/>
      <c r="H145" s="3"/>
      <c r="I145" s="3"/>
    </row>
    <row r="146" spans="1:16" x14ac:dyDescent="0.35">
      <c r="A146" s="42"/>
      <c r="B146" s="41"/>
      <c r="C146" s="3"/>
      <c r="D146" s="3"/>
      <c r="E146" s="3"/>
      <c r="F146" s="3"/>
      <c r="G146" s="3"/>
      <c r="H146" s="3"/>
      <c r="I146" s="3"/>
    </row>
    <row r="147" spans="1:16" x14ac:dyDescent="0.35">
      <c r="A147" s="334" t="s">
        <v>1873</v>
      </c>
      <c r="B147" s="410"/>
      <c r="C147" s="3"/>
      <c r="D147" s="3"/>
      <c r="E147" s="3"/>
      <c r="F147" s="3"/>
      <c r="G147" s="3"/>
      <c r="H147" s="3"/>
      <c r="I147" s="3"/>
      <c r="P147"/>
    </row>
    <row r="148" spans="1:16" x14ac:dyDescent="0.35">
      <c r="A148" s="334"/>
      <c r="B148" s="410"/>
      <c r="C148" s="3"/>
      <c r="D148" s="3"/>
      <c r="E148" s="3"/>
      <c r="F148" s="3"/>
      <c r="G148" s="3"/>
      <c r="H148" s="3"/>
      <c r="I148" s="3"/>
      <c r="P148"/>
    </row>
    <row r="149" spans="1:16" x14ac:dyDescent="0.35">
      <c r="A149" s="410"/>
      <c r="B149" s="334" t="str">
        <f>CONCATENATE($A$4," at Proposed Demand Rates")</f>
        <v>SC8 Rate II at Proposed Demand Rates</v>
      </c>
      <c r="C149" s="3"/>
      <c r="L149" s="3"/>
      <c r="M149" s="462" t="s">
        <v>10</v>
      </c>
      <c r="N149" s="3"/>
      <c r="O149" s="3"/>
      <c r="P149" s="2"/>
    </row>
    <row r="150" spans="1:16" x14ac:dyDescent="0.35">
      <c r="A150" s="410"/>
      <c r="B150" s="410"/>
      <c r="C150" s="3"/>
      <c r="D150" s="3"/>
      <c r="E150" s="3"/>
      <c r="F150" s="3"/>
      <c r="G150" s="392"/>
      <c r="H150" s="834" t="s">
        <v>26</v>
      </c>
      <c r="I150" s="30" t="s">
        <v>25</v>
      </c>
      <c r="J150" s="3"/>
      <c r="K150" s="30" t="s">
        <v>11</v>
      </c>
      <c r="L150" s="3"/>
      <c r="M150" s="30" t="s">
        <v>6</v>
      </c>
      <c r="N150" s="3"/>
      <c r="O150" s="3"/>
      <c r="P150" s="2"/>
    </row>
    <row r="151" spans="1:16" x14ac:dyDescent="0.35">
      <c r="A151" s="406"/>
      <c r="B151" s="410" t="s">
        <v>656</v>
      </c>
      <c r="C151" s="835" t="s">
        <v>667</v>
      </c>
      <c r="D151" s="1158" t="s">
        <v>1174</v>
      </c>
      <c r="E151" s="1158"/>
      <c r="F151" s="3"/>
      <c r="G151" s="1133"/>
      <c r="H151" s="1159">
        <f>$Y$7+$AA$7</f>
        <v>80</v>
      </c>
      <c r="I151" s="3"/>
      <c r="K151" s="1157">
        <f>H89</f>
        <v>143.09</v>
      </c>
      <c r="L151" s="3"/>
      <c r="M151" s="1164">
        <f>ROUND(H151*K151,0)</f>
        <v>11447</v>
      </c>
      <c r="N151" s="3"/>
      <c r="O151" s="3"/>
      <c r="P151" s="2"/>
    </row>
    <row r="152" spans="1:16" x14ac:dyDescent="0.35">
      <c r="B152" s="3"/>
      <c r="C152" s="3" t="s">
        <v>42</v>
      </c>
      <c r="D152" s="56" t="str">
        <f>$C$50</f>
        <v>D1</v>
      </c>
      <c r="E152" s="36"/>
      <c r="F152" s="56" t="str">
        <f>$D$50</f>
        <v>8-6</v>
      </c>
      <c r="G152" s="3"/>
      <c r="H152" s="3"/>
      <c r="I152" s="29">
        <f>I58</f>
        <v>118011.03</v>
      </c>
      <c r="J152" s="3"/>
      <c r="K152" s="35">
        <f>H85</f>
        <v>9.2900000000000009</v>
      </c>
      <c r="L152" s="3"/>
      <c r="M152" s="26">
        <f>ROUND(K152*I152,0)</f>
        <v>1096322</v>
      </c>
      <c r="N152" s="3"/>
      <c r="O152" s="3"/>
      <c r="P152" s="2"/>
    </row>
    <row r="153" spans="1:16" x14ac:dyDescent="0.35">
      <c r="B153" s="3"/>
      <c r="C153" s="3"/>
      <c r="D153" s="56" t="str">
        <f>$C$51</f>
        <v>D2</v>
      </c>
      <c r="E153" s="36"/>
      <c r="F153" s="56" t="str">
        <f>$D$51</f>
        <v>8-10</v>
      </c>
      <c r="G153" s="3"/>
      <c r="H153" s="3"/>
      <c r="I153" s="29">
        <f>I60</f>
        <v>125362.57999999999</v>
      </c>
      <c r="J153" s="3"/>
      <c r="K153" s="35">
        <f>H86</f>
        <v>22.4</v>
      </c>
      <c r="L153" s="3"/>
      <c r="M153" s="26">
        <f>ROUND(K153*I153,0)</f>
        <v>2808122</v>
      </c>
      <c r="N153" s="3"/>
      <c r="O153" s="3"/>
      <c r="P153" s="2"/>
    </row>
    <row r="154" spans="1:16" x14ac:dyDescent="0.35">
      <c r="B154" s="3"/>
      <c r="C154" s="3"/>
      <c r="D154" s="56" t="str">
        <f>$C$52</f>
        <v>D3</v>
      </c>
      <c r="E154" s="36"/>
      <c r="F154" s="56" t="str">
        <f>$D$52</f>
        <v>All Day</v>
      </c>
      <c r="G154" s="3"/>
      <c r="H154" s="3"/>
      <c r="I154" s="38">
        <f>I62</f>
        <v>125660.2</v>
      </c>
      <c r="J154" s="3"/>
      <c r="K154" s="35">
        <f>H87</f>
        <v>18.2</v>
      </c>
      <c r="L154" s="3"/>
      <c r="M154" s="37">
        <f>ROUND(K154*I154,0)</f>
        <v>2287016</v>
      </c>
      <c r="N154" s="3"/>
      <c r="O154" s="3"/>
      <c r="P154" s="2"/>
    </row>
    <row r="155" spans="1:16" x14ac:dyDescent="0.35">
      <c r="B155" s="3"/>
      <c r="C155" s="3"/>
      <c r="D155" s="36"/>
      <c r="E155" s="36"/>
      <c r="F155" s="36"/>
      <c r="G155" s="3"/>
      <c r="H155" s="3"/>
      <c r="I155" s="28">
        <f>I152+I153+I154</f>
        <v>369033.81</v>
      </c>
      <c r="J155" s="3"/>
      <c r="K155" s="35"/>
      <c r="L155" s="3"/>
      <c r="M155" s="832">
        <f>M151+M152+M153+M154</f>
        <v>6202907</v>
      </c>
      <c r="N155" s="34"/>
      <c r="O155" s="36" t="s">
        <v>10</v>
      </c>
      <c r="P155" s="2"/>
    </row>
    <row r="156" spans="1:16" x14ac:dyDescent="0.35">
      <c r="B156" s="3"/>
      <c r="C156" s="3"/>
      <c r="D156" s="36"/>
      <c r="E156" s="36"/>
      <c r="F156" s="36"/>
      <c r="G156" s="28"/>
      <c r="H156" s="3"/>
      <c r="I156" s="28"/>
      <c r="J156" s="3"/>
      <c r="K156" s="35"/>
      <c r="L156" s="33" t="s">
        <v>22</v>
      </c>
      <c r="M156" s="34">
        <f>ROUND(M155*(O156-1),0)</f>
        <v>73939</v>
      </c>
      <c r="N156" s="33" t="s">
        <v>23</v>
      </c>
      <c r="O156" s="40">
        <f>L10</f>
        <v>1.0119199999999999</v>
      </c>
      <c r="P156" s="2"/>
    </row>
    <row r="157" spans="1:16" x14ac:dyDescent="0.35">
      <c r="B157" s="3"/>
      <c r="C157" s="3"/>
      <c r="D157" s="36"/>
      <c r="E157" s="36"/>
      <c r="F157" s="36"/>
      <c r="G157" s="28"/>
      <c r="H157" s="3"/>
      <c r="I157" s="28"/>
      <c r="J157" s="3"/>
      <c r="K157" s="35"/>
      <c r="L157" s="33" t="s">
        <v>21</v>
      </c>
      <c r="M157" s="32">
        <f>M155+M156</f>
        <v>6276846</v>
      </c>
      <c r="N157" s="8"/>
      <c r="O157" s="3"/>
      <c r="P157" s="2"/>
    </row>
    <row r="158" spans="1:16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2"/>
    </row>
    <row r="159" spans="1:16" x14ac:dyDescent="0.35">
      <c r="B159" s="3"/>
      <c r="C159" s="3"/>
      <c r="L159" s="3"/>
      <c r="M159" s="462" t="s">
        <v>7</v>
      </c>
      <c r="N159" s="3"/>
      <c r="O159" s="3"/>
      <c r="P159" s="2"/>
    </row>
    <row r="160" spans="1:16" x14ac:dyDescent="0.35">
      <c r="B160" s="3"/>
      <c r="C160" s="3"/>
      <c r="D160" s="3"/>
      <c r="E160" s="3"/>
      <c r="F160" s="3"/>
      <c r="G160" s="392"/>
      <c r="H160" s="834" t="s">
        <v>26</v>
      </c>
      <c r="I160" s="30" t="s">
        <v>25</v>
      </c>
      <c r="J160" s="3"/>
      <c r="K160" s="30" t="s">
        <v>11</v>
      </c>
      <c r="L160" s="3"/>
      <c r="M160" s="30" t="s">
        <v>6</v>
      </c>
      <c r="N160" s="3"/>
      <c r="O160" s="3"/>
      <c r="P160" s="2"/>
    </row>
    <row r="161" spans="1:17" x14ac:dyDescent="0.35">
      <c r="B161" s="3"/>
      <c r="C161" s="3"/>
      <c r="D161" s="1158" t="s">
        <v>1174</v>
      </c>
      <c r="E161" s="1158"/>
      <c r="F161" s="3"/>
      <c r="G161" s="1133"/>
      <c r="H161" s="1159">
        <f>$Z$7+$AB$7</f>
        <v>160</v>
      </c>
      <c r="I161" s="3"/>
      <c r="J161" s="3"/>
      <c r="K161" s="1157">
        <f>J89</f>
        <v>143.09</v>
      </c>
      <c r="L161" s="3"/>
      <c r="M161" s="1164">
        <f>ROUND(H161*K161,0)</f>
        <v>22894</v>
      </c>
      <c r="N161" s="3"/>
      <c r="O161" s="3"/>
      <c r="P161" s="2"/>
    </row>
    <row r="162" spans="1:17" x14ac:dyDescent="0.35">
      <c r="B162" s="3"/>
      <c r="C162" s="3" t="s">
        <v>40</v>
      </c>
      <c r="D162" s="56" t="str">
        <f>$C$50</f>
        <v>D1</v>
      </c>
      <c r="E162" s="36"/>
      <c r="F162" s="56" t="str">
        <f>$D$50</f>
        <v>8-6</v>
      </c>
      <c r="G162" s="3"/>
      <c r="H162" s="3"/>
      <c r="I162" s="29">
        <f>I59</f>
        <v>0</v>
      </c>
      <c r="J162" s="3"/>
      <c r="K162" s="35">
        <f>J85</f>
        <v>0</v>
      </c>
      <c r="L162" s="3"/>
      <c r="M162" s="26">
        <f>ROUND(K162*I162,0)</f>
        <v>0</v>
      </c>
      <c r="N162" s="3"/>
      <c r="O162" s="3"/>
      <c r="P162" s="2"/>
    </row>
    <row r="163" spans="1:17" x14ac:dyDescent="0.35">
      <c r="B163" s="3"/>
      <c r="C163" s="3"/>
      <c r="D163" s="56" t="str">
        <f>$C$51</f>
        <v>D2</v>
      </c>
      <c r="E163" s="36"/>
      <c r="F163" s="56" t="str">
        <f>$D$51</f>
        <v>8-10</v>
      </c>
      <c r="G163" s="3"/>
      <c r="H163" s="3"/>
      <c r="I163" s="29">
        <f>I61</f>
        <v>167172.66999999995</v>
      </c>
      <c r="J163" s="3"/>
      <c r="K163" s="35">
        <f>J86</f>
        <v>16.39</v>
      </c>
      <c r="L163" s="3"/>
      <c r="M163" s="26">
        <f>ROUND(K163*I163,0)</f>
        <v>2739960</v>
      </c>
      <c r="N163" s="3"/>
      <c r="O163" s="3"/>
      <c r="P163" s="2"/>
    </row>
    <row r="164" spans="1:17" x14ac:dyDescent="0.35">
      <c r="B164" s="3"/>
      <c r="C164" s="3"/>
      <c r="D164" s="56" t="str">
        <f>$C$52</f>
        <v>D3</v>
      </c>
      <c r="E164" s="36"/>
      <c r="F164" s="56" t="str">
        <f>$D$52</f>
        <v>All Day</v>
      </c>
      <c r="G164" s="3"/>
      <c r="H164" s="3"/>
      <c r="I164" s="38">
        <f>I63</f>
        <v>168411.10000000003</v>
      </c>
      <c r="J164" s="3"/>
      <c r="K164" s="35">
        <f>J87</f>
        <v>3.83</v>
      </c>
      <c r="L164" s="3"/>
      <c r="M164" s="37">
        <f>ROUND(K164*I164,0)</f>
        <v>645015</v>
      </c>
      <c r="N164" s="3"/>
      <c r="O164" s="3"/>
      <c r="P164" s="2"/>
    </row>
    <row r="165" spans="1:17" x14ac:dyDescent="0.35">
      <c r="B165" s="3"/>
      <c r="C165" s="3"/>
      <c r="D165" s="36"/>
      <c r="E165" s="36"/>
      <c r="F165" s="36"/>
      <c r="G165" s="3"/>
      <c r="H165" s="3"/>
      <c r="I165" s="28">
        <f>I162+I163+I164</f>
        <v>335583.77</v>
      </c>
      <c r="J165" s="3"/>
      <c r="K165" s="35"/>
      <c r="L165" s="3"/>
      <c r="M165" s="832">
        <f>M161+M162+M163+M164</f>
        <v>3407869</v>
      </c>
      <c r="N165" s="3"/>
      <c r="O165" s="36" t="s">
        <v>7</v>
      </c>
      <c r="P165" s="2"/>
    </row>
    <row r="166" spans="1:17" x14ac:dyDescent="0.35">
      <c r="B166" s="3"/>
      <c r="C166" s="3"/>
      <c r="D166" s="36"/>
      <c r="E166" s="36"/>
      <c r="F166" s="36"/>
      <c r="G166" s="3"/>
      <c r="H166" s="3"/>
      <c r="I166" s="28"/>
      <c r="J166" s="3"/>
      <c r="K166" s="35"/>
      <c r="L166" s="33" t="s">
        <v>22</v>
      </c>
      <c r="M166" s="34">
        <f>ROUND(M165*(O166-1),0)</f>
        <v>36362</v>
      </c>
      <c r="N166" s="33" t="s">
        <v>23</v>
      </c>
      <c r="O166" s="40">
        <f>L11</f>
        <v>1.01067</v>
      </c>
      <c r="P166" s="2"/>
    </row>
    <row r="167" spans="1:17" x14ac:dyDescent="0.35">
      <c r="B167" s="3"/>
      <c r="C167" s="3"/>
      <c r="D167" s="36"/>
      <c r="E167" s="36"/>
      <c r="F167" s="36"/>
      <c r="G167" s="28"/>
      <c r="H167" s="3"/>
      <c r="I167" s="28"/>
      <c r="J167" s="3"/>
      <c r="K167" s="35"/>
      <c r="L167" s="33" t="s">
        <v>21</v>
      </c>
      <c r="M167" s="32">
        <f>M165+M166</f>
        <v>3444231</v>
      </c>
      <c r="N167" s="8"/>
      <c r="O167" s="3"/>
      <c r="P167" s="2"/>
    </row>
    <row r="168" spans="1:17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2"/>
    </row>
    <row r="169" spans="1:17" x14ac:dyDescent="0.35">
      <c r="B169" s="3"/>
      <c r="C169" s="837" t="str">
        <f>CONCATENATE($A$4," - Annual Demand Revenue Price-Out at Proposed Rates - Incl. EDB:")</f>
        <v>SC8 Rate II - Annual Demand Revenue Price-Out at Proposed Rates - Incl. EDB:</v>
      </c>
      <c r="D169" s="3"/>
      <c r="E169" s="3"/>
      <c r="F169" s="3"/>
      <c r="G169" s="3"/>
      <c r="H169" s="3"/>
      <c r="I169" s="3"/>
      <c r="J169" s="3"/>
      <c r="K169" s="3"/>
      <c r="L169" s="3"/>
      <c r="M169" s="32">
        <f>M157+M167</f>
        <v>9721077</v>
      </c>
      <c r="N169" s="17"/>
      <c r="O169" s="3"/>
      <c r="P169" s="2"/>
    </row>
    <row r="170" spans="1:17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6"/>
      <c r="N170" s="17"/>
      <c r="O170" s="3"/>
      <c r="P170" s="2"/>
    </row>
    <row r="171" spans="1:17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6"/>
      <c r="N171" s="17"/>
      <c r="O171" s="3"/>
      <c r="P171" s="2"/>
    </row>
    <row r="172" spans="1:17" ht="15" thickBot="1" x14ac:dyDescent="0.4">
      <c r="A172" s="42"/>
      <c r="B172" s="334" t="str">
        <f>CONCATENATE($A$4," at Proposed Energy Rates")</f>
        <v>SC8 Rate II at Proposed Energy Rates</v>
      </c>
      <c r="C172" s="3"/>
      <c r="D172" s="3"/>
      <c r="E172" s="3"/>
      <c r="F172" s="3"/>
      <c r="G172" s="3"/>
      <c r="H172" s="3"/>
      <c r="I172" s="3"/>
      <c r="K172" s="367" t="s">
        <v>426</v>
      </c>
      <c r="L172" s="368">
        <f>$L$10</f>
        <v>1.0119199999999999</v>
      </c>
      <c r="N172" s="344" t="str">
        <f>$A$4</f>
        <v>SC8 Rate II</v>
      </c>
      <c r="P172"/>
      <c r="Q172" s="1"/>
    </row>
    <row r="173" spans="1:17" ht="15.5" thickTop="1" thickBot="1" x14ac:dyDescent="0.4">
      <c r="B173" s="407"/>
      <c r="H173" s="1307" t="s">
        <v>417</v>
      </c>
      <c r="I173" s="1308"/>
      <c r="J173" s="1309"/>
      <c r="L173" s="455" t="s">
        <v>475</v>
      </c>
      <c r="N173" s="369" t="s">
        <v>42</v>
      </c>
      <c r="P173"/>
      <c r="Q173" s="1"/>
    </row>
    <row r="174" spans="1:17" ht="15" thickTop="1" x14ac:dyDescent="0.35">
      <c r="B174" s="410"/>
      <c r="H174" s="30" t="s">
        <v>416</v>
      </c>
      <c r="I174" s="30" t="s">
        <v>674</v>
      </c>
      <c r="J174" s="36" t="s">
        <v>676</v>
      </c>
      <c r="L174" s="30" t="s">
        <v>425</v>
      </c>
      <c r="N174" s="36" t="s">
        <v>675</v>
      </c>
      <c r="P174"/>
      <c r="Q174" s="1"/>
    </row>
    <row r="175" spans="1:17" x14ac:dyDescent="0.35">
      <c r="B175" s="407" t="s">
        <v>42</v>
      </c>
      <c r="C175" s="355" t="str">
        <f>$F$112</f>
        <v>On Peak</v>
      </c>
      <c r="D175" s="121"/>
      <c r="E175" s="122"/>
      <c r="H175" s="223">
        <f>H142</f>
        <v>7.9000000000000008E-3</v>
      </c>
      <c r="I175" s="105">
        <f>I127</f>
        <v>24244884</v>
      </c>
      <c r="J175" s="26">
        <f>ROUND(H175*I175,0)</f>
        <v>191535</v>
      </c>
      <c r="L175" s="397"/>
      <c r="N175" s="26">
        <f>J175+L175</f>
        <v>191535</v>
      </c>
      <c r="P175"/>
      <c r="Q175" s="1"/>
    </row>
    <row r="176" spans="1:17" x14ac:dyDescent="0.35">
      <c r="B176" s="406"/>
      <c r="C176" s="355" t="str">
        <f>$F$113</f>
        <v>Off Peak</v>
      </c>
      <c r="D176" s="36"/>
      <c r="E176" s="122"/>
      <c r="H176" s="223">
        <f>H143</f>
        <v>7.9000000000000008E-3</v>
      </c>
      <c r="I176" s="105">
        <f>I128</f>
        <v>30476076</v>
      </c>
      <c r="J176" s="26">
        <f>ROUND(H176*I176,0)</f>
        <v>240761</v>
      </c>
      <c r="L176" s="397"/>
      <c r="N176" s="26">
        <f>J176+L176</f>
        <v>240761</v>
      </c>
      <c r="P176"/>
      <c r="Q176" s="1"/>
    </row>
    <row r="177" spans="2:18" x14ac:dyDescent="0.35">
      <c r="B177" s="406"/>
      <c r="C177" s="3" t="s">
        <v>420</v>
      </c>
      <c r="D177" s="3"/>
      <c r="E177" s="3"/>
      <c r="F177" s="3"/>
      <c r="H177" s="223"/>
      <c r="I177" s="223"/>
      <c r="J177" s="32">
        <f>SUM(J175:J176)</f>
        <v>432296</v>
      </c>
      <c r="L177" s="32">
        <f>SUM(L175:L176)</f>
        <v>0</v>
      </c>
      <c r="N177" s="32">
        <f>SUM(N175:N176)</f>
        <v>432296</v>
      </c>
      <c r="P177"/>
      <c r="Q177" s="1"/>
    </row>
    <row r="178" spans="2:18" s="1" customFormat="1" x14ac:dyDescent="0.35">
      <c r="B178" s="464"/>
      <c r="C178" s="2"/>
      <c r="D178" s="121"/>
      <c r="E178" s="121"/>
      <c r="F178" s="361"/>
      <c r="H178" s="223"/>
      <c r="I178" s="362"/>
      <c r="J178" s="395"/>
      <c r="K178"/>
    </row>
    <row r="179" spans="2:18" s="1" customFormat="1" ht="15" thickBot="1" x14ac:dyDescent="0.4">
      <c r="B179" s="464"/>
      <c r="C179" s="2"/>
      <c r="D179" s="121"/>
      <c r="E179" s="121"/>
      <c r="F179" s="361"/>
      <c r="H179" s="223"/>
      <c r="I179" s="362"/>
      <c r="J179" s="223"/>
      <c r="K179"/>
      <c r="L179" s="368">
        <f>$L$11</f>
        <v>1.01067</v>
      </c>
    </row>
    <row r="180" spans="2:18" s="1" customFormat="1" ht="15.5" thickTop="1" thickBot="1" x14ac:dyDescent="0.4">
      <c r="B180" s="464"/>
      <c r="C180" s="2"/>
      <c r="D180" s="121"/>
      <c r="E180" s="121"/>
      <c r="F180" s="361"/>
      <c r="H180" s="1307" t="s">
        <v>417</v>
      </c>
      <c r="I180" s="1308"/>
      <c r="J180" s="1309"/>
      <c r="K180"/>
      <c r="L180" s="455" t="s">
        <v>475</v>
      </c>
      <c r="N180" s="369" t="s">
        <v>40</v>
      </c>
    </row>
    <row r="181" spans="2:18" s="1" customFormat="1" ht="15" thickTop="1" x14ac:dyDescent="0.35">
      <c r="B181" s="464"/>
      <c r="C181" s="2"/>
      <c r="D181" s="121"/>
      <c r="E181" s="121"/>
      <c r="F181" s="361"/>
      <c r="H181" s="30" t="s">
        <v>416</v>
      </c>
      <c r="I181" s="30" t="s">
        <v>674</v>
      </c>
      <c r="J181" s="36" t="s">
        <v>676</v>
      </c>
      <c r="K181"/>
      <c r="L181" s="30" t="s">
        <v>425</v>
      </c>
      <c r="N181" s="36" t="s">
        <v>675</v>
      </c>
    </row>
    <row r="182" spans="2:18" s="1" customFormat="1" x14ac:dyDescent="0.35">
      <c r="B182" s="407" t="s">
        <v>40</v>
      </c>
      <c r="C182" s="355" t="str">
        <f>$F$112</f>
        <v>On Peak</v>
      </c>
      <c r="D182" s="121"/>
      <c r="E182" s="122"/>
      <c r="H182" s="223">
        <f>J142</f>
        <v>7.9000000000000008E-3</v>
      </c>
      <c r="I182" s="105">
        <f>I129</f>
        <v>36455816</v>
      </c>
      <c r="J182" s="26">
        <f>ROUND(H182*I182,0)</f>
        <v>288001</v>
      </c>
      <c r="K182"/>
      <c r="L182" s="397"/>
      <c r="N182" s="26">
        <f>J182+L182</f>
        <v>288001</v>
      </c>
    </row>
    <row r="183" spans="2:18" s="1" customFormat="1" x14ac:dyDescent="0.35">
      <c r="B183" s="406"/>
      <c r="C183" s="355" t="str">
        <f>$F$113</f>
        <v>Off Peak</v>
      </c>
      <c r="D183" s="36"/>
      <c r="E183" s="122"/>
      <c r="H183" s="223">
        <f>J143</f>
        <v>7.9000000000000008E-3</v>
      </c>
      <c r="I183" s="105">
        <f>I130</f>
        <v>45198664</v>
      </c>
      <c r="J183" s="26">
        <f>ROUND(H183*I183,0)</f>
        <v>357069</v>
      </c>
      <c r="K183"/>
      <c r="L183" s="397"/>
      <c r="N183" s="26">
        <f>J183+L183</f>
        <v>357069</v>
      </c>
    </row>
    <row r="184" spans="2:18" s="1" customFormat="1" x14ac:dyDescent="0.35">
      <c r="B184" s="406"/>
      <c r="C184" s="3" t="s">
        <v>421</v>
      </c>
      <c r="D184" s="3"/>
      <c r="E184" s="3"/>
      <c r="F184" s="3"/>
      <c r="H184" s="223"/>
      <c r="I184" s="223"/>
      <c r="J184" s="32">
        <f>SUM(J182:J183)</f>
        <v>645070</v>
      </c>
      <c r="K184"/>
      <c r="L184" s="32">
        <f>SUM(L182:L183)</f>
        <v>0</v>
      </c>
      <c r="N184" s="32">
        <f>SUM(N182:N183)</f>
        <v>645070</v>
      </c>
    </row>
    <row r="185" spans="2:18" s="1" customFormat="1" ht="15" thickBot="1" x14ac:dyDescent="0.4">
      <c r="B185" s="464"/>
      <c r="C185" s="2"/>
      <c r="D185" s="121"/>
      <c r="E185" s="121"/>
      <c r="F185" s="361"/>
      <c r="H185" s="223"/>
      <c r="I185" s="362"/>
      <c r="J185" s="395"/>
      <c r="K185"/>
      <c r="N185" s="223"/>
    </row>
    <row r="186" spans="2:18" s="1" customFormat="1" ht="15.5" thickTop="1" thickBot="1" x14ac:dyDescent="0.4">
      <c r="B186" s="464"/>
      <c r="C186" s="837" t="str">
        <f>CONCATENATE($A$4," - Annual Energy Revenue Price-Out at Proposed Rates:")</f>
        <v>SC8 Rate II - Annual Energy Revenue Price-Out at Proposed Rates:</v>
      </c>
      <c r="D186" s="979"/>
      <c r="E186" s="979"/>
      <c r="F186" s="981"/>
      <c r="G186" s="464"/>
      <c r="H186" s="223"/>
      <c r="I186" s="222" t="s">
        <v>427</v>
      </c>
      <c r="J186" s="243">
        <f>J177+J184</f>
        <v>1077366</v>
      </c>
      <c r="K186" s="222" t="s">
        <v>428</v>
      </c>
      <c r="L186" s="243">
        <f>L177+L184</f>
        <v>0</v>
      </c>
      <c r="N186" s="243">
        <f>N177+N184</f>
        <v>1077366</v>
      </c>
      <c r="O186" s="374"/>
    </row>
    <row r="187" spans="2:18" s="1" customFormat="1" ht="15" thickTop="1" x14ac:dyDescent="0.35">
      <c r="C187" s="837"/>
      <c r="D187" s="979"/>
      <c r="E187" s="979"/>
      <c r="F187" s="981"/>
      <c r="G187" s="464"/>
      <c r="H187" s="223"/>
      <c r="I187" s="222"/>
      <c r="J187" s="396"/>
      <c r="K187" s="362"/>
      <c r="L187" s="363"/>
      <c r="M187" s="364"/>
      <c r="N187" s="222"/>
      <c r="O187" s="26"/>
      <c r="Q187" s="26"/>
      <c r="R187" s="374"/>
    </row>
    <row r="188" spans="2:18" s="1" customFormat="1" x14ac:dyDescent="0.35">
      <c r="C188" s="25"/>
      <c r="D188" s="121"/>
      <c r="E188" s="121"/>
      <c r="F188" s="361"/>
      <c r="H188" s="223"/>
      <c r="I188" s="222"/>
      <c r="J188" s="396"/>
      <c r="K188" s="362"/>
      <c r="L188" s="363"/>
      <c r="M188" s="364"/>
      <c r="N188" s="222"/>
      <c r="O188" s="26"/>
      <c r="Q188" s="26"/>
      <c r="R188" s="374"/>
    </row>
    <row r="189" spans="2:18" x14ac:dyDescent="0.35">
      <c r="B189" s="3"/>
      <c r="C189" s="70" t="s">
        <v>684</v>
      </c>
      <c r="D189" s="3"/>
      <c r="E189" s="3"/>
      <c r="F189" s="3"/>
      <c r="G189" s="3"/>
      <c r="H189" s="3"/>
      <c r="I189" s="3"/>
      <c r="J189" s="3"/>
      <c r="K189" s="3"/>
      <c r="L189" s="3"/>
      <c r="M189" s="26"/>
      <c r="N189" s="17"/>
      <c r="O189" s="3"/>
      <c r="P189" s="2"/>
    </row>
    <row r="190" spans="2:18" x14ac:dyDescent="0.35">
      <c r="B190" s="3"/>
      <c r="C190" s="41" t="str">
        <f>$A$4</f>
        <v>SC8 Rate II</v>
      </c>
      <c r="D190" s="3"/>
      <c r="E190" s="3"/>
      <c r="F190" s="3"/>
      <c r="G190" s="3"/>
      <c r="H190" s="3"/>
      <c r="I190" s="3"/>
      <c r="J190" s="3"/>
      <c r="K190" s="3"/>
      <c r="L190" s="3"/>
      <c r="M190" s="26"/>
      <c r="N190" s="17"/>
      <c r="O190" s="3"/>
      <c r="P190" s="2"/>
    </row>
    <row r="191" spans="2:18" x14ac:dyDescent="0.35">
      <c r="B191" s="3"/>
      <c r="C191" s="3" t="s">
        <v>678</v>
      </c>
      <c r="D191" s="3"/>
      <c r="E191" s="3"/>
      <c r="F191" s="3"/>
      <c r="G191" s="3"/>
      <c r="H191" s="3"/>
      <c r="I191" s="3"/>
      <c r="J191" s="3"/>
      <c r="K191" s="3"/>
      <c r="L191" s="3"/>
      <c r="M191" s="26">
        <f>M169</f>
        <v>9721077</v>
      </c>
      <c r="P191" s="2"/>
    </row>
    <row r="192" spans="2:18" ht="15" thickBot="1" x14ac:dyDescent="0.4">
      <c r="B192" s="3"/>
      <c r="C192" s="3" t="s">
        <v>677</v>
      </c>
      <c r="D192" s="3"/>
      <c r="E192" s="3"/>
      <c r="F192" s="3"/>
      <c r="G192" s="3"/>
      <c r="H192" s="3"/>
      <c r="I192" s="3"/>
      <c r="J192" s="3"/>
      <c r="K192" s="3"/>
      <c r="L192" s="3"/>
      <c r="M192" s="26">
        <f>N186</f>
        <v>1077366</v>
      </c>
      <c r="P192" s="2"/>
    </row>
    <row r="193" spans="1:16" ht="15.5" thickTop="1" thickBot="1" x14ac:dyDescent="0.4">
      <c r="B193" s="3"/>
      <c r="C193" s="837" t="s">
        <v>685</v>
      </c>
      <c r="D193" s="410"/>
      <c r="E193" s="410"/>
      <c r="F193" s="410"/>
      <c r="G193" s="3"/>
      <c r="H193" s="3"/>
      <c r="I193" s="3"/>
      <c r="J193" s="3"/>
      <c r="K193" s="3"/>
      <c r="L193" s="3"/>
      <c r="M193" s="925">
        <f>M191+M192</f>
        <v>10798443</v>
      </c>
      <c r="P193" s="2"/>
    </row>
    <row r="194" spans="1:16" ht="15" thickTop="1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P194" s="2"/>
    </row>
    <row r="195" spans="1:16" ht="15" thickBot="1" x14ac:dyDescent="0.4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P195" s="2"/>
    </row>
    <row r="196" spans="1:16" x14ac:dyDescent="0.35">
      <c r="B196" s="3"/>
      <c r="C196" s="815" t="str">
        <f>$A$4</f>
        <v>SC8 Rate II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1" t="s">
        <v>6</v>
      </c>
      <c r="P196"/>
    </row>
    <row r="197" spans="1:16" x14ac:dyDescent="0.35">
      <c r="B197" s="3"/>
      <c r="C197" s="11" t="s">
        <v>5</v>
      </c>
      <c r="D197" s="1305">
        <f>L4</f>
        <v>2020</v>
      </c>
      <c r="E197" s="1305"/>
      <c r="F197" s="1305"/>
      <c r="G197" s="10"/>
      <c r="H197" s="10"/>
      <c r="I197" s="10"/>
      <c r="J197" s="10"/>
      <c r="K197" s="10"/>
      <c r="L197" s="10"/>
      <c r="M197" s="13"/>
      <c r="P197"/>
    </row>
    <row r="198" spans="1:16" x14ac:dyDescent="0.35">
      <c r="B198" s="3"/>
      <c r="C198" s="699" t="s">
        <v>679</v>
      </c>
      <c r="D198" s="19"/>
      <c r="E198" s="19"/>
      <c r="F198" s="19"/>
      <c r="G198" s="10"/>
      <c r="H198" s="10"/>
      <c r="I198" s="10"/>
      <c r="J198" s="10"/>
      <c r="K198" s="10"/>
      <c r="L198" s="10"/>
      <c r="M198" s="12">
        <f>M193</f>
        <v>10798443</v>
      </c>
      <c r="P198"/>
    </row>
    <row r="199" spans="1:16" x14ac:dyDescent="0.35">
      <c r="B199" s="3"/>
      <c r="C199" s="20"/>
      <c r="D199" s="19"/>
      <c r="E199" s="19"/>
      <c r="F199" s="19"/>
      <c r="G199" s="10"/>
      <c r="H199" s="10"/>
      <c r="I199" s="10"/>
      <c r="J199" s="10"/>
      <c r="K199" s="10"/>
      <c r="L199" s="10"/>
      <c r="M199" s="18"/>
      <c r="P199"/>
    </row>
    <row r="200" spans="1:16" x14ac:dyDescent="0.35">
      <c r="B200" s="3"/>
      <c r="C200" s="20"/>
      <c r="D200" s="19"/>
      <c r="E200" s="19"/>
      <c r="F200" s="19"/>
      <c r="G200" s="10"/>
      <c r="H200" s="10"/>
      <c r="I200" s="10"/>
      <c r="J200" s="10"/>
      <c r="K200" s="10"/>
      <c r="L200" s="10"/>
      <c r="M200" s="188"/>
      <c r="P200"/>
    </row>
    <row r="201" spans="1:16" x14ac:dyDescent="0.35">
      <c r="B201" s="3"/>
      <c r="C201" s="11" t="s">
        <v>679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2">
        <f>M198+M199+M200</f>
        <v>10798443</v>
      </c>
      <c r="P201"/>
    </row>
    <row r="202" spans="1:16" x14ac:dyDescent="0.35">
      <c r="B202" s="3"/>
      <c r="C202" s="11"/>
      <c r="D202" s="10"/>
      <c r="E202" s="10"/>
      <c r="F202" s="10"/>
      <c r="G202" s="10"/>
      <c r="H202" s="10"/>
      <c r="I202" s="10"/>
      <c r="J202" s="10"/>
      <c r="K202" s="10"/>
      <c r="L202" s="10"/>
      <c r="M202" s="13"/>
      <c r="P202"/>
    </row>
    <row r="203" spans="1:16" x14ac:dyDescent="0.35">
      <c r="B203" s="3"/>
      <c r="C203" s="11"/>
      <c r="D203" s="10" t="s">
        <v>2</v>
      </c>
      <c r="E203" s="10"/>
      <c r="F203" s="10"/>
      <c r="G203" s="10"/>
      <c r="H203" s="10"/>
      <c r="I203" s="10"/>
      <c r="J203" s="10"/>
      <c r="K203" s="10"/>
      <c r="L203" s="10"/>
      <c r="M203" s="924">
        <f>L22</f>
        <v>10801478</v>
      </c>
      <c r="P203"/>
    </row>
    <row r="204" spans="1:16" x14ac:dyDescent="0.35">
      <c r="B204" s="3"/>
      <c r="C204" s="11"/>
      <c r="D204" s="10" t="s">
        <v>1</v>
      </c>
      <c r="E204" s="10"/>
      <c r="F204" s="10"/>
      <c r="G204" s="10"/>
      <c r="H204" s="10"/>
      <c r="I204" s="10"/>
      <c r="J204" s="10"/>
      <c r="K204" s="10"/>
      <c r="L204" s="10"/>
      <c r="M204" s="12">
        <f>M201-M203</f>
        <v>-3035</v>
      </c>
      <c r="P204"/>
    </row>
    <row r="205" spans="1:16" x14ac:dyDescent="0.35">
      <c r="B205" s="3"/>
      <c r="C205" s="11"/>
      <c r="D205" s="10" t="s">
        <v>0</v>
      </c>
      <c r="E205" s="10"/>
      <c r="F205" s="10"/>
      <c r="G205" s="10"/>
      <c r="H205" s="10"/>
      <c r="I205" s="10"/>
      <c r="J205" s="10"/>
      <c r="K205" s="10"/>
      <c r="L205" s="10"/>
      <c r="M205" s="9">
        <f>M201/M203-1</f>
        <v>-2.8098006587617963E-4</v>
      </c>
      <c r="P205"/>
    </row>
    <row r="206" spans="1:16" ht="15" thickBot="1" x14ac:dyDescent="0.4">
      <c r="B206" s="3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5"/>
      <c r="P206" s="2"/>
    </row>
    <row r="207" spans="1:16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P207" s="2"/>
    </row>
    <row r="208" spans="1:16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P208" s="2"/>
    </row>
    <row r="209" spans="1:16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"/>
    </row>
    <row r="210" spans="1:16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2"/>
    </row>
    <row r="211" spans="1:16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2"/>
    </row>
  </sheetData>
  <mergeCells count="15">
    <mergeCell ref="H83:J83"/>
    <mergeCell ref="H180:J180"/>
    <mergeCell ref="D197:F197"/>
    <mergeCell ref="H103:J103"/>
    <mergeCell ref="L103:N103"/>
    <mergeCell ref="L110:N110"/>
    <mergeCell ref="H140:J140"/>
    <mergeCell ref="M140:O140"/>
    <mergeCell ref="H173:J173"/>
    <mergeCell ref="N83:Q83"/>
    <mergeCell ref="H41:J41"/>
    <mergeCell ref="L41:N41"/>
    <mergeCell ref="L48:N48"/>
    <mergeCell ref="D80:F80"/>
    <mergeCell ref="N82:Q82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46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B231"/>
  <sheetViews>
    <sheetView topLeftCell="E1" workbookViewId="0">
      <selection activeCell="E1"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1796875" customWidth="1"/>
    <col min="12" max="12" width="14.26953125" customWidth="1"/>
    <col min="13" max="13" width="15.453125" customWidth="1"/>
    <col min="14" max="14" width="17.81640625" customWidth="1"/>
    <col min="15" max="15" width="12.81640625" customWidth="1"/>
    <col min="16" max="16" width="13" style="1" customWidth="1"/>
    <col min="17" max="17" width="9.453125" customWidth="1"/>
    <col min="18" max="18" width="9.54296875" customWidth="1"/>
    <col min="19" max="19" width="12" customWidth="1"/>
    <col min="20" max="20" width="9.26953125" customWidth="1"/>
    <col min="21" max="21" width="14.54296875" customWidth="1"/>
    <col min="22" max="22" width="18.81640625" customWidth="1"/>
    <col min="23" max="23" width="17.453125" customWidth="1"/>
    <col min="24" max="24" width="16.81640625" customWidth="1"/>
    <col min="25" max="26" width="14.54296875" customWidth="1"/>
    <col min="27" max="28" width="11.1796875" customWidth="1"/>
  </cols>
  <sheetData>
    <row r="1" spans="1:28" ht="18.5" x14ac:dyDescent="0.45">
      <c r="A1" s="447" t="s">
        <v>835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8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SC9 Rate II</v>
      </c>
      <c r="Q3" s="3"/>
      <c r="S3" s="3"/>
    </row>
    <row r="4" spans="1:28" outlineLevel="1" x14ac:dyDescent="0.35">
      <c r="A4" s="864" t="s">
        <v>690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8" outlineLevel="1" x14ac:dyDescent="0.35">
      <c r="C5" s="3"/>
      <c r="D5" s="3"/>
      <c r="E5" s="3"/>
      <c r="F5" s="3"/>
      <c r="G5" s="3"/>
      <c r="I5" s="3"/>
      <c r="M5" s="3"/>
      <c r="P5" s="2"/>
      <c r="Q5" s="3"/>
      <c r="R5" s="3"/>
      <c r="S5" s="30" t="s">
        <v>25</v>
      </c>
      <c r="U5" s="834" t="s">
        <v>12</v>
      </c>
    </row>
    <row r="6" spans="1:28" outlineLevel="1" x14ac:dyDescent="0.35">
      <c r="A6" s="180"/>
      <c r="B6" s="180"/>
      <c r="C6" s="180"/>
      <c r="D6" s="180"/>
      <c r="E6" s="180"/>
      <c r="F6" s="3"/>
      <c r="G6" s="490" t="str">
        <f>'12A.)TODL_RateDesignSummary'!D69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386">
        <f>'[1]D2.)BillingDeterminants(TOD)'!$D$72+'[1]D2.)BillingDeterminants(TOD)'!$D$89</f>
        <v>5802400.1400000006</v>
      </c>
      <c r="T6" s="164" t="s">
        <v>444</v>
      </c>
      <c r="U6" s="386">
        <f>('[1]D2.)BillingDeterminants(TOD)'!$D$79+'[1]D2.)BillingDeterminants(TOD)'!$D$96)/('[1]D2.)BillingDeterminants(TOD)'!$D$79+'[1]D2.)BillingDeterminants(TOD)'!$D$96+'[1]D2.)BillingDeterminants(TOD)'!$D$81+'[1]D2.)BillingDeterminants(TOD)'!$D$98)*U9</f>
        <v>1298972975.0274701</v>
      </c>
      <c r="W6" s="464"/>
      <c r="X6" s="1126" t="s">
        <v>2208</v>
      </c>
      <c r="Y6" s="1127" t="s">
        <v>114</v>
      </c>
      <c r="Z6" s="1127" t="s">
        <v>113</v>
      </c>
      <c r="AA6" s="1127" t="s">
        <v>112</v>
      </c>
      <c r="AB6" s="1128" t="s">
        <v>111</v>
      </c>
    </row>
    <row r="7" spans="1:28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SC9 Rate II</v>
      </c>
      <c r="M7" s="3"/>
      <c r="P7" s="170" t="s">
        <v>114</v>
      </c>
      <c r="Q7" s="159" t="s">
        <v>641</v>
      </c>
      <c r="R7" s="158" t="s">
        <v>888</v>
      </c>
      <c r="S7" s="387">
        <f>'[1]D2.)BillingDeterminants(TOD)'!$D$74+'[1]D2.)BillingDeterminants(TOD)'!$D$91</f>
        <v>5809261.6600000001</v>
      </c>
      <c r="T7" s="159" t="s">
        <v>445</v>
      </c>
      <c r="U7" s="387">
        <f>('[1]D2.)BillingDeterminants(TOD)'!$D$81+'[1]D2.)BillingDeterminants(TOD)'!$D$98)/('[1]D2.)BillingDeterminants(TOD)'!$D$79+'[1]D2.)BillingDeterminants(TOD)'!$D$96+'[1]D2.)BillingDeterminants(TOD)'!$D$81+'[1]D2.)BillingDeterminants(TOD)'!$D$98)*U9</f>
        <v>1239715293.9725299</v>
      </c>
      <c r="W7" s="1125" t="s">
        <v>2207</v>
      </c>
      <c r="X7" s="1162">
        <f>'[2]3C.)HY_Metering PxOut'!$B$48</f>
        <v>9367</v>
      </c>
      <c r="Y7" s="1131">
        <f>ROUND($X7*$Q$9/($Q$9+$Q$14+$Q$19+$Q$24),0)</f>
        <v>2672</v>
      </c>
      <c r="Z7" s="1131">
        <f>X7-Y7-AA7-AB7</f>
        <v>5348</v>
      </c>
      <c r="AA7" s="1131">
        <f>ROUND($X7*$Q$19/($Q$9+$Q$14+$Q$19+$Q$24),0)</f>
        <v>448</v>
      </c>
      <c r="AB7" s="1132">
        <f>ROUND($X7*$Q$24/($Q$9+$Q$14+$Q$19+$Q$24),0)</f>
        <v>899</v>
      </c>
    </row>
    <row r="8" spans="1:28" ht="15.5" outlineLevel="1" thickTop="1" thickBot="1" x14ac:dyDescent="0.4">
      <c r="A8" s="3" t="s">
        <v>932</v>
      </c>
      <c r="B8" s="3"/>
      <c r="C8" s="3"/>
      <c r="D8" s="3"/>
      <c r="E8" s="3"/>
      <c r="F8" s="3"/>
      <c r="G8" s="309">
        <f>'12A.)TODL_RateDesignSummary'!D71</f>
        <v>0</v>
      </c>
      <c r="H8" s="177">
        <f>J98</f>
        <v>0</v>
      </c>
      <c r="I8" s="3"/>
      <c r="J8" s="33"/>
      <c r="K8" s="17"/>
      <c r="L8" s="688"/>
      <c r="M8" s="3"/>
      <c r="P8" s="168" t="s">
        <v>114</v>
      </c>
      <c r="Q8" s="154" t="s">
        <v>642</v>
      </c>
      <c r="R8" s="176" t="s">
        <v>645</v>
      </c>
      <c r="S8" s="172">
        <f>'[1]D2.)BillingDeterminants(TOD)'!$D$76+'[1]D2.)BillingDeterminants(TOD)'!$D$93</f>
        <v>5777969.3600000003</v>
      </c>
      <c r="T8" s="453"/>
      <c r="U8" s="760"/>
    </row>
    <row r="9" spans="1:28" ht="15.5" outlineLevel="1" thickTop="1" thickBot="1" x14ac:dyDescent="0.4">
      <c r="A9" s="3" t="s">
        <v>933</v>
      </c>
      <c r="B9" s="3"/>
      <c r="C9" s="3"/>
      <c r="D9" s="3"/>
      <c r="E9" s="3"/>
      <c r="F9" s="3"/>
      <c r="G9" s="310">
        <f>'12A.)TODL_RateDesignSummary'!D72</f>
        <v>12.71</v>
      </c>
      <c r="H9" s="169">
        <f t="shared" ref="H9:H10" si="0">J99</f>
        <v>13.01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'[1]B1.)HYAdjSalesDatabase'!$T$257</f>
        <v>2672</v>
      </c>
      <c r="S9" s="151">
        <f>SUM(S6:S8)</f>
        <v>17389631.16</v>
      </c>
      <c r="U9" s="761">
        <f>'[1]D2.)BillingDeterminants(TOD)'!D77+'[1]D2.)BillingDeterminants(TOD)'!D94</f>
        <v>2538688269</v>
      </c>
      <c r="X9" s="1009">
        <f>X7+X8-Q9-Q14-Q19-Q24</f>
        <v>0</v>
      </c>
    </row>
    <row r="10" spans="1:28" ht="15" outlineLevel="1" thickTop="1" x14ac:dyDescent="0.35">
      <c r="A10" s="3" t="s">
        <v>934</v>
      </c>
      <c r="B10" s="3"/>
      <c r="C10" s="3"/>
      <c r="D10" s="3"/>
      <c r="E10" s="3"/>
      <c r="F10" s="3"/>
      <c r="G10" s="310">
        <f>'12A.)TODL_RateDesignSummary'!D73</f>
        <v>3.83</v>
      </c>
      <c r="H10" s="169">
        <f t="shared" si="0"/>
        <v>3.92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U10" s="741">
        <f>U6+U7-U9</f>
        <v>0</v>
      </c>
    </row>
    <row r="11" spans="1:28" outlineLevel="1" x14ac:dyDescent="0.35">
      <c r="A11" s="3" t="s">
        <v>935</v>
      </c>
      <c r="B11" s="3"/>
      <c r="C11" s="3"/>
      <c r="D11" s="3"/>
      <c r="E11" s="3"/>
      <c r="F11" s="3"/>
      <c r="G11" s="310">
        <f>'12A.)TODL_RateDesignSummary'!D74</f>
        <v>8.33</v>
      </c>
      <c r="H11" s="169">
        <f>H98</f>
        <v>8.5299999999999994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386">
        <f>('[1]D2.)BillingDeterminants(TOD)'!$E$79+'[1]D2.)BillingDeterminants(TOD)'!$E$96)/('[1]D2.)BillingDeterminants(TOD)'!$E$79+'[1]D2.)BillingDeterminants(TOD)'!$E$96+'[1]D2.)BillingDeterminants(TOD)'!$E$81+'[1]D2.)BillingDeterminants(TOD)'!$E$98)*U14</f>
        <v>2259821279.7261128</v>
      </c>
    </row>
    <row r="12" spans="1:28" outlineLevel="1" x14ac:dyDescent="0.35">
      <c r="A12" s="3" t="s">
        <v>936</v>
      </c>
      <c r="B12" s="3"/>
      <c r="C12" s="3"/>
      <c r="D12" s="3"/>
      <c r="E12" s="3"/>
      <c r="F12" s="3"/>
      <c r="G12" s="310">
        <f>'12A.)TODL_RateDesignSummary'!D75</f>
        <v>16.79</v>
      </c>
      <c r="H12" s="169">
        <f t="shared" ref="H12:H13" si="1">H99</f>
        <v>17.189999999999998</v>
      </c>
      <c r="I12" s="3"/>
      <c r="P12" s="160" t="s">
        <v>113</v>
      </c>
      <c r="Q12" s="157" t="str">
        <f>Q$7</f>
        <v>D2</v>
      </c>
      <c r="R12" s="157" t="str">
        <f>R$7</f>
        <v>8-10</v>
      </c>
      <c r="S12" s="387">
        <f>'[1]D2.)BillingDeterminants(TOD)'!$E$74+'[1]D2.)BillingDeterminants(TOD)'!$E$91</f>
        <v>9881521.1099999994</v>
      </c>
      <c r="T12" s="159" t="str">
        <f>T$7</f>
        <v>Off Peak</v>
      </c>
      <c r="U12" s="387">
        <f>('[1]D2.)BillingDeterminants(TOD)'!$E$81+'[1]D2.)BillingDeterminants(TOD)'!$E$98)/('[1]D2.)BillingDeterminants(TOD)'!$E$79+'[1]D2.)BillingDeterminants(TOD)'!$E$96+'[1]D2.)BillingDeterminants(TOD)'!$E$81+'[1]D2.)BillingDeterminants(TOD)'!$E$98)*U14</f>
        <v>2233884225.2738872</v>
      </c>
    </row>
    <row r="13" spans="1:28" ht="15" outlineLevel="1" thickBot="1" x14ac:dyDescent="0.4">
      <c r="A13" s="3" t="s">
        <v>937</v>
      </c>
      <c r="B13" s="3"/>
      <c r="C13" s="3"/>
      <c r="D13" s="3"/>
      <c r="E13" s="3"/>
      <c r="F13" s="3"/>
      <c r="G13" s="310">
        <f>'12A.)TODL_RateDesignSummary'!D76</f>
        <v>15.17</v>
      </c>
      <c r="H13" s="169">
        <f t="shared" si="1"/>
        <v>15.53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72">
        <f>'[1]D2.)BillingDeterminants(TOD)'!$E$76+'[1]D2.)BillingDeterminants(TOD)'!$E$93</f>
        <v>9822749.1299999971</v>
      </c>
      <c r="T13" s="453"/>
      <c r="U13" s="760"/>
      <c r="X13" s="385"/>
      <c r="Y13" s="385" t="s">
        <v>1461</v>
      </c>
      <c r="Z13" s="385"/>
    </row>
    <row r="14" spans="1:28" ht="15.5" outlineLevel="1" thickTop="1" thickBot="1" x14ac:dyDescent="0.4">
      <c r="A14" t="s">
        <v>647</v>
      </c>
      <c r="F14" s="3"/>
      <c r="G14" s="310">
        <f>'12A.)TODL_RateDesignSummary'!D77</f>
        <v>7.9000000000000008E-3</v>
      </c>
      <c r="H14" s="169">
        <f>H155</f>
        <v>7.9000000000000008E-3</v>
      </c>
      <c r="I14" s="3"/>
      <c r="J14" s="33" t="s">
        <v>2042</v>
      </c>
      <c r="K14" s="17"/>
      <c r="L14" s="690">
        <f>'[2]6A.)RateChange'!BF51</f>
        <v>2.3127350000000001E-2</v>
      </c>
      <c r="P14" s="1158" t="s">
        <v>2207</v>
      </c>
      <c r="Q14" s="1161">
        <f>'[1]B1.)HYAdjSalesDatabase'!$U$257</f>
        <v>5348</v>
      </c>
      <c r="R14" s="3"/>
      <c r="S14" s="151">
        <f>SUM(S11:S13)</f>
        <v>19704270.239999995</v>
      </c>
      <c r="U14" s="761">
        <f>'[1]D2.)BillingDeterminants(TOD)'!E77+'[1]D2.)BillingDeterminants(TOD)'!E94</f>
        <v>4493705505</v>
      </c>
      <c r="X14" s="385"/>
      <c r="Y14" s="385" t="s">
        <v>42</v>
      </c>
      <c r="Z14" s="385" t="s">
        <v>40</v>
      </c>
    </row>
    <row r="15" spans="1:28" ht="15" outlineLevel="1" thickTop="1" x14ac:dyDescent="0.35">
      <c r="A15" t="s">
        <v>648</v>
      </c>
      <c r="F15" s="3"/>
      <c r="G15" s="310">
        <f>'12A.)TODL_RateDesignSummary'!D78</f>
        <v>7.9000000000000008E-3</v>
      </c>
      <c r="H15" s="169">
        <f>H156</f>
        <v>7.9000000000000008E-3</v>
      </c>
      <c r="I15" s="3"/>
      <c r="U15" s="741">
        <f>U11+U12-U14</f>
        <v>0</v>
      </c>
      <c r="X15" s="732" t="s">
        <v>9</v>
      </c>
      <c r="Y15" s="286">
        <f>'[1]D2.)BillingDeterminants(TOD)'!D77+'[1]D2.)BillingDeterminants(TOD)'!D94</f>
        <v>2538688269</v>
      </c>
      <c r="Z15" s="286">
        <f>'[1]D2.)BillingDeterminants(TOD)'!E77+'[1]D2.)BillingDeterminants(TOD)'!E94</f>
        <v>4493705505</v>
      </c>
    </row>
    <row r="16" spans="1:28" outlineLevel="1" x14ac:dyDescent="0.35">
      <c r="A16" t="s">
        <v>649</v>
      </c>
      <c r="F16" s="3"/>
      <c r="G16" s="310">
        <f>'12A.)TODL_RateDesignSummary'!D79</f>
        <v>7.9000000000000008E-3</v>
      </c>
      <c r="H16" s="169">
        <f>J155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386">
        <f>'[1]D2.)BillingDeterminants(TOD)'!$D$73+'[1]D2.)BillingDeterminants(TOD)'!$D$90</f>
        <v>1363410.2400000002</v>
      </c>
      <c r="T16" s="164" t="str">
        <f>T$6</f>
        <v>on Peak</v>
      </c>
      <c r="U16" s="386">
        <f>('[1]D2.)BillingDeterminants(TOD)'!$D$80+'[1]D2.)BillingDeterminants(TOD)'!$D$97)/('[1]D2.)BillingDeterminants(TOD)'!$D$80+'[1]D2.)BillingDeterminants(TOD)'!$D$97+'[1]D2.)BillingDeterminants(TOD)'!$D$82+'[1]D2.)BillingDeterminants(TOD)'!$D$99)*U19</f>
        <v>307354331.51017529</v>
      </c>
      <c r="X16" s="732"/>
      <c r="Y16" s="384">
        <f>Y15-U9</f>
        <v>0</v>
      </c>
      <c r="Z16" s="384">
        <f>Z15-U14</f>
        <v>0</v>
      </c>
    </row>
    <row r="17" spans="1:26" outlineLevel="1" x14ac:dyDescent="0.35">
      <c r="A17" t="s">
        <v>650</v>
      </c>
      <c r="F17" s="3"/>
      <c r="G17" s="310">
        <f>'12A.)TODL_RateDesignSummary'!D80</f>
        <v>7.9000000000000008E-3</v>
      </c>
      <c r="H17" s="169">
        <f>J156</f>
        <v>7.9000000000000008E-3</v>
      </c>
      <c r="I17" s="3"/>
      <c r="J17" s="33" t="s">
        <v>133</v>
      </c>
      <c r="L17" s="245">
        <f>'[2]6B.)RateChgAllocation'!$N$51</f>
        <v>12197023</v>
      </c>
      <c r="M17" s="701">
        <f>ROUND(L17/ROUND(L18/M18,5),0)</f>
        <v>12059544</v>
      </c>
      <c r="P17" s="170" t="s">
        <v>112</v>
      </c>
      <c r="Q17" s="157" t="str">
        <f>Q$7</f>
        <v>D2</v>
      </c>
      <c r="R17" s="157" t="str">
        <f>R$7</f>
        <v>8-10</v>
      </c>
      <c r="S17" s="387">
        <f>'[1]D2.)BillingDeterminants(TOD)'!$D$75+'[1]D2.)BillingDeterminants(TOD)'!$D$92</f>
        <v>1374819.51</v>
      </c>
      <c r="T17" s="159" t="str">
        <f>T$7</f>
        <v>Off Peak</v>
      </c>
      <c r="U17" s="387">
        <f>('[1]D2.)BillingDeterminants(TOD)'!$D$82+'[1]D2.)BillingDeterminants(TOD)'!$D$99)/('[1]D2.)BillingDeterminants(TOD)'!$D$80+'[1]D2.)BillingDeterminants(TOD)'!$D$97+'[1]D2.)BillingDeterminants(TOD)'!$D$82+'[1]D2.)BillingDeterminants(TOD)'!$D$99)*U19</f>
        <v>360778248.48982465</v>
      </c>
      <c r="X17" s="732" t="s">
        <v>8</v>
      </c>
      <c r="Y17" s="286">
        <f>'[1]D2.)BillingDeterminants(TOD)'!D78+'[1]D2.)BillingDeterminants(TOD)'!D95</f>
        <v>668132580</v>
      </c>
      <c r="Z17" s="286">
        <f>'[1]D2.)BillingDeterminants(TOD)'!E78+'[1]D2.)BillingDeterminants(TOD)'!E95</f>
        <v>1197232507</v>
      </c>
    </row>
    <row r="18" spans="1:26" ht="15" outlineLevel="1" thickBot="1" x14ac:dyDescent="0.4">
      <c r="A18" t="s">
        <v>651</v>
      </c>
      <c r="F18" s="3"/>
      <c r="G18" s="310">
        <f>'12A.)TODL_RateDesignSummary'!D81</f>
        <v>7.9000000000000008E-3</v>
      </c>
      <c r="H18" s="169">
        <f>H14</f>
        <v>7.9000000000000008E-3</v>
      </c>
      <c r="I18" s="3"/>
      <c r="J18" s="33" t="s">
        <v>131</v>
      </c>
      <c r="L18" s="701">
        <f>'[2]4D-4.)HY_TODLRatePxOut(SC9)'!$Y$44</f>
        <v>466672244</v>
      </c>
      <c r="M18" s="245">
        <f>'[2]4D-4.)HY_TODLRatePxOut(SC9)'!$W$44</f>
        <v>461413998</v>
      </c>
      <c r="P18" s="168" t="s">
        <v>112</v>
      </c>
      <c r="Q18" s="154" t="str">
        <f>Q8</f>
        <v>D3</v>
      </c>
      <c r="R18" s="154" t="str">
        <f>R8</f>
        <v>All Day</v>
      </c>
      <c r="S18" s="172"/>
      <c r="T18" s="453"/>
      <c r="U18" s="760"/>
      <c r="X18" s="732"/>
      <c r="Y18" s="384">
        <f>Y17-U19</f>
        <v>0</v>
      </c>
      <c r="Z18" s="384">
        <f>Z17-U24</f>
        <v>0</v>
      </c>
    </row>
    <row r="19" spans="1:26" ht="15.5" outlineLevel="1" thickTop="1" thickBot="1" x14ac:dyDescent="0.4">
      <c r="A19" t="s">
        <v>652</v>
      </c>
      <c r="F19" s="3"/>
      <c r="G19" s="310">
        <f>'12A.)TODL_RateDesignSummary'!D82</f>
        <v>7.9000000000000008E-3</v>
      </c>
      <c r="H19" s="169">
        <f t="shared" ref="H19:H21" si="2">H15</f>
        <v>7.9000000000000008E-3</v>
      </c>
      <c r="I19" s="3"/>
      <c r="J19" s="33" t="s">
        <v>123</v>
      </c>
      <c r="L19" s="245">
        <f>'[2]6B.)RateChgAllocation'!$M$51</f>
        <v>0</v>
      </c>
      <c r="M19" s="245">
        <f>ROUND(L19/ROUND(L18/M18,5),0)</f>
        <v>0</v>
      </c>
      <c r="P19" s="1158" t="s">
        <v>2207</v>
      </c>
      <c r="Q19" s="1161">
        <f>'[1]B1.)HYAdjSalesDatabase'!$T$256</f>
        <v>448</v>
      </c>
      <c r="S19" s="151">
        <f>SUM(S16:S18)</f>
        <v>2738229.75</v>
      </c>
      <c r="U19" s="761">
        <f>'[1]D2.)BillingDeterminants(TOD)'!D78+'[1]D2.)BillingDeterminants(TOD)'!D95</f>
        <v>668132580</v>
      </c>
      <c r="X19" s="732" t="s">
        <v>205</v>
      </c>
      <c r="Y19" s="385"/>
      <c r="Z19" s="384">
        <f>SUM(Y15:Z17)</f>
        <v>8897758861</v>
      </c>
    </row>
    <row r="20" spans="1:26" ht="15" outlineLevel="1" thickTop="1" x14ac:dyDescent="0.35">
      <c r="A20" t="s">
        <v>653</v>
      </c>
      <c r="F20" s="3"/>
      <c r="G20" s="310">
        <f>'12A.)TODL_RateDesignSummary'!D83</f>
        <v>7.9000000000000008E-3</v>
      </c>
      <c r="H20" s="169">
        <f t="shared" si="2"/>
        <v>7.9000000000000008E-3</v>
      </c>
      <c r="I20" s="3"/>
      <c r="J20" s="33" t="s">
        <v>129</v>
      </c>
      <c r="L20" s="701">
        <f>'[2]4D-4.)HY_TODLRatePxOut(SC9)'!$Y$80</f>
        <v>70292295</v>
      </c>
      <c r="M20" s="245">
        <f>'[2]4D-4.)HY_TODLRatePxOut(SC9)'!$W$80</f>
        <v>70292295</v>
      </c>
      <c r="U20" s="741">
        <f>U16+U17-U19</f>
        <v>0</v>
      </c>
    </row>
    <row r="21" spans="1:26" ht="15" outlineLevel="1" thickBot="1" x14ac:dyDescent="0.4">
      <c r="A21" t="s">
        <v>654</v>
      </c>
      <c r="F21" s="3"/>
      <c r="G21" s="311">
        <f>'12A.)TODL_RateDesignSummary'!D84</f>
        <v>7.9000000000000008E-3</v>
      </c>
      <c r="H21" s="167">
        <f t="shared" si="2"/>
        <v>7.9000000000000008E-3</v>
      </c>
      <c r="I21" s="3"/>
      <c r="L21" s="702"/>
      <c r="M21" s="702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386">
        <f>('[1]D2.)BillingDeterminants(TOD)'!$E$80+'[1]D2.)BillingDeterminants(TOD)'!$E$97)/('[1]D2.)BillingDeterminants(TOD)'!$E$80+'[1]D2.)BillingDeterminants(TOD)'!$E$97+'[1]D2.)BillingDeterminants(TOD)'!$E$82+'[1]D2.)BillingDeterminants(TOD)'!$E$99)*U24</f>
        <v>544343148.31442344</v>
      </c>
    </row>
    <row r="22" spans="1:26" ht="15.5" outlineLevel="1" thickTop="1" thickBot="1" x14ac:dyDescent="0.4">
      <c r="J22" s="33" t="str">
        <f>CONCATENATE(A4," - T&amp;D Target:")</f>
        <v>SC9 Rate II - T&amp;D Target:</v>
      </c>
      <c r="L22" s="701">
        <f>'[2]6A.)RateChange'!$BN$51</f>
        <v>539582375.40150297</v>
      </c>
      <c r="M22" s="702"/>
      <c r="P22" s="160" t="s">
        <v>111</v>
      </c>
      <c r="Q22" s="157" t="str">
        <f>Q$7</f>
        <v>D2</v>
      </c>
      <c r="R22" s="157" t="str">
        <f>R$7</f>
        <v>8-10</v>
      </c>
      <c r="S22" s="387">
        <f>'[1]D2.)BillingDeterminants(TOD)'!$E$75+'[1]D2.)BillingDeterminants(TOD)'!$E$92</f>
        <v>2382979.91</v>
      </c>
      <c r="T22" s="159" t="str">
        <f>T$7</f>
        <v>Off Peak</v>
      </c>
      <c r="U22" s="387">
        <f>('[1]D2.)BillingDeterminants(TOD)'!$E$82+'[1]D2.)BillingDeterminants(TOD)'!$E$99)/('[1]D2.)BillingDeterminants(TOD)'!$E$80+'[1]D2.)BillingDeterminants(TOD)'!$E$97+'[1]D2.)BillingDeterminants(TOD)'!$E$82+'[1]D2.)BillingDeterminants(TOD)'!$E$99)*U24</f>
        <v>652889358.68557644</v>
      </c>
    </row>
    <row r="23" spans="1:26" ht="15.5" outlineLevel="1" thickTop="1" thickBot="1" x14ac:dyDescent="0.4">
      <c r="A23" s="1171" t="s">
        <v>2203</v>
      </c>
      <c r="B23" s="1172"/>
      <c r="C23" s="1173"/>
      <c r="H23" s="1177" t="s">
        <v>1007</v>
      </c>
      <c r="L23" s="1"/>
      <c r="M23" s="1"/>
      <c r="P23" s="155" t="s">
        <v>111</v>
      </c>
      <c r="Q23" s="154" t="str">
        <f>Q8</f>
        <v>D3</v>
      </c>
      <c r="R23" s="154" t="str">
        <f>R8</f>
        <v>All Day</v>
      </c>
      <c r="S23" s="172"/>
      <c r="T23" s="453"/>
      <c r="U23" s="760"/>
    </row>
    <row r="24" spans="1:26" ht="15.5" outlineLevel="1" thickTop="1" thickBot="1" x14ac:dyDescent="0.4">
      <c r="A24" s="1174" t="s">
        <v>2229</v>
      </c>
      <c r="B24" s="1175"/>
      <c r="C24" s="1176"/>
      <c r="H24" s="1170">
        <f>'7C.)CustCharge_DemandClasses'!$F$15</f>
        <v>143.09</v>
      </c>
      <c r="J24" s="33" t="s">
        <v>1522</v>
      </c>
      <c r="L24" s="701">
        <f>'[1]F2.)MMD_&amp;_BIR'!$D$24</f>
        <v>2690454</v>
      </c>
      <c r="M24" s="989"/>
      <c r="P24" s="1158" t="s">
        <v>2207</v>
      </c>
      <c r="Q24" s="1161">
        <f>'[1]B1.)HYAdjSalesDatabase'!$U$256</f>
        <v>899</v>
      </c>
      <c r="S24" s="151">
        <f>SUM(S21:S23)</f>
        <v>2382979.91</v>
      </c>
      <c r="U24" s="717">
        <f>'[1]D2.)BillingDeterminants(TOD)'!E78+'[1]D2.)BillingDeterminants(TOD)'!E95</f>
        <v>1197232507</v>
      </c>
    </row>
    <row r="25" spans="1:26" ht="15.5" outlineLevel="1" thickTop="1" thickBot="1" x14ac:dyDescent="0.4">
      <c r="J25" s="33" t="s">
        <v>697</v>
      </c>
      <c r="L25" s="701">
        <f>'[1]F2.)MMD_&amp;_BIR'!$H$24</f>
        <v>-10134899.728127901</v>
      </c>
      <c r="M25" s="465"/>
      <c r="S25" s="150"/>
      <c r="U25" s="472">
        <f>U21+U22-U24</f>
        <v>0</v>
      </c>
    </row>
    <row r="26" spans="1:26" ht="15.5" outlineLevel="1" thickTop="1" thickBot="1" x14ac:dyDescent="0.4">
      <c r="J26" s="33" t="s">
        <v>699</v>
      </c>
      <c r="L26" s="701">
        <f>'[1]F3.)Standby'!$E$29+'[1]F3.)Standby'!$E$30</f>
        <v>-2134740.870369141</v>
      </c>
      <c r="M26" s="465"/>
      <c r="R26" t="s">
        <v>205</v>
      </c>
      <c r="S26" s="151">
        <f>S9+S14+S19+S24</f>
        <v>42215111.059999987</v>
      </c>
      <c r="U26" s="151">
        <f>U9+U14+U19+U24</f>
        <v>8897758861</v>
      </c>
    </row>
    <row r="27" spans="1:26" ht="15" outlineLevel="1" thickTop="1" x14ac:dyDescent="0.35"/>
    <row r="28" spans="1:26" s="148" customFormat="1" outlineLevel="1" x14ac:dyDescent="0.35"/>
    <row r="29" spans="1:26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58"/>
      <c r="M29" s="1169" t="s">
        <v>2240</v>
      </c>
    </row>
    <row r="30" spans="1:26" x14ac:dyDescent="0.35">
      <c r="A30" s="131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143.09</v>
      </c>
    </row>
    <row r="31" spans="1:26" x14ac:dyDescent="0.35">
      <c r="B31" s="41" t="str">
        <f>$A$4</f>
        <v>SC9 Rate II</v>
      </c>
      <c r="C31" s="133" t="s">
        <v>662</v>
      </c>
      <c r="D31" s="133"/>
      <c r="E31" s="133"/>
      <c r="F31" s="133"/>
      <c r="H31" s="1149" t="s">
        <v>2226</v>
      </c>
      <c r="I31" s="1149" t="s">
        <v>2227</v>
      </c>
      <c r="L31" s="1158"/>
      <c r="M31" s="1158"/>
      <c r="P31"/>
    </row>
    <row r="32" spans="1:26" x14ac:dyDescent="0.35">
      <c r="C32" s="142" t="s">
        <v>97</v>
      </c>
      <c r="H32" s="130">
        <f>M17</f>
        <v>12059544</v>
      </c>
      <c r="I32" s="1156">
        <f>H32-M38</f>
        <v>10719220</v>
      </c>
      <c r="J32" s="892" t="s">
        <v>79</v>
      </c>
      <c r="L32" s="1165" t="s">
        <v>2221</v>
      </c>
      <c r="M32" s="1159">
        <f>Y7</f>
        <v>2672</v>
      </c>
      <c r="P32"/>
    </row>
    <row r="33" spans="3:16" x14ac:dyDescent="0.35">
      <c r="I33" s="130"/>
      <c r="L33" s="1165" t="s">
        <v>2222</v>
      </c>
      <c r="M33" s="1159">
        <f>Z7</f>
        <v>5348</v>
      </c>
      <c r="P33"/>
    </row>
    <row r="34" spans="3:16" x14ac:dyDescent="0.35">
      <c r="C34" t="s">
        <v>696</v>
      </c>
      <c r="H34" s="690">
        <f>L14</f>
        <v>2.3127350000000001E-2</v>
      </c>
      <c r="J34" s="892" t="s">
        <v>78</v>
      </c>
      <c r="L34" s="1158"/>
      <c r="M34" s="1158"/>
      <c r="P34"/>
    </row>
    <row r="35" spans="3:16" x14ac:dyDescent="0.35">
      <c r="H35" s="467"/>
      <c r="J35" s="136"/>
      <c r="L35" s="1165" t="s">
        <v>2223</v>
      </c>
      <c r="M35" s="1159">
        <f>AA7</f>
        <v>448</v>
      </c>
      <c r="P35"/>
    </row>
    <row r="36" spans="3:16" x14ac:dyDescent="0.35">
      <c r="C36" t="s">
        <v>703</v>
      </c>
      <c r="G36" s="135"/>
      <c r="H36" s="135" t="s">
        <v>702</v>
      </c>
      <c r="I36" s="130"/>
      <c r="J36" s="136"/>
      <c r="L36" s="1165" t="s">
        <v>2224</v>
      </c>
      <c r="M36" s="1159">
        <f>AB7</f>
        <v>899</v>
      </c>
      <c r="P36"/>
    </row>
    <row r="37" spans="3:16" x14ac:dyDescent="0.35">
      <c r="C37" t="s">
        <v>1523</v>
      </c>
      <c r="G37" s="819">
        <f>L24</f>
        <v>2690454</v>
      </c>
      <c r="H37" s="819">
        <f>ROUND(G37*H$34,0)</f>
        <v>62223</v>
      </c>
      <c r="I37" s="130"/>
      <c r="J37" s="892" t="s">
        <v>1878</v>
      </c>
      <c r="L37" s="1158"/>
      <c r="M37" s="1158"/>
      <c r="P37"/>
    </row>
    <row r="38" spans="3:16" x14ac:dyDescent="0.35">
      <c r="C38" t="s">
        <v>705</v>
      </c>
      <c r="G38" s="819">
        <f>L25</f>
        <v>-10134899.728127901</v>
      </c>
      <c r="H38" s="819">
        <f>ROUND(G38*H$34,0)</f>
        <v>-234393</v>
      </c>
      <c r="I38" s="130"/>
      <c r="J38" s="892" t="s">
        <v>1879</v>
      </c>
      <c r="L38" s="1165" t="s">
        <v>2225</v>
      </c>
      <c r="M38" s="1160">
        <f>ROUND((M32+M33+M35+M36)*M30,0)</f>
        <v>1340324</v>
      </c>
      <c r="N38" s="134"/>
      <c r="P38"/>
    </row>
    <row r="39" spans="3:16" x14ac:dyDescent="0.35">
      <c r="C39" t="s">
        <v>706</v>
      </c>
      <c r="G39" s="819">
        <f>L26</f>
        <v>-2134740.870369141</v>
      </c>
      <c r="H39" s="903">
        <f>ROUND(G39*H$34,0)</f>
        <v>-49371</v>
      </c>
      <c r="J39" s="892" t="s">
        <v>1880</v>
      </c>
      <c r="P39"/>
    </row>
    <row r="40" spans="3:16" x14ac:dyDescent="0.35">
      <c r="G40" s="130"/>
      <c r="H40" s="130">
        <f>SUM(H37:H39)</f>
        <v>-221541</v>
      </c>
      <c r="I40" s="130"/>
      <c r="J40" s="136" t="s">
        <v>1881</v>
      </c>
      <c r="P40"/>
    </row>
    <row r="41" spans="3:16" x14ac:dyDescent="0.35">
      <c r="C41" s="466" t="s">
        <v>701</v>
      </c>
      <c r="H41" s="990">
        <f>ROUND(L18/M18,5)</f>
        <v>1.0114000000000001</v>
      </c>
      <c r="J41" s="136" t="s">
        <v>1778</v>
      </c>
      <c r="P41"/>
    </row>
    <row r="42" spans="3:16" x14ac:dyDescent="0.35">
      <c r="C42" t="s">
        <v>707</v>
      </c>
      <c r="G42" s="130"/>
      <c r="H42" s="130"/>
      <c r="I42" s="379">
        <f>H40/H41</f>
        <v>-219043.89954518489</v>
      </c>
      <c r="J42" s="136" t="s">
        <v>1882</v>
      </c>
      <c r="P42"/>
    </row>
    <row r="43" spans="3:16" x14ac:dyDescent="0.35">
      <c r="C43" t="s">
        <v>97</v>
      </c>
      <c r="G43" s="130"/>
      <c r="H43" s="130"/>
      <c r="I43" s="130">
        <f>I32-I42</f>
        <v>10938263.899545185</v>
      </c>
      <c r="J43" s="136" t="s">
        <v>1883</v>
      </c>
      <c r="P43"/>
    </row>
    <row r="44" spans="3:16" x14ac:dyDescent="0.35">
      <c r="G44" s="130"/>
      <c r="H44" s="130"/>
      <c r="I44" s="130"/>
      <c r="J44" s="136"/>
      <c r="P44"/>
    </row>
    <row r="45" spans="3:16" x14ac:dyDescent="0.35">
      <c r="C45" t="s">
        <v>708</v>
      </c>
      <c r="I45" s="130">
        <f>M18</f>
        <v>461413998</v>
      </c>
      <c r="J45" s="136" t="s">
        <v>1111</v>
      </c>
      <c r="P45"/>
    </row>
    <row r="46" spans="3:16" ht="15" thickBot="1" x14ac:dyDescent="0.4">
      <c r="I46" s="130"/>
      <c r="J46" s="136"/>
      <c r="P46"/>
    </row>
    <row r="47" spans="3:16" ht="15.5" thickTop="1" thickBot="1" x14ac:dyDescent="0.4">
      <c r="C47" t="s">
        <v>657</v>
      </c>
      <c r="I47" s="991">
        <f>I43+I45</f>
        <v>472352261.89954519</v>
      </c>
      <c r="J47" s="136" t="s">
        <v>1300</v>
      </c>
      <c r="P47"/>
    </row>
    <row r="48" spans="3:16" ht="15" thickTop="1" x14ac:dyDescent="0.35">
      <c r="I48" s="345"/>
      <c r="J48" s="136"/>
      <c r="P48"/>
    </row>
    <row r="49" spans="1:16" x14ac:dyDescent="0.35">
      <c r="C49" s="75" t="s">
        <v>658</v>
      </c>
      <c r="D49" s="75"/>
      <c r="E49" s="75"/>
      <c r="F49" s="75"/>
      <c r="I49" s="964">
        <f>ROUND(I43/I45,8)</f>
        <v>2.3705960000000002E-2</v>
      </c>
      <c r="J49" s="136" t="s">
        <v>1884</v>
      </c>
      <c r="P49"/>
    </row>
    <row r="50" spans="1:16" x14ac:dyDescent="0.35">
      <c r="P50"/>
    </row>
    <row r="51" spans="1:16" x14ac:dyDescent="0.35">
      <c r="P51"/>
    </row>
    <row r="52" spans="1:16" x14ac:dyDescent="0.35">
      <c r="A52" s="858" t="s">
        <v>666</v>
      </c>
      <c r="B52" s="406"/>
      <c r="C52" s="406"/>
      <c r="P52"/>
    </row>
    <row r="53" spans="1:16" ht="15" thickBot="1" x14ac:dyDescent="0.4">
      <c r="A53" s="406"/>
      <c r="B53" s="406"/>
      <c r="C53" s="406"/>
      <c r="P53"/>
    </row>
    <row r="54" spans="1:16" ht="15.5" thickTop="1" thickBot="1" x14ac:dyDescent="0.4">
      <c r="B54" s="41" t="str">
        <f>$A$4</f>
        <v>SC9 Rate II</v>
      </c>
      <c r="C54" s="3"/>
      <c r="D54" s="3"/>
      <c r="E54" s="3"/>
      <c r="F54" s="3"/>
      <c r="G54" s="3"/>
      <c r="H54" s="1316" t="s">
        <v>82</v>
      </c>
      <c r="I54" s="1317"/>
      <c r="J54" s="1318"/>
      <c r="K54" s="3"/>
      <c r="L54" s="1307" t="s">
        <v>81</v>
      </c>
      <c r="M54" s="1308"/>
      <c r="N54" s="1309"/>
    </row>
    <row r="55" spans="1:16" ht="15" thickTop="1" x14ac:dyDescent="0.35">
      <c r="B55" s="3"/>
      <c r="C55" s="3"/>
      <c r="E55" s="30" t="s">
        <v>80</v>
      </c>
      <c r="F55" s="3"/>
      <c r="G55" s="3"/>
      <c r="H55" s="30" t="s">
        <v>42</v>
      </c>
      <c r="I55" s="30"/>
      <c r="J55" s="30" t="s">
        <v>40</v>
      </c>
      <c r="K55" s="3"/>
      <c r="L55" s="30" t="s">
        <v>42</v>
      </c>
      <c r="M55" s="86"/>
      <c r="N55" s="30" t="s">
        <v>40</v>
      </c>
    </row>
    <row r="56" spans="1:16" x14ac:dyDescent="0.35">
      <c r="B56" s="3" t="s">
        <v>656</v>
      </c>
      <c r="C56" s="3"/>
      <c r="D56" s="121" t="str">
        <f>Q6</f>
        <v>D1</v>
      </c>
      <c r="E56" s="122"/>
      <c r="F56" s="121" t="str">
        <f>R6</f>
        <v>8-6</v>
      </c>
      <c r="G56" s="123"/>
      <c r="H56" s="35">
        <f>G11</f>
        <v>8.33</v>
      </c>
      <c r="I56" s="136" t="s">
        <v>165</v>
      </c>
      <c r="J56" s="35">
        <f>G8</f>
        <v>0</v>
      </c>
      <c r="K56" s="3"/>
      <c r="L56" s="27">
        <f>H56-$J$57</f>
        <v>-4.3800000000000008</v>
      </c>
      <c r="M56" s="136" t="s">
        <v>1885</v>
      </c>
      <c r="N56" s="3"/>
    </row>
    <row r="57" spans="1:16" x14ac:dyDescent="0.35">
      <c r="B57" s="3"/>
      <c r="C57" s="3"/>
      <c r="D57" s="121" t="str">
        <f>Q7</f>
        <v>D2</v>
      </c>
      <c r="E57" s="122"/>
      <c r="F57" s="121" t="str">
        <f>R7</f>
        <v>8-10</v>
      </c>
      <c r="G57" s="36"/>
      <c r="H57" s="35">
        <f>G12</f>
        <v>16.79</v>
      </c>
      <c r="I57" s="136" t="s">
        <v>166</v>
      </c>
      <c r="J57" s="35">
        <f>G9</f>
        <v>12.71</v>
      </c>
      <c r="K57" s="136" t="s">
        <v>101</v>
      </c>
      <c r="L57" s="27">
        <f>H57-$J$57</f>
        <v>4.0799999999999983</v>
      </c>
      <c r="M57" s="136" t="s">
        <v>1886</v>
      </c>
      <c r="N57" s="112"/>
      <c r="O57" s="136" t="s">
        <v>1839</v>
      </c>
    </row>
    <row r="58" spans="1:16" x14ac:dyDescent="0.35">
      <c r="B58" s="3"/>
      <c r="C58" s="3"/>
      <c r="D58" s="121" t="str">
        <f>Q8</f>
        <v>D3</v>
      </c>
      <c r="E58" s="122"/>
      <c r="F58" s="121" t="str">
        <f>R8</f>
        <v>All Day</v>
      </c>
      <c r="G58" s="36"/>
      <c r="H58" s="35">
        <f>G13</f>
        <v>15.17</v>
      </c>
      <c r="I58" s="136" t="s">
        <v>138</v>
      </c>
      <c r="J58" s="35">
        <f>G10</f>
        <v>3.83</v>
      </c>
      <c r="K58" s="136" t="s">
        <v>100</v>
      </c>
      <c r="L58" s="27">
        <f>H58-$J$57</f>
        <v>2.4599999999999991</v>
      </c>
      <c r="M58" s="136" t="s">
        <v>1887</v>
      </c>
      <c r="N58" s="27">
        <f>J58-$J$57</f>
        <v>-8.8800000000000008</v>
      </c>
      <c r="O58" s="136" t="s">
        <v>1888</v>
      </c>
    </row>
    <row r="59" spans="1:16" x14ac:dyDescent="0.35">
      <c r="B59" s="3"/>
      <c r="C59" s="3"/>
      <c r="D59" s="2"/>
      <c r="E59" s="122"/>
      <c r="F59" s="122"/>
      <c r="G59" s="36"/>
      <c r="H59" s="120"/>
      <c r="J59" s="120"/>
      <c r="K59" s="3"/>
      <c r="L59" s="27"/>
      <c r="N59" s="61"/>
    </row>
    <row r="60" spans="1:16" ht="15" thickBot="1" x14ac:dyDescent="0.4">
      <c r="K60" s="100" t="s">
        <v>688</v>
      </c>
      <c r="L60" s="906">
        <f>I49</f>
        <v>2.3705960000000002E-2</v>
      </c>
      <c r="M60" s="136" t="s">
        <v>1263</v>
      </c>
    </row>
    <row r="61" spans="1:16" ht="15.5" thickTop="1" thickBot="1" x14ac:dyDescent="0.4">
      <c r="B61" s="119" t="s">
        <v>77</v>
      </c>
      <c r="L61" s="1307" t="s">
        <v>76</v>
      </c>
      <c r="M61" s="1308"/>
      <c r="N61" s="1309"/>
    </row>
    <row r="62" spans="1:16" ht="15.5" thickTop="1" thickBot="1" x14ac:dyDescent="0.4">
      <c r="C62" s="41" t="str">
        <f>B54</f>
        <v>SC9 Rate II</v>
      </c>
      <c r="D62" s="41" t="str">
        <f>$B$56</f>
        <v>(HT &amp; LT)</v>
      </c>
      <c r="H62" s="118" t="s">
        <v>42</v>
      </c>
      <c r="I62" s="118" t="s">
        <v>40</v>
      </c>
      <c r="L62" s="30" t="s">
        <v>42</v>
      </c>
      <c r="M62" s="86"/>
      <c r="N62" s="30" t="s">
        <v>40</v>
      </c>
    </row>
    <row r="63" spans="1:16" x14ac:dyDescent="0.35">
      <c r="C63" s="121" t="str">
        <f>D56</f>
        <v>D1</v>
      </c>
      <c r="D63" s="121" t="str">
        <f>F56</f>
        <v>8-6</v>
      </c>
      <c r="H63" s="117" t="str">
        <f>CONCATENATE("X + ",L63)</f>
        <v>X + -4.48</v>
      </c>
      <c r="I63" s="457"/>
      <c r="L63" s="27">
        <f>ROUND(L56*(1+$L$60),2)</f>
        <v>-4.4800000000000004</v>
      </c>
      <c r="M63" s="136" t="s">
        <v>1889</v>
      </c>
    </row>
    <row r="64" spans="1:16" x14ac:dyDescent="0.35">
      <c r="C64" s="121" t="str">
        <f>D57</f>
        <v>D2</v>
      </c>
      <c r="D64" s="121" t="str">
        <f>F57</f>
        <v>8-10</v>
      </c>
      <c r="H64" s="114" t="str">
        <f>CONCATENATE("X + ",L64)</f>
        <v>X + 4.18</v>
      </c>
      <c r="I64" s="115" t="s">
        <v>32</v>
      </c>
      <c r="L64" s="27">
        <f>ROUND(L57*(1+$L$60),2)</f>
        <v>4.18</v>
      </c>
      <c r="M64" s="136" t="s">
        <v>1890</v>
      </c>
      <c r="N64" s="112"/>
    </row>
    <row r="65" spans="1:21" s="1" customFormat="1" ht="15" thickBot="1" x14ac:dyDescent="0.4">
      <c r="A65"/>
      <c r="C65" s="121" t="str">
        <f>D58</f>
        <v>D3</v>
      </c>
      <c r="D65" s="121" t="str">
        <f>F58</f>
        <v>All Day</v>
      </c>
      <c r="E65"/>
      <c r="F65"/>
      <c r="H65" s="111" t="str">
        <f>CONCATENATE("X + ",L65)</f>
        <v>X + 2.52</v>
      </c>
      <c r="I65" s="110" t="str">
        <f>CONCATENATE("X + ",N65)</f>
        <v>X + -9.09</v>
      </c>
      <c r="J65"/>
      <c r="K65"/>
      <c r="L65" s="27">
        <f>ROUND(L58*(1+$L$60),2)</f>
        <v>2.52</v>
      </c>
      <c r="M65" s="136" t="s">
        <v>1891</v>
      </c>
      <c r="N65" s="27">
        <f>ROUND(N58*(1+$L$60),2)</f>
        <v>-9.09</v>
      </c>
      <c r="O65" s="136" t="s">
        <v>1892</v>
      </c>
      <c r="Q65"/>
      <c r="R65"/>
      <c r="S65"/>
      <c r="T65"/>
      <c r="U65"/>
    </row>
    <row r="66" spans="1:21" s="1" customFormat="1" x14ac:dyDescent="0.35">
      <c r="A66"/>
      <c r="B66"/>
      <c r="C66"/>
      <c r="D66"/>
      <c r="E66"/>
      <c r="F66"/>
      <c r="G66"/>
      <c r="H66"/>
      <c r="I66"/>
      <c r="J66"/>
      <c r="K66"/>
      <c r="L66"/>
      <c r="N66"/>
      <c r="O66"/>
      <c r="Q66"/>
      <c r="R66"/>
      <c r="S66"/>
      <c r="T66"/>
      <c r="U66"/>
    </row>
    <row r="67" spans="1:21" s="1" customForma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Q67"/>
      <c r="R67"/>
      <c r="S67"/>
      <c r="T67"/>
      <c r="U67"/>
    </row>
    <row r="68" spans="1:21" s="1" customFormat="1" x14ac:dyDescent="0.35">
      <c r="A68"/>
      <c r="B68" s="334" t="s">
        <v>70</v>
      </c>
      <c r="C68"/>
      <c r="D68"/>
      <c r="E68"/>
      <c r="F68"/>
      <c r="G68"/>
      <c r="H68"/>
      <c r="I68"/>
      <c r="J68"/>
      <c r="K68"/>
      <c r="L68"/>
      <c r="M68"/>
      <c r="N68"/>
      <c r="O68"/>
      <c r="Q68"/>
      <c r="R68"/>
      <c r="S68"/>
      <c r="T68"/>
      <c r="U68"/>
    </row>
    <row r="69" spans="1:21" s="1" customFormat="1" x14ac:dyDescent="0.35">
      <c r="A69"/>
      <c r="B69" s="41" t="str">
        <f>$A$4</f>
        <v>SC9 Rate II</v>
      </c>
      <c r="C69"/>
      <c r="D69"/>
      <c r="E69"/>
      <c r="F69"/>
      <c r="G69"/>
      <c r="H69"/>
      <c r="I69"/>
      <c r="J69"/>
      <c r="K69"/>
      <c r="L69"/>
      <c r="M69"/>
      <c r="N69"/>
      <c r="O69"/>
      <c r="Q69"/>
      <c r="R69"/>
      <c r="S69"/>
      <c r="T69"/>
      <c r="U69"/>
    </row>
    <row r="70" spans="1:21" s="1" customFormat="1" ht="15" thickBot="1" x14ac:dyDescent="0.4">
      <c r="A70"/>
      <c r="B70" s="70" t="s">
        <v>69</v>
      </c>
      <c r="C70" s="70"/>
      <c r="D70" s="70"/>
      <c r="E70" s="3"/>
      <c r="F70" s="3"/>
      <c r="G70" s="3"/>
      <c r="H70"/>
      <c r="I70" s="69" t="s">
        <v>25</v>
      </c>
      <c r="J70" s="3"/>
      <c r="K70" s="3"/>
      <c r="L70"/>
      <c r="M70"/>
      <c r="N70"/>
      <c r="O70"/>
      <c r="Q70"/>
      <c r="R70"/>
      <c r="S70"/>
      <c r="T70"/>
      <c r="U70"/>
    </row>
    <row r="71" spans="1:21" s="1" customFormat="1" x14ac:dyDescent="0.35">
      <c r="A71"/>
      <c r="B71" s="3"/>
      <c r="C71" s="392" t="str">
        <f>CONCATENATE(D56,": ",F56)</f>
        <v>D1: 8-6</v>
      </c>
      <c r="D71" s="70"/>
      <c r="E71" s="3" t="s">
        <v>42</v>
      </c>
      <c r="F71" s="3"/>
      <c r="I71" s="72">
        <f>S6+S16</f>
        <v>7165810.3800000008</v>
      </c>
      <c r="J71" s="36"/>
      <c r="K71" s="74" t="str">
        <f>CONCATENATE("[",H63,"]")</f>
        <v>[X + -4.48]</v>
      </c>
      <c r="L71" s="61" t="s">
        <v>1560</v>
      </c>
      <c r="M71"/>
      <c r="N71"/>
      <c r="O71"/>
      <c r="Q71"/>
      <c r="R71"/>
      <c r="S71"/>
      <c r="T71"/>
      <c r="U71"/>
    </row>
    <row r="72" spans="1:21" s="1" customFormat="1" x14ac:dyDescent="0.35">
      <c r="A72"/>
      <c r="B72" s="3"/>
      <c r="C72" s="464"/>
      <c r="D72" s="3"/>
      <c r="E72" s="3" t="s">
        <v>40</v>
      </c>
      <c r="F72" s="3"/>
      <c r="I72" s="458">
        <f>S11+S21</f>
        <v>0</v>
      </c>
      <c r="J72" s="36" t="s">
        <v>39</v>
      </c>
      <c r="K72" s="456"/>
      <c r="L72"/>
      <c r="M72"/>
      <c r="N72"/>
      <c r="O72"/>
      <c r="Q72"/>
      <c r="R72"/>
      <c r="S72"/>
      <c r="T72"/>
      <c r="U72"/>
    </row>
    <row r="73" spans="1:21" s="1" customFormat="1" x14ac:dyDescent="0.35">
      <c r="A73"/>
      <c r="B73" s="3"/>
      <c r="C73" s="392" t="str">
        <f>CONCATENATE(D57,": ",F57)</f>
        <v>D2: 8-10</v>
      </c>
      <c r="D73" s="3"/>
      <c r="E73" s="3" t="s">
        <v>42</v>
      </c>
      <c r="F73" s="3"/>
      <c r="I73" s="72">
        <f>S7+S17</f>
        <v>7184081.1699999999</v>
      </c>
      <c r="J73" s="36"/>
      <c r="K73" s="73" t="str">
        <f>CONCATENATE("[",H64,"]")</f>
        <v>[X + 4.18]</v>
      </c>
      <c r="L73" s="61" t="s">
        <v>1557</v>
      </c>
      <c r="M73"/>
      <c r="N73"/>
      <c r="O73"/>
      <c r="Q73"/>
      <c r="R73"/>
      <c r="S73"/>
      <c r="T73"/>
      <c r="U73"/>
    </row>
    <row r="74" spans="1:21" s="1" customFormat="1" x14ac:dyDescent="0.35">
      <c r="A74"/>
      <c r="B74" s="3"/>
      <c r="C74" s="464"/>
      <c r="D74" s="3"/>
      <c r="E74" s="3" t="s">
        <v>40</v>
      </c>
      <c r="F74" s="3"/>
      <c r="H74"/>
      <c r="I74" s="366">
        <f>S12+S22</f>
        <v>12264501.02</v>
      </c>
      <c r="J74" s="36" t="s">
        <v>39</v>
      </c>
      <c r="K74" s="73" t="str">
        <f>CONCATENATE("[",I64,"]")</f>
        <v>[X]</v>
      </c>
      <c r="L74" s="61" t="s">
        <v>1642</v>
      </c>
      <c r="M74"/>
      <c r="N74"/>
      <c r="O74"/>
      <c r="Q74"/>
      <c r="R74"/>
      <c r="S74"/>
      <c r="T74"/>
      <c r="U74"/>
    </row>
    <row r="75" spans="1:21" s="1" customFormat="1" x14ac:dyDescent="0.35">
      <c r="A75"/>
      <c r="B75" s="3"/>
      <c r="C75" s="392" t="str">
        <f>CONCATENATE(D58,": ",F58)</f>
        <v>D3: All Day</v>
      </c>
      <c r="D75" s="3"/>
      <c r="E75" s="3" t="s">
        <v>42</v>
      </c>
      <c r="F75" s="3"/>
      <c r="H75"/>
      <c r="I75" s="72">
        <f>S8+S18</f>
        <v>5777969.3600000003</v>
      </c>
      <c r="J75" s="36" t="s">
        <v>39</v>
      </c>
      <c r="K75" s="73" t="str">
        <f>CONCATENATE("[",H65,"]")</f>
        <v>[X + 2.52]</v>
      </c>
      <c r="L75" s="61" t="s">
        <v>1893</v>
      </c>
      <c r="M75"/>
      <c r="N75"/>
      <c r="O75"/>
      <c r="Q75"/>
      <c r="R75"/>
      <c r="S75"/>
      <c r="T75"/>
      <c r="U75"/>
    </row>
    <row r="76" spans="1:21" s="1" customFormat="1" ht="15" thickBot="1" x14ac:dyDescent="0.4">
      <c r="A76"/>
      <c r="B76" s="3"/>
      <c r="C76" s="410"/>
      <c r="D76" s="3"/>
      <c r="E76" s="3" t="s">
        <v>40</v>
      </c>
      <c r="F76" s="3"/>
      <c r="H76"/>
      <c r="I76" s="553">
        <f>S13+S23</f>
        <v>9822749.1299999971</v>
      </c>
      <c r="J76" s="36" t="s">
        <v>39</v>
      </c>
      <c r="K76" s="71" t="str">
        <f>CONCATENATE("[",I65,"]")</f>
        <v>[X + -9.09]</v>
      </c>
      <c r="L76" s="61" t="s">
        <v>1894</v>
      </c>
      <c r="M76"/>
      <c r="N76"/>
      <c r="O76"/>
      <c r="Q76"/>
      <c r="R76"/>
      <c r="S76"/>
      <c r="T76"/>
      <c r="U76"/>
    </row>
    <row r="77" spans="1:21" s="1" customFormat="1" x14ac:dyDescent="0.35">
      <c r="A77"/>
      <c r="B77" s="3"/>
      <c r="C77" s="3"/>
      <c r="D77" s="3"/>
      <c r="E77" s="3"/>
      <c r="F77" s="3"/>
      <c r="H77"/>
      <c r="I77" s="72">
        <f>SUM(I71:I76)</f>
        <v>42215111.059999995</v>
      </c>
      <c r="J77" s="136" t="s">
        <v>1601</v>
      </c>
      <c r="K77"/>
      <c r="L77"/>
      <c r="M77"/>
      <c r="N77"/>
      <c r="O77"/>
      <c r="Q77"/>
      <c r="R77"/>
      <c r="S77"/>
      <c r="T77"/>
      <c r="U77"/>
    </row>
    <row r="78" spans="1:21" x14ac:dyDescent="0.35">
      <c r="B78" s="70" t="s">
        <v>660</v>
      </c>
    </row>
    <row r="79" spans="1:21" x14ac:dyDescent="0.35">
      <c r="B79" s="41" t="str">
        <f>$A$4</f>
        <v>SC9 Rate II</v>
      </c>
      <c r="C79" s="3" t="s">
        <v>656</v>
      </c>
      <c r="F79" s="3"/>
      <c r="G79" s="3"/>
      <c r="H79" s="3"/>
      <c r="I79" s="69" t="s">
        <v>25</v>
      </c>
      <c r="J79" s="3"/>
      <c r="K79" s="106"/>
      <c r="L79" s="3"/>
      <c r="N79" s="17"/>
    </row>
    <row r="80" spans="1:21" x14ac:dyDescent="0.35">
      <c r="C80" s="3" t="str">
        <f>C71</f>
        <v>D1: 8-6</v>
      </c>
      <c r="D80" s="3" t="str">
        <f t="shared" ref="D80:D85" si="3">E71</f>
        <v>Summer</v>
      </c>
      <c r="F80" s="3"/>
      <c r="G80" s="3"/>
      <c r="H80" s="3"/>
      <c r="I80" s="105">
        <f t="shared" ref="I80:I85" si="4">I71</f>
        <v>7165810.3800000008</v>
      </c>
      <c r="J80" s="65" t="s">
        <v>63</v>
      </c>
      <c r="K80" s="103">
        <f>ROUND(I80*L63,0)</f>
        <v>-32102831</v>
      </c>
      <c r="L80" s="3" t="s">
        <v>62</v>
      </c>
      <c r="M80" s="61" t="s">
        <v>1566</v>
      </c>
      <c r="N80" s="17"/>
    </row>
    <row r="81" spans="1:21" x14ac:dyDescent="0.35">
      <c r="C81" s="3"/>
      <c r="D81" s="3" t="str">
        <f t="shared" si="3"/>
        <v>Winter</v>
      </c>
      <c r="F81" s="3"/>
      <c r="G81" s="3"/>
      <c r="H81" s="3"/>
      <c r="I81" s="105">
        <f t="shared" si="4"/>
        <v>0</v>
      </c>
      <c r="J81" s="65" t="s">
        <v>63</v>
      </c>
      <c r="K81" s="103">
        <f>ROUND(I81*N63,0)</f>
        <v>0</v>
      </c>
      <c r="L81" s="3" t="s">
        <v>62</v>
      </c>
      <c r="M81" s="61"/>
      <c r="N81" s="17"/>
    </row>
    <row r="82" spans="1:21" x14ac:dyDescent="0.35">
      <c r="B82" s="406"/>
      <c r="C82" s="410" t="str">
        <f>C73</f>
        <v>D2: 8-10</v>
      </c>
      <c r="D82" s="3" t="str">
        <f t="shared" si="3"/>
        <v>Summer</v>
      </c>
      <c r="F82" s="3"/>
      <c r="G82" s="3"/>
      <c r="H82" s="3"/>
      <c r="I82" s="105">
        <f t="shared" si="4"/>
        <v>7184081.1699999999</v>
      </c>
      <c r="J82" s="65" t="s">
        <v>63</v>
      </c>
      <c r="K82" s="103">
        <f>ROUND(I82*L64,0)</f>
        <v>30029459</v>
      </c>
      <c r="L82" s="3" t="s">
        <v>62</v>
      </c>
      <c r="M82" s="61" t="s">
        <v>1561</v>
      </c>
      <c r="N82" s="17"/>
    </row>
    <row r="83" spans="1:21" x14ac:dyDescent="0.35">
      <c r="B83" s="406"/>
      <c r="C83" s="410"/>
      <c r="D83" s="3" t="str">
        <f t="shared" si="3"/>
        <v>Winter</v>
      </c>
      <c r="F83" s="3"/>
      <c r="G83" s="3"/>
      <c r="H83" s="3"/>
      <c r="I83" s="105">
        <f t="shared" si="4"/>
        <v>12264501.02</v>
      </c>
      <c r="J83" s="65" t="s">
        <v>63</v>
      </c>
      <c r="K83" s="134">
        <f>ROUND(I83*N64,0)</f>
        <v>0</v>
      </c>
      <c r="L83" s="3" t="s">
        <v>62</v>
      </c>
      <c r="M83" s="61" t="s">
        <v>1828</v>
      </c>
      <c r="N83" s="17"/>
    </row>
    <row r="84" spans="1:21" x14ac:dyDescent="0.35">
      <c r="B84" s="406"/>
      <c r="C84" s="410" t="str">
        <f>C75</f>
        <v>D3: All Day</v>
      </c>
      <c r="D84" s="3" t="str">
        <f t="shared" si="3"/>
        <v>Summer</v>
      </c>
      <c r="F84" s="3"/>
      <c r="G84" s="3"/>
      <c r="H84" s="3"/>
      <c r="I84" s="105">
        <f t="shared" si="4"/>
        <v>5777969.3600000003</v>
      </c>
      <c r="J84" s="65" t="s">
        <v>63</v>
      </c>
      <c r="K84" s="103">
        <f>ROUND(I84*L65,0)</f>
        <v>14560483</v>
      </c>
      <c r="L84" s="3" t="s">
        <v>62</v>
      </c>
      <c r="M84" s="61" t="s">
        <v>1562</v>
      </c>
      <c r="N84" s="17"/>
    </row>
    <row r="85" spans="1:21" x14ac:dyDescent="0.35">
      <c r="B85" s="406"/>
      <c r="C85" s="410"/>
      <c r="D85" s="3" t="str">
        <f t="shared" si="3"/>
        <v>Winter</v>
      </c>
      <c r="F85" s="3"/>
      <c r="G85" s="3"/>
      <c r="H85" s="3"/>
      <c r="I85" s="105">
        <f t="shared" si="4"/>
        <v>9822749.1299999971</v>
      </c>
      <c r="J85" s="104" t="s">
        <v>63</v>
      </c>
      <c r="K85" s="103">
        <f>ROUND(I85*N65,0)</f>
        <v>-89288790</v>
      </c>
      <c r="L85" s="44" t="s">
        <v>62</v>
      </c>
      <c r="M85" s="61" t="s">
        <v>1895</v>
      </c>
      <c r="N85" s="17"/>
    </row>
    <row r="86" spans="1:21" x14ac:dyDescent="0.35">
      <c r="B86" s="406"/>
      <c r="C86" s="410" t="s">
        <v>659</v>
      </c>
      <c r="F86" s="66"/>
      <c r="G86" s="824">
        <f>I47</f>
        <v>472352261.89954519</v>
      </c>
      <c r="H86" s="63" t="s">
        <v>31</v>
      </c>
      <c r="I86" s="28">
        <f>SUM(I80:I85)</f>
        <v>42215111.059999995</v>
      </c>
      <c r="J86" s="65" t="s">
        <v>63</v>
      </c>
      <c r="K86" s="103">
        <f>SUM(K80:K85)</f>
        <v>-76801679</v>
      </c>
      <c r="L86" s="3" t="s">
        <v>1974</v>
      </c>
      <c r="M86" s="61" t="s">
        <v>1724</v>
      </c>
      <c r="N86" s="17"/>
    </row>
    <row r="87" spans="1:21" x14ac:dyDescent="0.35">
      <c r="B87" s="406"/>
      <c r="C87" s="406"/>
      <c r="F87" s="3"/>
      <c r="G87" s="3"/>
      <c r="H87" s="3"/>
      <c r="I87" s="3"/>
      <c r="J87" s="3"/>
      <c r="K87" s="3"/>
      <c r="L87" s="3"/>
      <c r="M87" s="61" t="s">
        <v>1976</v>
      </c>
      <c r="N87" s="17"/>
    </row>
    <row r="88" spans="1:21" x14ac:dyDescent="0.35">
      <c r="B88" s="406"/>
      <c r="C88" s="406"/>
      <c r="F88" s="34"/>
      <c r="G88" s="34">
        <f>G86-K86</f>
        <v>549153940.89954519</v>
      </c>
      <c r="H88" s="63" t="s">
        <v>31</v>
      </c>
      <c r="I88" s="28">
        <f>I86</f>
        <v>42215111.059999995</v>
      </c>
      <c r="J88" s="65" t="s">
        <v>32</v>
      </c>
      <c r="K88" s="3"/>
      <c r="L88" s="3"/>
      <c r="M88" s="61" t="s">
        <v>1977</v>
      </c>
      <c r="N88" s="17"/>
    </row>
    <row r="89" spans="1:21" ht="15" thickBot="1" x14ac:dyDescent="0.4">
      <c r="B89" s="406"/>
      <c r="C89" s="406"/>
      <c r="F89" s="3"/>
      <c r="G89" s="3"/>
      <c r="H89" s="3"/>
      <c r="I89" s="3"/>
      <c r="J89" s="3"/>
      <c r="K89" s="3"/>
      <c r="L89" s="3"/>
      <c r="M89" s="3"/>
      <c r="N89" s="17"/>
    </row>
    <row r="90" spans="1:21" s="1" customFormat="1" ht="15.5" thickTop="1" thickBot="1" x14ac:dyDescent="0.4">
      <c r="A90"/>
      <c r="B90" s="406"/>
      <c r="C90" s="406"/>
      <c r="D90"/>
      <c r="E90"/>
      <c r="F90" s="64"/>
      <c r="G90" s="64" t="s">
        <v>32</v>
      </c>
      <c r="H90" s="63" t="s">
        <v>31</v>
      </c>
      <c r="I90" s="102">
        <f>ROUND(G88/I88,2)</f>
        <v>13.01</v>
      </c>
      <c r="J90" s="198" t="s">
        <v>1975</v>
      </c>
      <c r="K90" s="3"/>
      <c r="L90" s="3"/>
      <c r="M90" s="61" t="s">
        <v>1978</v>
      </c>
      <c r="N90" s="17"/>
      <c r="O90"/>
      <c r="Q90"/>
      <c r="R90"/>
      <c r="S90"/>
      <c r="T90"/>
      <c r="U90"/>
    </row>
    <row r="91" spans="1:21" ht="15" thickTop="1" x14ac:dyDescent="0.35">
      <c r="B91" s="406"/>
      <c r="C91" s="406"/>
      <c r="P91"/>
    </row>
    <row r="92" spans="1:21" s="1" customFormat="1" x14ac:dyDescent="0.35">
      <c r="A92"/>
      <c r="B92" s="334" t="str">
        <f>CONCATENATE($A$4," at Proposed Demand Rates")</f>
        <v>SC9 Rate II at Proposed Demand Rates</v>
      </c>
      <c r="C92" s="406"/>
      <c r="D92"/>
      <c r="E92"/>
      <c r="F92"/>
      <c r="G92"/>
      <c r="H92"/>
      <c r="I92"/>
      <c r="J92"/>
      <c r="K92"/>
      <c r="L92"/>
      <c r="M92"/>
      <c r="N92"/>
      <c r="O92"/>
      <c r="Q92"/>
      <c r="R92"/>
      <c r="S92"/>
      <c r="T92"/>
      <c r="U92"/>
    </row>
    <row r="93" spans="1:21" s="1" customFormat="1" x14ac:dyDescent="0.35">
      <c r="A93"/>
      <c r="B93" s="464"/>
      <c r="C93" s="410" t="s">
        <v>5</v>
      </c>
      <c r="D93" s="1319">
        <f>$L$4</f>
        <v>2020</v>
      </c>
      <c r="E93" s="1319"/>
      <c r="F93" s="1319"/>
      <c r="G93" s="3"/>
      <c r="H93" s="3"/>
      <c r="I93" s="3"/>
      <c r="J93" s="3"/>
      <c r="K93" s="3"/>
      <c r="L93" s="3"/>
      <c r="M93" s="3"/>
      <c r="Q93"/>
      <c r="R93"/>
      <c r="S93"/>
      <c r="T93"/>
      <c r="U93"/>
    </row>
    <row r="94" spans="1:21" s="1" customFormat="1" ht="15" thickBot="1" x14ac:dyDescent="0.4">
      <c r="A94"/>
      <c r="B9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/>
      <c r="Q94"/>
      <c r="R94"/>
      <c r="S94"/>
      <c r="T94"/>
      <c r="U94"/>
    </row>
    <row r="95" spans="1:21" s="1" customFormat="1" ht="15" thickBot="1" x14ac:dyDescent="0.4">
      <c r="A95"/>
      <c r="B95"/>
      <c r="C95" s="60"/>
      <c r="D95" s="59"/>
      <c r="E95" s="59"/>
      <c r="F95" s="59"/>
      <c r="G95" s="59"/>
      <c r="H95" s="59"/>
      <c r="I95" s="59"/>
      <c r="J95" s="59"/>
      <c r="K95" s="59"/>
      <c r="L95" s="98"/>
      <c r="M95" s="3"/>
      <c r="N95" s="1349" t="s">
        <v>661</v>
      </c>
      <c r="O95" s="1349"/>
      <c r="P95" s="1349"/>
      <c r="Q95" s="1349"/>
      <c r="R95"/>
      <c r="S95"/>
      <c r="T95"/>
      <c r="U95"/>
    </row>
    <row r="96" spans="1:21" s="1" customFormat="1" ht="15.5" thickTop="1" thickBot="1" x14ac:dyDescent="0.4">
      <c r="A96"/>
      <c r="B96"/>
      <c r="C96" s="461" t="str">
        <f>$A$4</f>
        <v>SC9 Rate II</v>
      </c>
      <c r="D96" s="44"/>
      <c r="E96" s="44"/>
      <c r="F96" s="44"/>
      <c r="G96" s="44"/>
      <c r="H96" s="1313" t="s">
        <v>58</v>
      </c>
      <c r="I96" s="1314"/>
      <c r="J96" s="1315"/>
      <c r="K96" s="44"/>
      <c r="L96" s="94"/>
      <c r="N96" s="1349" t="s">
        <v>57</v>
      </c>
      <c r="O96" s="1349"/>
      <c r="P96" s="1349"/>
      <c r="Q96" s="1349"/>
      <c r="R96"/>
      <c r="S96"/>
      <c r="T96"/>
      <c r="U96"/>
    </row>
    <row r="97" spans="1:21" s="1" customFormat="1" ht="15" thickTop="1" x14ac:dyDescent="0.35">
      <c r="A97" s="406"/>
      <c r="B97" s="406"/>
      <c r="C97" s="96" t="str">
        <f>$B$56</f>
        <v>(HT &amp; LT)</v>
      </c>
      <c r="D97" s="44"/>
      <c r="E97" s="44"/>
      <c r="F97" s="44"/>
      <c r="G97" s="44"/>
      <c r="H97" s="56" t="s">
        <v>10</v>
      </c>
      <c r="I97" s="44"/>
      <c r="J97" s="56" t="s">
        <v>7</v>
      </c>
      <c r="K97" s="44"/>
      <c r="L97" s="94"/>
      <c r="N97" s="36" t="s">
        <v>10</v>
      </c>
      <c r="P97" s="36" t="s">
        <v>7</v>
      </c>
      <c r="Q97"/>
      <c r="R97"/>
      <c r="S97"/>
      <c r="T97"/>
      <c r="U97"/>
    </row>
    <row r="98" spans="1:21" x14ac:dyDescent="0.35">
      <c r="A98" s="406"/>
      <c r="B98" s="406"/>
      <c r="C98" s="96"/>
      <c r="D98" s="56" t="str">
        <f>$C$63</f>
        <v>D1</v>
      </c>
      <c r="E98" s="56"/>
      <c r="F98" s="56" t="str">
        <f>$D$63</f>
        <v>8-6</v>
      </c>
      <c r="G98" s="44"/>
      <c r="H98" s="97">
        <f>$J$99+L63</f>
        <v>8.5299999999999994</v>
      </c>
      <c r="I98" s="54" t="s">
        <v>1896</v>
      </c>
      <c r="J98" s="459"/>
      <c r="K98" s="54"/>
      <c r="L98" s="94"/>
      <c r="N98" s="460">
        <f>H98/H56-1</f>
        <v>2.4009603841536498E-2</v>
      </c>
      <c r="O98" s="54" t="s">
        <v>1901</v>
      </c>
      <c r="P98" s="460"/>
    </row>
    <row r="99" spans="1:21" x14ac:dyDescent="0.35">
      <c r="A99" s="406"/>
      <c r="B99" s="406"/>
      <c r="C99" s="96"/>
      <c r="D99" s="56" t="str">
        <f>$C$64</f>
        <v>D2</v>
      </c>
      <c r="E99" s="56"/>
      <c r="F99" s="56" t="str">
        <f>$D$64</f>
        <v>8-10</v>
      </c>
      <c r="G99" s="44"/>
      <c r="H99" s="97">
        <f>$J$99+L64</f>
        <v>17.189999999999998</v>
      </c>
      <c r="I99" s="54" t="s">
        <v>1897</v>
      </c>
      <c r="J99" s="95">
        <f>I90</f>
        <v>13.01</v>
      </c>
      <c r="K99" s="54" t="s">
        <v>1899</v>
      </c>
      <c r="L99" s="94"/>
      <c r="N99" s="460">
        <f>H99/H57-1</f>
        <v>2.3823704586062977E-2</v>
      </c>
      <c r="O99" s="54" t="s">
        <v>1902</v>
      </c>
      <c r="P99" s="460">
        <f>J99/J57-1</f>
        <v>2.3603461841069873E-2</v>
      </c>
      <c r="Q99" s="54" t="s">
        <v>1904</v>
      </c>
    </row>
    <row r="100" spans="1:21" x14ac:dyDescent="0.35">
      <c r="A100" s="406"/>
      <c r="B100" s="406"/>
      <c r="C100" s="96"/>
      <c r="D100" s="56" t="str">
        <f>$C$65</f>
        <v>D3</v>
      </c>
      <c r="E100" s="56"/>
      <c r="F100" s="56" t="str">
        <f>$D$65</f>
        <v>All Day</v>
      </c>
      <c r="G100" s="44"/>
      <c r="H100" s="97">
        <f>$J$99+L65</f>
        <v>15.53</v>
      </c>
      <c r="I100" s="54" t="s">
        <v>1898</v>
      </c>
      <c r="J100" s="97">
        <f>$J$99+N65</f>
        <v>3.92</v>
      </c>
      <c r="K100" s="54" t="s">
        <v>1900</v>
      </c>
      <c r="L100" s="94"/>
      <c r="N100" s="460">
        <f>H100/H58-1</f>
        <v>2.3731048121292009E-2</v>
      </c>
      <c r="O100" s="54" t="s">
        <v>1903</v>
      </c>
      <c r="P100" s="460">
        <f>J100/J58-1</f>
        <v>2.3498694516971286E-2</v>
      </c>
      <c r="Q100" s="54" t="s">
        <v>1905</v>
      </c>
    </row>
    <row r="101" spans="1:21" ht="15" thickBot="1" x14ac:dyDescent="0.4">
      <c r="A101" s="406"/>
      <c r="B101" s="406"/>
      <c r="C101" s="93"/>
      <c r="D101" s="46"/>
      <c r="E101" s="46"/>
      <c r="F101" s="46"/>
      <c r="G101" s="46"/>
      <c r="H101" s="46"/>
      <c r="I101" s="92"/>
      <c r="J101" s="46"/>
      <c r="K101" s="92"/>
      <c r="L101" s="91"/>
      <c r="M101" s="17"/>
    </row>
    <row r="102" spans="1:21" ht="15" thickBot="1" x14ac:dyDescent="0.4">
      <c r="A102" s="406"/>
      <c r="B102" s="406"/>
      <c r="D102" s="1152" t="s">
        <v>1174</v>
      </c>
      <c r="E102" s="1153"/>
      <c r="F102" s="1153"/>
      <c r="G102" s="1153"/>
      <c r="H102" s="1163">
        <f>H24</f>
        <v>143.09</v>
      </c>
      <c r="I102" s="1155" t="s">
        <v>2241</v>
      </c>
      <c r="J102" s="1163">
        <f>H102</f>
        <v>143.09</v>
      </c>
      <c r="K102" s="1155" t="s">
        <v>2242</v>
      </c>
      <c r="L102" s="1154"/>
    </row>
    <row r="103" spans="1:21" x14ac:dyDescent="0.35">
      <c r="A103" s="406"/>
      <c r="B103" s="406"/>
    </row>
    <row r="104" spans="1:21" x14ac:dyDescent="0.35">
      <c r="A104" s="858" t="s">
        <v>665</v>
      </c>
      <c r="B104" s="410"/>
      <c r="C104" s="3"/>
      <c r="D104" s="3"/>
      <c r="E104" s="3"/>
      <c r="F104" s="3"/>
      <c r="G104" s="3"/>
      <c r="H104" s="3"/>
      <c r="I104" s="3"/>
    </row>
    <row r="105" spans="1:21" x14ac:dyDescent="0.35">
      <c r="A105" s="858"/>
      <c r="B105" s="410"/>
      <c r="C105" s="3"/>
      <c r="D105" s="3"/>
      <c r="E105" s="3"/>
      <c r="F105" s="3"/>
      <c r="G105" s="3"/>
      <c r="H105" s="3"/>
      <c r="I105" s="3"/>
    </row>
    <row r="106" spans="1:21" x14ac:dyDescent="0.35">
      <c r="A106" s="334"/>
      <c r="B106" s="334" t="s">
        <v>664</v>
      </c>
      <c r="C106" s="3"/>
      <c r="D106" s="3"/>
      <c r="E106" s="3"/>
      <c r="F106" s="3"/>
      <c r="G106" s="3"/>
      <c r="H106" s="3"/>
      <c r="I106" s="3"/>
    </row>
    <row r="107" spans="1:21" x14ac:dyDescent="0.35">
      <c r="A107" s="42"/>
      <c r="B107" s="41" t="str">
        <f>$A$4</f>
        <v>SC9 Rate II</v>
      </c>
      <c r="C107" s="133" t="s">
        <v>669</v>
      </c>
      <c r="D107" s="133"/>
      <c r="E107" s="133"/>
      <c r="F107" s="133"/>
    </row>
    <row r="108" spans="1:21" x14ac:dyDescent="0.35">
      <c r="A108" s="42"/>
      <c r="B108" s="41"/>
      <c r="C108" t="s">
        <v>670</v>
      </c>
      <c r="I108" s="819">
        <f>M19</f>
        <v>0</v>
      </c>
      <c r="J108" s="54" t="s">
        <v>50</v>
      </c>
    </row>
    <row r="109" spans="1:21" ht="15" thickBot="1" x14ac:dyDescent="0.4">
      <c r="A109" s="42"/>
      <c r="B109" s="41"/>
      <c r="C109" t="s">
        <v>671</v>
      </c>
      <c r="I109" s="819">
        <f>M20</f>
        <v>70292295</v>
      </c>
      <c r="J109" s="54" t="s">
        <v>49</v>
      </c>
    </row>
    <row r="110" spans="1:21" ht="15.5" thickTop="1" thickBot="1" x14ac:dyDescent="0.4">
      <c r="A110" s="42"/>
      <c r="B110" s="41"/>
      <c r="C110" t="s">
        <v>672</v>
      </c>
      <c r="I110" s="128">
        <f>I108+I109</f>
        <v>70292295</v>
      </c>
      <c r="J110" s="54" t="s">
        <v>1906</v>
      </c>
    </row>
    <row r="111" spans="1:21" ht="15" thickTop="1" x14ac:dyDescent="0.35">
      <c r="A111" s="42"/>
      <c r="B111" s="41"/>
      <c r="I111" s="345"/>
    </row>
    <row r="112" spans="1:21" x14ac:dyDescent="0.35">
      <c r="A112" s="42"/>
      <c r="B112" s="41"/>
      <c r="C112" s="75" t="s">
        <v>681</v>
      </c>
      <c r="D112" s="75"/>
      <c r="E112" s="75"/>
      <c r="F112" s="75"/>
      <c r="I112" s="637">
        <f>ROUND(I108/I109,8)</f>
        <v>0</v>
      </c>
      <c r="J112" s="54" t="s">
        <v>1907</v>
      </c>
    </row>
    <row r="113" spans="1:17" x14ac:dyDescent="0.35">
      <c r="A113" s="334"/>
      <c r="B113" s="41"/>
      <c r="C113" s="3"/>
      <c r="D113" s="3"/>
      <c r="E113" s="3"/>
      <c r="F113" s="3"/>
      <c r="G113" s="3"/>
      <c r="H113" s="3"/>
      <c r="I113" s="3"/>
    </row>
    <row r="114" spans="1:17" x14ac:dyDescent="0.35">
      <c r="A114" s="407" t="s">
        <v>682</v>
      </c>
      <c r="P114"/>
    </row>
    <row r="115" spans="1:17" ht="15" thickBot="1" x14ac:dyDescent="0.4">
      <c r="A115" s="406"/>
      <c r="Q115" s="1"/>
    </row>
    <row r="116" spans="1:17" ht="15.5" thickTop="1" thickBot="1" x14ac:dyDescent="0.4">
      <c r="A116" s="406"/>
      <c r="B116" s="41" t="str">
        <f>$A$4</f>
        <v>SC9 Rate II</v>
      </c>
      <c r="C116" s="3"/>
      <c r="D116" s="3"/>
      <c r="E116" s="3"/>
      <c r="F116" s="3"/>
      <c r="G116" s="3"/>
      <c r="H116" s="1316" t="s">
        <v>680</v>
      </c>
      <c r="I116" s="1317"/>
      <c r="J116" s="1318"/>
      <c r="K116" s="3"/>
      <c r="L116" s="1307" t="s">
        <v>81</v>
      </c>
      <c r="M116" s="1308"/>
      <c r="N116" s="1309"/>
      <c r="P116"/>
    </row>
    <row r="117" spans="1:17" ht="15" thickTop="1" x14ac:dyDescent="0.35">
      <c r="A117" s="406"/>
      <c r="B117" s="3"/>
      <c r="C117" s="3"/>
      <c r="E117" s="30" t="s">
        <v>80</v>
      </c>
      <c r="F117" s="3"/>
      <c r="G117" s="3"/>
      <c r="H117" s="30" t="s">
        <v>42</v>
      </c>
      <c r="I117" s="30"/>
      <c r="J117" s="30" t="s">
        <v>40</v>
      </c>
      <c r="K117" s="3"/>
      <c r="L117" s="30" t="s">
        <v>42</v>
      </c>
      <c r="M117" s="86"/>
      <c r="N117" s="30" t="s">
        <v>40</v>
      </c>
      <c r="P117"/>
    </row>
    <row r="118" spans="1:17" x14ac:dyDescent="0.35">
      <c r="A118" s="406"/>
      <c r="E118" s="123"/>
      <c r="F118" s="121" t="s">
        <v>1393</v>
      </c>
      <c r="G118" s="123"/>
      <c r="H118" s="348">
        <f>G14</f>
        <v>7.9000000000000008E-3</v>
      </c>
      <c r="I118" s="54" t="s">
        <v>53</v>
      </c>
      <c r="J118" s="348">
        <f>G16</f>
        <v>7.9000000000000008E-3</v>
      </c>
      <c r="K118" s="54" t="s">
        <v>30</v>
      </c>
      <c r="L118" s="27">
        <f>H118-$J$119</f>
        <v>0</v>
      </c>
      <c r="M118" s="54" t="s">
        <v>1908</v>
      </c>
      <c r="N118" s="27">
        <f>J118-$J$119</f>
        <v>0</v>
      </c>
      <c r="O118" s="61" t="s">
        <v>1910</v>
      </c>
      <c r="P118"/>
    </row>
    <row r="119" spans="1:17" x14ac:dyDescent="0.35">
      <c r="A119" s="406"/>
      <c r="B119" s="3"/>
      <c r="C119" s="3"/>
      <c r="D119" s="3"/>
      <c r="E119" s="123"/>
      <c r="F119" s="121" t="s">
        <v>445</v>
      </c>
      <c r="G119" s="36"/>
      <c r="H119" s="348">
        <f>G15</f>
        <v>7.9000000000000008E-3</v>
      </c>
      <c r="I119" s="54" t="s">
        <v>1127</v>
      </c>
      <c r="J119" s="348">
        <f>G17</f>
        <v>7.9000000000000008E-3</v>
      </c>
      <c r="K119" s="54" t="s">
        <v>1790</v>
      </c>
      <c r="L119" s="27">
        <f>H119-$J$119</f>
        <v>0</v>
      </c>
      <c r="M119" s="61" t="s">
        <v>1909</v>
      </c>
      <c r="N119" s="112"/>
      <c r="O119" s="61" t="s">
        <v>1911</v>
      </c>
      <c r="P119"/>
    </row>
    <row r="120" spans="1:17" x14ac:dyDescent="0.35">
      <c r="A120" s="406"/>
      <c r="B120" s="3"/>
      <c r="C120" s="3"/>
      <c r="D120" s="3"/>
      <c r="E120" s="3"/>
      <c r="F120" s="3"/>
      <c r="G120" s="36"/>
      <c r="P120"/>
    </row>
    <row r="121" spans="1:17" x14ac:dyDescent="0.35">
      <c r="B121" s="3"/>
      <c r="E121" s="123"/>
      <c r="F121" s="123"/>
      <c r="G121" s="36"/>
      <c r="I121" s="120"/>
      <c r="J121" s="120"/>
      <c r="K121" s="3"/>
      <c r="L121" s="27"/>
      <c r="M121" s="61"/>
      <c r="N121" s="61"/>
      <c r="P121"/>
    </row>
    <row r="122" spans="1:17" ht="15" thickBot="1" x14ac:dyDescent="0.4">
      <c r="K122" s="100" t="s">
        <v>683</v>
      </c>
      <c r="L122" s="906">
        <f>I112</f>
        <v>0</v>
      </c>
      <c r="M122" s="54" t="s">
        <v>47</v>
      </c>
      <c r="P122"/>
    </row>
    <row r="123" spans="1:17" ht="15.5" thickTop="1" thickBot="1" x14ac:dyDescent="0.4">
      <c r="D123" s="1"/>
      <c r="E123" s="1"/>
      <c r="F123" s="1"/>
      <c r="L123" s="1307" t="s">
        <v>76</v>
      </c>
      <c r="M123" s="1308"/>
      <c r="N123" s="1309"/>
      <c r="P123"/>
    </row>
    <row r="124" spans="1:17" ht="15.5" thickTop="1" thickBot="1" x14ac:dyDescent="0.4">
      <c r="C124" s="70" t="s">
        <v>77</v>
      </c>
      <c r="D124" s="1"/>
      <c r="E124" s="1"/>
      <c r="F124" s="1"/>
      <c r="G124" s="118" t="s">
        <v>42</v>
      </c>
      <c r="H124" s="118" t="s">
        <v>40</v>
      </c>
      <c r="L124" s="30" t="s">
        <v>42</v>
      </c>
      <c r="M124" s="86"/>
      <c r="N124" s="30" t="s">
        <v>40</v>
      </c>
      <c r="P124"/>
    </row>
    <row r="125" spans="1:17" x14ac:dyDescent="0.35">
      <c r="D125" s="121"/>
      <c r="E125" s="122"/>
      <c r="F125" s="121" t="str">
        <f>F118</f>
        <v>On Peak</v>
      </c>
      <c r="G125" s="117" t="str">
        <f>CONCATENATE("X + ",L125)</f>
        <v>X + 0</v>
      </c>
      <c r="H125" s="116" t="str">
        <f>CONCATENATE("X + ",N125)</f>
        <v>X + 0</v>
      </c>
      <c r="L125" s="907">
        <f>ROUND(L118*(1+$L$122),4)</f>
        <v>0</v>
      </c>
      <c r="M125" s="61" t="s">
        <v>1914</v>
      </c>
      <c r="N125" s="223">
        <f>ROUND(N118*(1+$L$122),4)</f>
        <v>0</v>
      </c>
      <c r="O125" s="61" t="s">
        <v>1912</v>
      </c>
      <c r="P125"/>
    </row>
    <row r="126" spans="1:17" ht="15" thickBot="1" x14ac:dyDescent="0.4">
      <c r="C126" s="3"/>
      <c r="D126" s="2"/>
      <c r="E126" s="122"/>
      <c r="F126" s="121" t="str">
        <f>F119</f>
        <v>Off Peak</v>
      </c>
      <c r="G126" s="111" t="str">
        <f>CONCATENATE("X + ",L126)</f>
        <v>X + 0</v>
      </c>
      <c r="H126" s="350" t="s">
        <v>32</v>
      </c>
      <c r="L126" s="223">
        <f>ROUND(L119*(1+$L$122),4)</f>
        <v>0</v>
      </c>
      <c r="M126" s="61" t="s">
        <v>1915</v>
      </c>
      <c r="N126" s="223">
        <f>ROUND(N119*(1+$L$122),4)</f>
        <v>0</v>
      </c>
      <c r="O126" s="61" t="s">
        <v>1913</v>
      </c>
      <c r="P126"/>
    </row>
    <row r="127" spans="1:17" x14ac:dyDescent="0.35">
      <c r="D127" s="1"/>
      <c r="E127" s="1"/>
      <c r="F127" s="1"/>
      <c r="P127"/>
    </row>
    <row r="128" spans="1:17" x14ac:dyDescent="0.35">
      <c r="D128" s="1"/>
      <c r="E128" s="1"/>
      <c r="F128" s="1"/>
      <c r="P128"/>
    </row>
    <row r="129" spans="2:17" x14ac:dyDescent="0.35">
      <c r="B129" s="334" t="s">
        <v>46</v>
      </c>
      <c r="P129"/>
    </row>
    <row r="130" spans="2:17" x14ac:dyDescent="0.35">
      <c r="B130" s="41" t="str">
        <f>$A$4</f>
        <v>SC9 Rate II</v>
      </c>
      <c r="P130"/>
    </row>
    <row r="131" spans="2:17" ht="15" thickBot="1" x14ac:dyDescent="0.4">
      <c r="B131" s="70" t="s">
        <v>414</v>
      </c>
      <c r="C131" s="70"/>
      <c r="D131" s="70"/>
      <c r="E131" s="3"/>
      <c r="F131" s="3"/>
      <c r="I131" s="69" t="s">
        <v>44</v>
      </c>
      <c r="J131" s="3"/>
      <c r="K131" s="3"/>
      <c r="P131"/>
    </row>
    <row r="132" spans="2:17" x14ac:dyDescent="0.35">
      <c r="B132" s="3"/>
      <c r="C132" s="3" t="s">
        <v>42</v>
      </c>
      <c r="D132" s="108" t="str">
        <f>CONCATENATE(D118,E118,F118," kWh")</f>
        <v>On Peak kWh</v>
      </c>
      <c r="I132" s="72">
        <f>U6+U16</f>
        <v>1606327306.5376453</v>
      </c>
      <c r="J132" s="36" t="s">
        <v>39</v>
      </c>
      <c r="K132" s="74" t="str">
        <f>CONCATENATE("[",G125,"]")</f>
        <v>[X + 0]</v>
      </c>
      <c r="L132" s="61" t="s">
        <v>1917</v>
      </c>
      <c r="P132"/>
    </row>
    <row r="133" spans="2:17" x14ac:dyDescent="0.35">
      <c r="B133" s="3"/>
      <c r="C133" s="3" t="s">
        <v>42</v>
      </c>
      <c r="D133" s="108" t="str">
        <f>CONCATENATE(D119,E119,F119," kWh")</f>
        <v>Off Peak kWh</v>
      </c>
      <c r="I133" s="72">
        <f>U7+U17</f>
        <v>1600493542.4623547</v>
      </c>
      <c r="J133" s="36" t="s">
        <v>39</v>
      </c>
      <c r="K133" s="107" t="str">
        <f>CONCATENATE("[",G126,"]")</f>
        <v>[X + 0]</v>
      </c>
      <c r="L133" s="61" t="s">
        <v>1918</v>
      </c>
      <c r="P133"/>
    </row>
    <row r="134" spans="2:17" x14ac:dyDescent="0.35">
      <c r="B134" s="3"/>
      <c r="C134" s="3" t="s">
        <v>40</v>
      </c>
      <c r="D134" s="3" t="str">
        <f>D132</f>
        <v>On Peak kWh</v>
      </c>
      <c r="I134" s="72">
        <f>U11+U21</f>
        <v>2804164428.0405364</v>
      </c>
      <c r="J134" s="36" t="s">
        <v>39</v>
      </c>
      <c r="K134" s="73" t="str">
        <f>CONCATENATE("[",H125,"]")</f>
        <v>[X + 0]</v>
      </c>
      <c r="L134" s="61" t="s">
        <v>1919</v>
      </c>
      <c r="P134"/>
    </row>
    <row r="135" spans="2:17" ht="15" thickBot="1" x14ac:dyDescent="0.4">
      <c r="B135" s="3"/>
      <c r="C135" s="3" t="s">
        <v>40</v>
      </c>
      <c r="D135" s="3" t="str">
        <f>D133</f>
        <v>Off Peak kWh</v>
      </c>
      <c r="I135" s="67">
        <f>U12+U22</f>
        <v>2886773583.9594636</v>
      </c>
      <c r="J135" s="36" t="s">
        <v>39</v>
      </c>
      <c r="K135" s="71" t="str">
        <f>CONCATENATE("[",H126,"]")</f>
        <v>[X]</v>
      </c>
      <c r="L135" s="61" t="s">
        <v>1920</v>
      </c>
      <c r="P135"/>
    </row>
    <row r="136" spans="2:17" x14ac:dyDescent="0.35">
      <c r="I136" s="366">
        <f>SUM(I132:I135)</f>
        <v>8897758861</v>
      </c>
      <c r="J136" s="61" t="s">
        <v>1141</v>
      </c>
      <c r="Q136" s="1"/>
    </row>
    <row r="137" spans="2:17" x14ac:dyDescent="0.35">
      <c r="Q137" s="1"/>
    </row>
    <row r="138" spans="2:17" x14ac:dyDescent="0.35">
      <c r="B138" s="70" t="s">
        <v>472</v>
      </c>
      <c r="P138"/>
    </row>
    <row r="139" spans="2:17" x14ac:dyDescent="0.35">
      <c r="B139" s="41" t="str">
        <f>$A$4</f>
        <v>SC9 Rate II</v>
      </c>
      <c r="F139" s="3"/>
      <c r="G139" s="3"/>
      <c r="H139" s="3"/>
      <c r="I139" s="69" t="s">
        <v>44</v>
      </c>
      <c r="J139" s="3"/>
      <c r="L139" s="3"/>
      <c r="M139" s="3"/>
      <c r="N139" s="17"/>
      <c r="P139"/>
    </row>
    <row r="140" spans="2:17" x14ac:dyDescent="0.35">
      <c r="C140" s="3" t="s">
        <v>42</v>
      </c>
      <c r="D140" s="392" t="str">
        <f>D132</f>
        <v>On Peak kWh</v>
      </c>
      <c r="H140" s="3"/>
      <c r="I140" s="105">
        <f>I132</f>
        <v>1606327306.5376453</v>
      </c>
      <c r="J140" s="65" t="s">
        <v>63</v>
      </c>
      <c r="K140" s="26">
        <f>ROUND(I140*L125,0)</f>
        <v>0</v>
      </c>
      <c r="L140" s="3" t="s">
        <v>62</v>
      </c>
      <c r="M140" s="61" t="s">
        <v>1921</v>
      </c>
      <c r="N140" s="17"/>
      <c r="P140"/>
    </row>
    <row r="141" spans="2:17" x14ac:dyDescent="0.35">
      <c r="B141" s="406"/>
      <c r="C141" s="3" t="s">
        <v>42</v>
      </c>
      <c r="D141" s="392" t="str">
        <f>D133</f>
        <v>Off Peak kWh</v>
      </c>
      <c r="H141" s="3"/>
      <c r="I141" s="105">
        <f>I133</f>
        <v>1600493542.4623547</v>
      </c>
      <c r="J141" s="65" t="s">
        <v>63</v>
      </c>
      <c r="K141" s="26">
        <f>ROUND(I141*L126,0)</f>
        <v>0</v>
      </c>
      <c r="L141" s="3" t="s">
        <v>62</v>
      </c>
      <c r="M141" s="61" t="s">
        <v>1922</v>
      </c>
      <c r="N141" s="17"/>
      <c r="P141"/>
    </row>
    <row r="142" spans="2:17" x14ac:dyDescent="0.35">
      <c r="B142" s="406"/>
      <c r="C142" s="3" t="s">
        <v>40</v>
      </c>
      <c r="D142" s="392" t="str">
        <f>D134</f>
        <v>On Peak kWh</v>
      </c>
      <c r="H142" s="3"/>
      <c r="I142" s="105">
        <f>I134</f>
        <v>2804164428.0405364</v>
      </c>
      <c r="J142" s="65" t="s">
        <v>63</v>
      </c>
      <c r="K142" s="26">
        <f>ROUND(I142*N125,0)</f>
        <v>0</v>
      </c>
      <c r="L142" s="3" t="s">
        <v>62</v>
      </c>
      <c r="M142" s="61" t="s">
        <v>1923</v>
      </c>
      <c r="N142" s="17"/>
      <c r="P142"/>
    </row>
    <row r="143" spans="2:17" x14ac:dyDescent="0.35">
      <c r="B143" s="406"/>
      <c r="C143" s="3" t="s">
        <v>40</v>
      </c>
      <c r="D143" s="392" t="str">
        <f>D135</f>
        <v>Off Peak kWh</v>
      </c>
      <c r="H143" s="3"/>
      <c r="I143" s="351">
        <f>I135</f>
        <v>2886773583.9594636</v>
      </c>
      <c r="J143" s="65" t="s">
        <v>63</v>
      </c>
      <c r="K143" s="37">
        <f>ROUND(I143*N126,0)</f>
        <v>0</v>
      </c>
      <c r="L143" s="3" t="s">
        <v>62</v>
      </c>
      <c r="M143" s="61" t="s">
        <v>1924</v>
      </c>
      <c r="N143" s="17"/>
      <c r="P143"/>
    </row>
    <row r="144" spans="2:17" x14ac:dyDescent="0.35">
      <c r="B144" s="406"/>
      <c r="C144" s="3"/>
      <c r="F144" s="66"/>
      <c r="G144" s="908">
        <f>I110</f>
        <v>70292295</v>
      </c>
      <c r="H144" s="63" t="s">
        <v>31</v>
      </c>
      <c r="I144" s="28">
        <f>SUM(I140:I143)</f>
        <v>8897758861</v>
      </c>
      <c r="J144" s="65" t="s">
        <v>63</v>
      </c>
      <c r="K144" s="103">
        <f>SUM(K140:K143)</f>
        <v>0</v>
      </c>
      <c r="L144" s="3" t="s">
        <v>1926</v>
      </c>
      <c r="M144" s="61" t="s">
        <v>1925</v>
      </c>
      <c r="N144" s="17"/>
      <c r="P144"/>
    </row>
    <row r="145" spans="1:16" x14ac:dyDescent="0.35">
      <c r="B145" s="406"/>
      <c r="F145" s="3"/>
      <c r="G145" s="3"/>
      <c r="H145" s="3"/>
      <c r="I145" s="3"/>
      <c r="J145" s="3"/>
      <c r="K145" s="3"/>
      <c r="L145" s="3"/>
      <c r="M145" s="61" t="s">
        <v>1989</v>
      </c>
      <c r="N145" s="17"/>
      <c r="P145"/>
    </row>
    <row r="146" spans="1:16" x14ac:dyDescent="0.35">
      <c r="B146" s="406"/>
      <c r="F146" s="34"/>
      <c r="G146" s="34">
        <f>G144-K144</f>
        <v>70292295</v>
      </c>
      <c r="H146" s="63" t="s">
        <v>31</v>
      </c>
      <c r="I146" s="28">
        <f>I144</f>
        <v>8897758861</v>
      </c>
      <c r="J146" s="65" t="s">
        <v>32</v>
      </c>
      <c r="K146" s="3"/>
      <c r="L146" s="3"/>
      <c r="M146" s="61" t="s">
        <v>1990</v>
      </c>
      <c r="N146" s="17"/>
      <c r="P146"/>
    </row>
    <row r="147" spans="1:16" ht="15" thickBot="1" x14ac:dyDescent="0.4">
      <c r="B147" s="406"/>
      <c r="F147" s="3"/>
      <c r="G147" s="3"/>
      <c r="H147" s="3"/>
      <c r="I147" s="3"/>
      <c r="J147" s="3"/>
      <c r="K147" s="34"/>
      <c r="L147" s="34"/>
      <c r="M147" s="34"/>
      <c r="N147" s="17"/>
      <c r="P147"/>
    </row>
    <row r="148" spans="1:16" ht="15.5" thickTop="1" thickBot="1" x14ac:dyDescent="0.4">
      <c r="B148" s="406"/>
      <c r="F148" s="64"/>
      <c r="G148" s="101" t="s">
        <v>32</v>
      </c>
      <c r="H148" s="63" t="s">
        <v>31</v>
      </c>
      <c r="I148" s="352">
        <f>ROUND(G146/I146,4)</f>
        <v>7.9000000000000008E-3</v>
      </c>
      <c r="J148" s="61" t="s">
        <v>1916</v>
      </c>
      <c r="K148" s="143"/>
      <c r="L148" s="34"/>
      <c r="M148" s="61" t="s">
        <v>1991</v>
      </c>
      <c r="N148" s="17"/>
      <c r="P148"/>
    </row>
    <row r="149" spans="1:16" ht="15" thickTop="1" x14ac:dyDescent="0.35">
      <c r="A149" s="42"/>
      <c r="B149" s="407"/>
      <c r="C149" s="3"/>
      <c r="D149" s="3"/>
      <c r="E149" s="3"/>
      <c r="F149" s="3"/>
      <c r="G149" s="3"/>
      <c r="H149" s="3"/>
      <c r="I149" s="3"/>
    </row>
    <row r="150" spans="1:16" x14ac:dyDescent="0.35">
      <c r="B150" s="334" t="str">
        <f>CONCATENATE($A$4," at Proposed Energy Rates")</f>
        <v>SC9 Rate II at Proposed Energy Rates</v>
      </c>
      <c r="P150"/>
    </row>
    <row r="151" spans="1:16" ht="15" thickBot="1" x14ac:dyDescent="0.4">
      <c r="B151" s="334"/>
      <c r="P151"/>
    </row>
    <row r="152" spans="1:16" ht="15" thickBot="1" x14ac:dyDescent="0.4">
      <c r="C152" s="60" t="s">
        <v>5</v>
      </c>
      <c r="D152" s="982">
        <f>$L$4</f>
        <v>2020</v>
      </c>
      <c r="E152" s="58"/>
      <c r="F152" s="58"/>
      <c r="G152" s="59"/>
      <c r="H152" s="59"/>
      <c r="I152" s="59"/>
      <c r="J152" s="59"/>
      <c r="K152" s="98"/>
      <c r="L152" s="3"/>
      <c r="M152" s="3"/>
      <c r="N152" s="17"/>
      <c r="O152" s="3"/>
      <c r="P152"/>
    </row>
    <row r="153" spans="1:16" ht="15.5" thickTop="1" thickBot="1" x14ac:dyDescent="0.4">
      <c r="C153" s="96"/>
      <c r="D153" s="44"/>
      <c r="E153" s="44"/>
      <c r="F153" s="44"/>
      <c r="G153" s="44"/>
      <c r="H153" s="1313" t="s">
        <v>668</v>
      </c>
      <c r="I153" s="1314"/>
      <c r="J153" s="1315"/>
      <c r="K153" s="94"/>
      <c r="L153" s="3"/>
      <c r="M153" s="1307" t="s">
        <v>471</v>
      </c>
      <c r="N153" s="1308"/>
      <c r="O153" s="1309"/>
      <c r="P153"/>
    </row>
    <row r="154" spans="1:16" ht="15" thickTop="1" x14ac:dyDescent="0.35">
      <c r="C154" s="96"/>
      <c r="D154" s="44"/>
      <c r="E154" s="44"/>
      <c r="F154" s="44"/>
      <c r="G154" s="44"/>
      <c r="H154" s="56" t="s">
        <v>10</v>
      </c>
      <c r="I154" s="44"/>
      <c r="J154" s="56" t="s">
        <v>7</v>
      </c>
      <c r="K154" s="94"/>
      <c r="L154" s="3"/>
      <c r="M154" s="56" t="s">
        <v>10</v>
      </c>
      <c r="N154" s="44"/>
      <c r="O154" s="56" t="s">
        <v>7</v>
      </c>
      <c r="P154"/>
    </row>
    <row r="155" spans="1:16" x14ac:dyDescent="0.35">
      <c r="C155" s="96"/>
      <c r="D155" s="355"/>
      <c r="E155" s="356"/>
      <c r="F155" s="355" t="str">
        <f>$F$125</f>
        <v>On Peak</v>
      </c>
      <c r="G155" s="44"/>
      <c r="H155" s="357">
        <f>$I$148+L125</f>
        <v>7.9000000000000008E-3</v>
      </c>
      <c r="I155" s="358" t="s">
        <v>1999</v>
      </c>
      <c r="J155" s="357">
        <f>$I$148+N125</f>
        <v>7.9000000000000008E-3</v>
      </c>
      <c r="K155" s="359" t="s">
        <v>2001</v>
      </c>
      <c r="L155" s="3"/>
      <c r="M155" s="81">
        <f>ROUND(H155/H118-1,4)</f>
        <v>0</v>
      </c>
      <c r="N155" s="358" t="s">
        <v>1993</v>
      </c>
      <c r="O155" s="81">
        <f>ROUND(J155/J118-1,4)</f>
        <v>0</v>
      </c>
      <c r="P155" s="358" t="s">
        <v>1995</v>
      </c>
    </row>
    <row r="156" spans="1:16" x14ac:dyDescent="0.35">
      <c r="C156" s="96"/>
      <c r="D156" s="360"/>
      <c r="E156" s="356"/>
      <c r="F156" s="355" t="str">
        <f>$F$126</f>
        <v>Off Peak</v>
      </c>
      <c r="G156" s="44"/>
      <c r="H156" s="357">
        <f>$I$148+L126</f>
        <v>7.9000000000000008E-3</v>
      </c>
      <c r="I156" s="358" t="s">
        <v>2000</v>
      </c>
      <c r="J156" s="357">
        <f>$I$148+N126</f>
        <v>7.9000000000000008E-3</v>
      </c>
      <c r="K156" s="359" t="s">
        <v>2002</v>
      </c>
      <c r="L156" s="3"/>
      <c r="M156" s="81">
        <f>ROUND(H156/H119-1,4)</f>
        <v>0</v>
      </c>
      <c r="N156" s="358" t="s">
        <v>1994</v>
      </c>
      <c r="O156" s="81">
        <f>ROUND(J156/J119-1,4)</f>
        <v>0</v>
      </c>
      <c r="P156" s="358" t="s">
        <v>1996</v>
      </c>
    </row>
    <row r="157" spans="1:16" ht="15" thickBot="1" x14ac:dyDescent="0.4">
      <c r="C157" s="93"/>
      <c r="D157" s="46"/>
      <c r="E157" s="46"/>
      <c r="F157" s="46"/>
      <c r="G157" s="46"/>
      <c r="H157" s="46"/>
      <c r="I157" s="46"/>
      <c r="J157" s="46"/>
      <c r="K157" s="91"/>
      <c r="L157" s="3"/>
      <c r="M157" s="81"/>
      <c r="N157" s="3"/>
      <c r="O157" s="81"/>
      <c r="P157"/>
    </row>
    <row r="158" spans="1:16" x14ac:dyDescent="0.35">
      <c r="A158" s="42"/>
      <c r="B158" s="41"/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41"/>
      <c r="C159" s="3"/>
      <c r="D159" s="3"/>
      <c r="E159" s="3"/>
      <c r="F159" s="3"/>
      <c r="G159" s="3"/>
      <c r="H159" s="3"/>
      <c r="I159" s="3"/>
    </row>
    <row r="160" spans="1:16" x14ac:dyDescent="0.35">
      <c r="A160" s="42" t="s">
        <v>673</v>
      </c>
      <c r="B160" s="3"/>
      <c r="C160" s="3"/>
      <c r="D160" s="3"/>
      <c r="E160" s="3"/>
      <c r="F160" s="3"/>
      <c r="G160" s="3"/>
      <c r="H160" s="3"/>
      <c r="I160" s="3"/>
      <c r="P160"/>
    </row>
    <row r="161" spans="1:16" x14ac:dyDescent="0.35">
      <c r="A161" s="42"/>
      <c r="B161" s="3"/>
      <c r="C161" s="3"/>
      <c r="D161" s="3"/>
      <c r="E161" s="3"/>
      <c r="F161" s="3"/>
      <c r="G161" s="3"/>
      <c r="H161" s="3"/>
      <c r="I161" s="3"/>
      <c r="P161"/>
    </row>
    <row r="162" spans="1:16" x14ac:dyDescent="0.35">
      <c r="A162" s="3"/>
      <c r="B162" s="42" t="str">
        <f>CONCATENATE($A$4," at Proposed Demand Rates")</f>
        <v>SC9 Rate II at Proposed Demand Rates</v>
      </c>
      <c r="C162" s="3"/>
      <c r="L162" s="3"/>
      <c r="M162" s="462" t="s">
        <v>10</v>
      </c>
      <c r="N162" s="3"/>
      <c r="O162" s="3"/>
      <c r="P162" s="2"/>
    </row>
    <row r="163" spans="1:16" x14ac:dyDescent="0.35">
      <c r="A163" s="3"/>
      <c r="B163" s="3"/>
      <c r="C163" s="3"/>
      <c r="D163" s="3"/>
      <c r="E163" s="3"/>
      <c r="F163" s="3"/>
      <c r="G163" s="392"/>
      <c r="H163" s="834" t="s">
        <v>26</v>
      </c>
      <c r="I163" s="3"/>
      <c r="J163" s="3"/>
      <c r="K163" s="30" t="s">
        <v>11</v>
      </c>
      <c r="L163" s="3"/>
      <c r="M163" s="30" t="s">
        <v>6</v>
      </c>
      <c r="N163" s="3"/>
      <c r="O163" s="3"/>
      <c r="P163" s="2"/>
    </row>
    <row r="164" spans="1:16" x14ac:dyDescent="0.35">
      <c r="B164" s="3" t="s">
        <v>656</v>
      </c>
      <c r="C164" s="31" t="s">
        <v>667</v>
      </c>
      <c r="D164" s="1158" t="s">
        <v>1174</v>
      </c>
      <c r="E164" s="1158"/>
      <c r="F164" s="3"/>
      <c r="G164" s="1133"/>
      <c r="H164" s="1159">
        <f>$Y$7+$AA$7</f>
        <v>3120</v>
      </c>
      <c r="I164" s="3"/>
      <c r="K164" s="1157">
        <f>H102</f>
        <v>143.09</v>
      </c>
      <c r="L164" s="3"/>
      <c r="M164" s="1164">
        <f>ROUND(H164*K164,0)</f>
        <v>446441</v>
      </c>
      <c r="N164" s="3"/>
      <c r="O164" s="3"/>
      <c r="P164" s="2"/>
    </row>
    <row r="165" spans="1:16" x14ac:dyDescent="0.35">
      <c r="B165" s="3"/>
      <c r="C165" s="3" t="s">
        <v>42</v>
      </c>
      <c r="D165" s="56" t="str">
        <f>$C$63</f>
        <v>D1</v>
      </c>
      <c r="E165" s="36"/>
      <c r="F165" s="56" t="str">
        <f>$D$63</f>
        <v>8-6</v>
      </c>
      <c r="G165" s="3"/>
      <c r="H165" s="3"/>
      <c r="I165" s="29">
        <f>I71</f>
        <v>7165810.3800000008</v>
      </c>
      <c r="J165" s="3"/>
      <c r="K165" s="35">
        <f>H98</f>
        <v>8.5299999999999994</v>
      </c>
      <c r="L165" s="3"/>
      <c r="M165" s="26">
        <f>ROUND(K165*I165,0)</f>
        <v>61124363</v>
      </c>
      <c r="N165" s="3"/>
      <c r="O165" s="3"/>
      <c r="P165" s="2"/>
    </row>
    <row r="166" spans="1:16" x14ac:dyDescent="0.35">
      <c r="B166" s="3"/>
      <c r="C166" s="3"/>
      <c r="D166" s="56" t="str">
        <f>$C$64</f>
        <v>D2</v>
      </c>
      <c r="E166" s="36"/>
      <c r="F166" s="56" t="str">
        <f>$D$64</f>
        <v>8-10</v>
      </c>
      <c r="G166" s="3"/>
      <c r="H166" s="3"/>
      <c r="I166" s="29">
        <f>I73</f>
        <v>7184081.1699999999</v>
      </c>
      <c r="J166" s="3"/>
      <c r="K166" s="35">
        <f>H99</f>
        <v>17.189999999999998</v>
      </c>
      <c r="L166" s="3"/>
      <c r="M166" s="26">
        <f>ROUND(K166*I166,0)</f>
        <v>123494355</v>
      </c>
      <c r="N166" s="3"/>
      <c r="O166" s="3"/>
      <c r="P166" s="2"/>
    </row>
    <row r="167" spans="1:16" x14ac:dyDescent="0.35">
      <c r="B167" s="3"/>
      <c r="C167" s="3"/>
      <c r="D167" s="56" t="str">
        <f>$C$65</f>
        <v>D3</v>
      </c>
      <c r="E167" s="36"/>
      <c r="F167" s="56" t="str">
        <f>$D$65</f>
        <v>All Day</v>
      </c>
      <c r="G167" s="3"/>
      <c r="H167" s="3"/>
      <c r="I167" s="38">
        <f>I75</f>
        <v>5777969.3600000003</v>
      </c>
      <c r="J167" s="3"/>
      <c r="K167" s="35">
        <f>H100</f>
        <v>15.53</v>
      </c>
      <c r="L167" s="3"/>
      <c r="M167" s="37">
        <f>ROUND(K167*I167,0)</f>
        <v>89731864</v>
      </c>
      <c r="N167" s="3"/>
      <c r="O167" s="3"/>
      <c r="P167" s="2"/>
    </row>
    <row r="168" spans="1:16" x14ac:dyDescent="0.35">
      <c r="B168" s="3"/>
      <c r="C168" s="3"/>
      <c r="D168" s="36"/>
      <c r="E168" s="36"/>
      <c r="F168" s="36"/>
      <c r="G168" s="3"/>
      <c r="H168" s="3"/>
      <c r="I168" s="28">
        <f>I165+I166+I167</f>
        <v>20127860.91</v>
      </c>
      <c r="J168" s="3"/>
      <c r="K168" s="35"/>
      <c r="L168" s="3"/>
      <c r="M168" s="832">
        <f>M164+M165+M166+M167</f>
        <v>274797023</v>
      </c>
      <c r="N168" s="34"/>
      <c r="O168" s="36" t="s">
        <v>10</v>
      </c>
      <c r="P168" s="2"/>
    </row>
    <row r="169" spans="1:16" x14ac:dyDescent="0.35">
      <c r="B169" s="3"/>
      <c r="C169" s="3"/>
      <c r="D169" s="36"/>
      <c r="E169" s="36"/>
      <c r="F169" s="36"/>
      <c r="G169" s="28"/>
      <c r="H169" s="3"/>
      <c r="I169" s="28"/>
      <c r="J169" s="3"/>
      <c r="K169" s="35"/>
      <c r="L169" s="33" t="s">
        <v>22</v>
      </c>
      <c r="M169" s="34">
        <f>ROUND(M168*(O169-1),0)</f>
        <v>3275581</v>
      </c>
      <c r="N169" s="33" t="s">
        <v>23</v>
      </c>
      <c r="O169" s="40">
        <f>L10</f>
        <v>1.0119199999999999</v>
      </c>
      <c r="P169" s="2"/>
    </row>
    <row r="170" spans="1:16" x14ac:dyDescent="0.35">
      <c r="B170" s="3"/>
      <c r="C170" s="3"/>
      <c r="D170" s="36"/>
      <c r="E170" s="36"/>
      <c r="F170" s="36"/>
      <c r="G170" s="28"/>
      <c r="H170" s="3"/>
      <c r="I170" s="28"/>
      <c r="J170" s="3"/>
      <c r="K170" s="35"/>
      <c r="L170" s="33" t="s">
        <v>21</v>
      </c>
      <c r="M170" s="32">
        <f>M168+M169</f>
        <v>278072604</v>
      </c>
      <c r="N170" s="8"/>
      <c r="O170" s="3"/>
      <c r="P170" s="2"/>
    </row>
    <row r="171" spans="1:16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</row>
    <row r="172" spans="1:16" x14ac:dyDescent="0.35">
      <c r="B172" s="3"/>
      <c r="C172" s="3"/>
      <c r="L172" s="3"/>
      <c r="M172" s="462" t="s">
        <v>7</v>
      </c>
      <c r="N172" s="3"/>
      <c r="O172" s="3"/>
      <c r="P172" s="2"/>
    </row>
    <row r="173" spans="1:16" x14ac:dyDescent="0.35">
      <c r="B173" s="3"/>
      <c r="C173" s="3"/>
      <c r="D173" s="3"/>
      <c r="E173" s="3"/>
      <c r="F173" s="3"/>
      <c r="G173" s="392"/>
      <c r="H173" s="834" t="s">
        <v>26</v>
      </c>
      <c r="I173" s="3"/>
      <c r="J173" s="3"/>
      <c r="K173" s="30" t="s">
        <v>11</v>
      </c>
      <c r="L173" s="3"/>
      <c r="M173" s="30" t="s">
        <v>6</v>
      </c>
      <c r="N173" s="3"/>
      <c r="O173" s="3"/>
      <c r="P173" s="2"/>
    </row>
    <row r="174" spans="1:16" x14ac:dyDescent="0.35">
      <c r="B174" s="3"/>
      <c r="C174" s="3"/>
      <c r="D174" s="1158" t="s">
        <v>1174</v>
      </c>
      <c r="E174" s="1158"/>
      <c r="F174" s="3"/>
      <c r="G174" s="1133"/>
      <c r="H174" s="1159">
        <f>$Z$7+$AB$7</f>
        <v>6247</v>
      </c>
      <c r="I174" s="3"/>
      <c r="K174" s="1157">
        <f>J102</f>
        <v>143.09</v>
      </c>
      <c r="L174" s="3"/>
      <c r="M174" s="1164">
        <f>ROUND(H174*K174,0)</f>
        <v>893883</v>
      </c>
      <c r="N174" s="3"/>
      <c r="O174" s="3"/>
      <c r="P174" s="2"/>
    </row>
    <row r="175" spans="1:16" x14ac:dyDescent="0.35">
      <c r="B175" s="3"/>
      <c r="C175" s="3" t="s">
        <v>40</v>
      </c>
      <c r="D175" s="1187" t="str">
        <f>$C$63</f>
        <v>D1</v>
      </c>
      <c r="E175" s="36"/>
      <c r="F175" s="1187" t="str">
        <f>$D$63</f>
        <v>8-6</v>
      </c>
      <c r="G175" s="3"/>
      <c r="H175" s="3"/>
      <c r="I175" s="29">
        <f>I72</f>
        <v>0</v>
      </c>
      <c r="J175" s="3"/>
      <c r="K175" s="35">
        <f>J98</f>
        <v>0</v>
      </c>
      <c r="L175" s="3"/>
      <c r="M175" s="26">
        <f>ROUND(K175*I175,0)</f>
        <v>0</v>
      </c>
      <c r="N175" s="3"/>
      <c r="O175" s="3"/>
      <c r="P175" s="2"/>
    </row>
    <row r="176" spans="1:16" x14ac:dyDescent="0.35">
      <c r="B176" s="3"/>
      <c r="C176" s="3"/>
      <c r="D176" s="1187" t="str">
        <f>$C$64</f>
        <v>D2</v>
      </c>
      <c r="E176" s="36"/>
      <c r="F176" s="1187" t="str">
        <f>$D$64</f>
        <v>8-10</v>
      </c>
      <c r="G176" s="3"/>
      <c r="H176" s="3"/>
      <c r="I176" s="29">
        <f>I74</f>
        <v>12264501.02</v>
      </c>
      <c r="J176" s="3"/>
      <c r="K176" s="35">
        <f>J99</f>
        <v>13.01</v>
      </c>
      <c r="L176" s="3"/>
      <c r="M176" s="26">
        <f>ROUND(K176*I176,0)</f>
        <v>159561158</v>
      </c>
      <c r="N176" s="3"/>
      <c r="O176" s="3"/>
      <c r="P176" s="2"/>
    </row>
    <row r="177" spans="1:17" x14ac:dyDescent="0.35">
      <c r="B177" s="3"/>
      <c r="C177" s="3"/>
      <c r="D177" s="1187" t="str">
        <f>$C$65</f>
        <v>D3</v>
      </c>
      <c r="E177" s="36"/>
      <c r="F177" s="1187" t="str">
        <f>$D$65</f>
        <v>All Day</v>
      </c>
      <c r="G177" s="3"/>
      <c r="H177" s="3"/>
      <c r="I177" s="38">
        <f>I76</f>
        <v>9822749.1299999971</v>
      </c>
      <c r="J177" s="3"/>
      <c r="K177" s="35">
        <f>J100</f>
        <v>3.92</v>
      </c>
      <c r="L177" s="3"/>
      <c r="M177" s="37">
        <f>ROUND(K177*I177,0)</f>
        <v>38505177</v>
      </c>
      <c r="N177" s="3"/>
      <c r="O177" s="3"/>
      <c r="P177" s="2"/>
    </row>
    <row r="178" spans="1:17" x14ac:dyDescent="0.35">
      <c r="B178" s="3"/>
      <c r="C178" s="3"/>
      <c r="D178" s="36"/>
      <c r="E178" s="36"/>
      <c r="F178" s="36"/>
      <c r="G178" s="3"/>
      <c r="H178" s="3"/>
      <c r="I178" s="28">
        <f>I175+I176+I177</f>
        <v>22087250.149999999</v>
      </c>
      <c r="J178" s="3"/>
      <c r="K178" s="35"/>
      <c r="L178" s="3"/>
      <c r="M178" s="832">
        <f>M174+M175+M176+M177</f>
        <v>198960218</v>
      </c>
      <c r="N178" s="3"/>
      <c r="O178" s="36" t="s">
        <v>7</v>
      </c>
      <c r="P178" s="2"/>
    </row>
    <row r="179" spans="1:17" x14ac:dyDescent="0.35">
      <c r="B179" s="3"/>
      <c r="C179" s="3"/>
      <c r="D179" s="36"/>
      <c r="E179" s="36"/>
      <c r="F179" s="36"/>
      <c r="G179" s="3"/>
      <c r="H179" s="3"/>
      <c r="I179" s="28"/>
      <c r="J179" s="3"/>
      <c r="K179" s="35"/>
      <c r="L179" s="33" t="s">
        <v>22</v>
      </c>
      <c r="M179" s="34">
        <f>ROUND(M178*(O179-1),0)</f>
        <v>2122906</v>
      </c>
      <c r="N179" s="33" t="s">
        <v>23</v>
      </c>
      <c r="O179" s="40">
        <f>L11</f>
        <v>1.01067</v>
      </c>
      <c r="P179" s="2"/>
    </row>
    <row r="180" spans="1:17" x14ac:dyDescent="0.35">
      <c r="B180" s="3"/>
      <c r="C180" s="3"/>
      <c r="D180" s="36"/>
      <c r="E180" s="36"/>
      <c r="F180" s="36"/>
      <c r="G180" s="28"/>
      <c r="H180" s="3"/>
      <c r="I180" s="28"/>
      <c r="J180" s="3"/>
      <c r="K180" s="35"/>
      <c r="L180" s="33" t="s">
        <v>21</v>
      </c>
      <c r="M180" s="32">
        <f>M178+M179</f>
        <v>201083124</v>
      </c>
      <c r="N180" s="8"/>
      <c r="O180" s="3"/>
      <c r="P180" s="2"/>
    </row>
    <row r="181" spans="1:17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"/>
    </row>
    <row r="182" spans="1:17" x14ac:dyDescent="0.35">
      <c r="B182" s="3"/>
      <c r="C182" s="25" t="str">
        <f>CONCATENATE($A$4," - Annual Demand Revenue Price-Out at Proposed Rates - Incl. EDB:")</f>
        <v>SC9 Rate II - Annual Demand Revenue Price-Out at Proposed Rates - Incl. EDB:</v>
      </c>
      <c r="D182" s="3"/>
      <c r="E182" s="3"/>
      <c r="F182" s="3"/>
      <c r="G182" s="3"/>
      <c r="H182" s="3"/>
      <c r="I182" s="3"/>
      <c r="J182" s="3"/>
      <c r="K182" s="3"/>
      <c r="L182" s="3"/>
      <c r="M182" s="32">
        <f>M170+M180</f>
        <v>479155728</v>
      </c>
      <c r="N182" s="468"/>
      <c r="O182" s="3"/>
      <c r="P182" s="2"/>
    </row>
    <row r="183" spans="1:17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6"/>
      <c r="N183" s="17"/>
      <c r="O183" s="3"/>
      <c r="P183" s="2"/>
    </row>
    <row r="184" spans="1:17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6"/>
      <c r="N184" s="17"/>
      <c r="O184" s="3"/>
      <c r="P184" s="2"/>
    </row>
    <row r="185" spans="1:17" ht="15" thickBot="1" x14ac:dyDescent="0.4">
      <c r="A185" s="42"/>
      <c r="B185" s="42" t="str">
        <f>CONCATENATE($A$4," at Proposed Energy Rates")</f>
        <v>SC9 Rate II at Proposed Energy Rates</v>
      </c>
      <c r="C185" s="3"/>
      <c r="D185" s="3"/>
      <c r="E185" s="3"/>
      <c r="F185" s="3"/>
      <c r="G185" s="3"/>
      <c r="H185" s="3"/>
      <c r="I185" s="3"/>
      <c r="K185" s="367" t="s">
        <v>426</v>
      </c>
      <c r="L185" s="368">
        <f>$L$10</f>
        <v>1.0119199999999999</v>
      </c>
      <c r="N185" s="344" t="str">
        <f>$A$4</f>
        <v>SC9 Rate II</v>
      </c>
      <c r="P185"/>
      <c r="Q185" s="1"/>
    </row>
    <row r="186" spans="1:17" ht="15.5" thickTop="1" thickBot="1" x14ac:dyDescent="0.4">
      <c r="B186" s="41"/>
      <c r="H186" s="1307" t="s">
        <v>417</v>
      </c>
      <c r="I186" s="1308"/>
      <c r="J186" s="1309"/>
      <c r="L186" s="455" t="s">
        <v>475</v>
      </c>
      <c r="N186" s="369" t="s">
        <v>42</v>
      </c>
      <c r="P186"/>
      <c r="Q186" s="1"/>
    </row>
    <row r="187" spans="1:17" ht="15" thickTop="1" x14ac:dyDescent="0.35">
      <c r="B187" s="3"/>
      <c r="H187" s="30" t="s">
        <v>416</v>
      </c>
      <c r="I187" s="30" t="s">
        <v>674</v>
      </c>
      <c r="J187" s="36" t="s">
        <v>676</v>
      </c>
      <c r="L187" s="30" t="s">
        <v>425</v>
      </c>
      <c r="N187" s="36" t="s">
        <v>675</v>
      </c>
      <c r="P187"/>
      <c r="Q187" s="1"/>
    </row>
    <row r="188" spans="1:17" x14ac:dyDescent="0.35">
      <c r="B188" s="126" t="s">
        <v>42</v>
      </c>
      <c r="C188" s="355" t="str">
        <f>$F$125</f>
        <v>On Peak</v>
      </c>
      <c r="D188" s="121"/>
      <c r="E188" s="122"/>
      <c r="H188" s="223">
        <f>H155</f>
        <v>7.9000000000000008E-3</v>
      </c>
      <c r="I188" s="105">
        <f>I140</f>
        <v>1606327306.5376453</v>
      </c>
      <c r="J188" s="26">
        <f>ROUND(H188*I188,0)</f>
        <v>12689986</v>
      </c>
      <c r="L188" s="397"/>
      <c r="N188" s="26">
        <f>J188+L188</f>
        <v>12689986</v>
      </c>
      <c r="P188"/>
      <c r="Q188" s="1"/>
    </row>
    <row r="189" spans="1:17" x14ac:dyDescent="0.35">
      <c r="C189" s="355" t="str">
        <f>$F$126</f>
        <v>Off Peak</v>
      </c>
      <c r="D189" s="36"/>
      <c r="E189" s="122"/>
      <c r="H189" s="223">
        <f>H156</f>
        <v>7.9000000000000008E-3</v>
      </c>
      <c r="I189" s="105">
        <f>I141</f>
        <v>1600493542.4623547</v>
      </c>
      <c r="J189" s="26">
        <f>ROUND(H189*I189,0)</f>
        <v>12643899</v>
      </c>
      <c r="L189" s="397"/>
      <c r="N189" s="26">
        <f>J189+L189</f>
        <v>12643899</v>
      </c>
      <c r="P189"/>
      <c r="Q189" s="1"/>
    </row>
    <row r="190" spans="1:17" x14ac:dyDescent="0.35">
      <c r="C190" s="3" t="s">
        <v>420</v>
      </c>
      <c r="D190" s="3"/>
      <c r="E190" s="3"/>
      <c r="F190" s="3"/>
      <c r="H190" s="223"/>
      <c r="I190" s="223"/>
      <c r="J190" s="32">
        <f>SUM(J188:J189)</f>
        <v>25333885</v>
      </c>
      <c r="L190" s="32">
        <f>SUM(L188:L189)</f>
        <v>0</v>
      </c>
      <c r="N190" s="32">
        <f>SUM(N188:N189)</f>
        <v>25333885</v>
      </c>
      <c r="P190"/>
      <c r="Q190" s="1"/>
    </row>
    <row r="191" spans="1:17" s="1" customFormat="1" x14ac:dyDescent="0.35">
      <c r="C191" s="2"/>
      <c r="D191" s="121"/>
      <c r="E191" s="121"/>
      <c r="F191" s="361"/>
      <c r="H191" s="223"/>
      <c r="I191" s="362"/>
      <c r="J191" s="395"/>
      <c r="K191"/>
    </row>
    <row r="192" spans="1:17" s="1" customFormat="1" ht="15" thickBot="1" x14ac:dyDescent="0.4">
      <c r="C192" s="2"/>
      <c r="D192" s="121"/>
      <c r="E192" s="121"/>
      <c r="F192" s="361"/>
      <c r="H192" s="223"/>
      <c r="I192" s="362"/>
      <c r="J192" s="223"/>
      <c r="K192"/>
      <c r="L192" s="368">
        <f>$L$11</f>
        <v>1.01067</v>
      </c>
    </row>
    <row r="193" spans="1:18" s="1" customFormat="1" ht="15.5" thickTop="1" thickBot="1" x14ac:dyDescent="0.4">
      <c r="C193" s="2"/>
      <c r="D193" s="121"/>
      <c r="E193" s="121"/>
      <c r="F193" s="361"/>
      <c r="H193" s="1307" t="s">
        <v>417</v>
      </c>
      <c r="I193" s="1308"/>
      <c r="J193" s="1309"/>
      <c r="K193"/>
      <c r="L193" s="455" t="s">
        <v>475</v>
      </c>
      <c r="N193" s="369" t="s">
        <v>40</v>
      </c>
    </row>
    <row r="194" spans="1:18" s="1" customFormat="1" ht="15" thickTop="1" x14ac:dyDescent="0.35">
      <c r="C194" s="2"/>
      <c r="D194" s="121"/>
      <c r="E194" s="121"/>
      <c r="F194" s="361"/>
      <c r="H194" s="30" t="s">
        <v>416</v>
      </c>
      <c r="I194" s="30" t="s">
        <v>674</v>
      </c>
      <c r="J194" s="36" t="s">
        <v>676</v>
      </c>
      <c r="K194"/>
      <c r="L194" s="30" t="s">
        <v>425</v>
      </c>
      <c r="N194" s="36" t="s">
        <v>675</v>
      </c>
    </row>
    <row r="195" spans="1:18" s="1" customFormat="1" x14ac:dyDescent="0.35">
      <c r="B195" s="126" t="s">
        <v>40</v>
      </c>
      <c r="C195" s="355" t="str">
        <f>$F$125</f>
        <v>On Peak</v>
      </c>
      <c r="D195" s="121"/>
      <c r="E195" s="122"/>
      <c r="H195" s="223">
        <f>J155</f>
        <v>7.9000000000000008E-3</v>
      </c>
      <c r="I195" s="105">
        <f>I142</f>
        <v>2804164428.0405364</v>
      </c>
      <c r="J195" s="26">
        <f>ROUND(H195*I195,0)</f>
        <v>22152899</v>
      </c>
      <c r="K195"/>
      <c r="L195" s="397"/>
      <c r="N195" s="26">
        <f>J195+L195</f>
        <v>22152899</v>
      </c>
    </row>
    <row r="196" spans="1:18" s="1" customFormat="1" x14ac:dyDescent="0.35">
      <c r="B196"/>
      <c r="C196" s="355" t="str">
        <f>$F$126</f>
        <v>Off Peak</v>
      </c>
      <c r="D196" s="36"/>
      <c r="E196" s="122"/>
      <c r="H196" s="223">
        <f>J156</f>
        <v>7.9000000000000008E-3</v>
      </c>
      <c r="I196" s="105">
        <f>I143</f>
        <v>2886773583.9594636</v>
      </c>
      <c r="J196" s="26">
        <f>ROUND(H196*I196,0)</f>
        <v>22805511</v>
      </c>
      <c r="K196"/>
      <c r="L196" s="397"/>
      <c r="N196" s="26">
        <f>J196+L196</f>
        <v>22805511</v>
      </c>
    </row>
    <row r="197" spans="1:18" s="1" customFormat="1" x14ac:dyDescent="0.35">
      <c r="B197"/>
      <c r="C197" s="3" t="s">
        <v>421</v>
      </c>
      <c r="D197" s="3"/>
      <c r="E197" s="3"/>
      <c r="F197" s="3"/>
      <c r="H197" s="223"/>
      <c r="I197" s="223"/>
      <c r="J197" s="32">
        <f>SUM(J195:J196)</f>
        <v>44958410</v>
      </c>
      <c r="K197"/>
      <c r="L197" s="32">
        <f>SUM(L195:L196)</f>
        <v>0</v>
      </c>
      <c r="N197" s="32">
        <f>SUM(N195:N196)</f>
        <v>44958410</v>
      </c>
    </row>
    <row r="198" spans="1:18" s="1" customFormat="1" ht="15" thickBot="1" x14ac:dyDescent="0.4">
      <c r="C198" s="2"/>
      <c r="D198" s="121"/>
      <c r="E198" s="121"/>
      <c r="F198" s="361"/>
      <c r="H198" s="223"/>
      <c r="I198" s="362"/>
      <c r="J198" s="395"/>
      <c r="K198"/>
      <c r="N198" s="223"/>
    </row>
    <row r="199" spans="1:18" s="1" customFormat="1" ht="15.5" thickTop="1" thickBot="1" x14ac:dyDescent="0.4">
      <c r="C199" s="25" t="str">
        <f>CONCATENATE($A$4," - Annual Energy Revenue Price-Out at Proposed Rates:")</f>
        <v>SC9 Rate II - Annual Energy Revenue Price-Out at Proposed Rates:</v>
      </c>
      <c r="D199" s="121"/>
      <c r="E199" s="121"/>
      <c r="F199" s="361"/>
      <c r="H199" s="223"/>
      <c r="I199" s="222" t="s">
        <v>427</v>
      </c>
      <c r="J199" s="243">
        <f>J190+J197</f>
        <v>70292295</v>
      </c>
      <c r="K199" s="222" t="s">
        <v>428</v>
      </c>
      <c r="L199" s="243">
        <f>L190+L197</f>
        <v>0</v>
      </c>
      <c r="N199" s="243">
        <f>N190+N197</f>
        <v>70292295</v>
      </c>
      <c r="O199" s="374"/>
    </row>
    <row r="200" spans="1:18" s="1" customFormat="1" ht="15" thickTop="1" x14ac:dyDescent="0.35">
      <c r="C200" s="25"/>
      <c r="D200" s="121"/>
      <c r="E200" s="121"/>
      <c r="F200" s="361"/>
      <c r="H200" s="223"/>
      <c r="I200" s="222"/>
      <c r="J200" s="396"/>
      <c r="K200" s="362"/>
      <c r="L200" s="363"/>
      <c r="M200" s="364"/>
      <c r="N200" s="222"/>
      <c r="O200" s="26"/>
      <c r="Q200" s="26"/>
      <c r="R200" s="374"/>
    </row>
    <row r="201" spans="1:18" s="1" customFormat="1" x14ac:dyDescent="0.35">
      <c r="C201" s="25"/>
      <c r="D201" s="121"/>
      <c r="E201" s="121"/>
      <c r="F201" s="361"/>
      <c r="H201" s="223"/>
      <c r="I201" s="222"/>
      <c r="J201" s="396"/>
      <c r="K201" s="362"/>
      <c r="L201" s="363"/>
      <c r="M201" s="364"/>
      <c r="N201" s="222"/>
      <c r="O201" s="26"/>
      <c r="Q201" s="26"/>
      <c r="R201" s="374"/>
    </row>
    <row r="202" spans="1:18" x14ac:dyDescent="0.35">
      <c r="A202" s="1"/>
      <c r="B202" s="3"/>
      <c r="C202" s="70" t="s">
        <v>684</v>
      </c>
      <c r="D202" s="3"/>
      <c r="E202" s="3"/>
      <c r="F202" s="3"/>
      <c r="G202" s="3"/>
      <c r="H202" s="3"/>
      <c r="I202" s="3"/>
      <c r="J202" s="3"/>
      <c r="K202" s="3"/>
      <c r="L202" s="3"/>
      <c r="M202" s="26"/>
      <c r="N202" s="17"/>
      <c r="O202" s="3"/>
      <c r="P202" s="2"/>
    </row>
    <row r="203" spans="1:18" x14ac:dyDescent="0.35">
      <c r="A203" s="1"/>
      <c r="B203" s="3"/>
      <c r="C203" s="41" t="str">
        <f>$A$4</f>
        <v>SC9 Rate II</v>
      </c>
      <c r="D203" s="3"/>
      <c r="E203" s="3"/>
      <c r="F203" s="3"/>
      <c r="G203" s="3"/>
      <c r="H203" s="3"/>
      <c r="I203" s="3"/>
      <c r="J203" s="3"/>
      <c r="K203" s="3"/>
      <c r="L203" s="3"/>
      <c r="M203" s="26"/>
      <c r="N203" s="17"/>
      <c r="O203" s="3"/>
      <c r="P203" s="2"/>
    </row>
    <row r="204" spans="1:18" x14ac:dyDescent="0.35">
      <c r="A204" s="1"/>
      <c r="B204" s="3"/>
      <c r="C204" s="3" t="s">
        <v>678</v>
      </c>
      <c r="D204" s="3"/>
      <c r="E204" s="3"/>
      <c r="F204" s="3"/>
      <c r="G204" s="3"/>
      <c r="H204" s="3"/>
      <c r="I204" s="3"/>
      <c r="J204" s="3"/>
      <c r="K204" s="3"/>
      <c r="L204" s="3"/>
      <c r="M204" s="26">
        <f>M182</f>
        <v>479155728</v>
      </c>
      <c r="N204" s="17"/>
      <c r="O204" s="3"/>
      <c r="P204" s="2"/>
    </row>
    <row r="205" spans="1:18" x14ac:dyDescent="0.35">
      <c r="A205" s="1"/>
      <c r="B205" s="3"/>
      <c r="C205" s="41" t="s">
        <v>700</v>
      </c>
      <c r="D205" s="368" t="s">
        <v>1153</v>
      </c>
      <c r="E205" s="3"/>
      <c r="F205" s="3"/>
      <c r="G205" s="3"/>
      <c r="H205" s="3"/>
      <c r="I205" s="3"/>
      <c r="J205" s="3"/>
      <c r="K205" s="3"/>
      <c r="L205" s="34">
        <f>G37+H37</f>
        <v>2752677</v>
      </c>
      <c r="M205" s="26"/>
      <c r="N205" s="17"/>
      <c r="O205" s="3"/>
      <c r="P205" s="2"/>
    </row>
    <row r="206" spans="1:18" x14ac:dyDescent="0.35">
      <c r="A206" s="1"/>
      <c r="B206" s="3"/>
      <c r="C206" s="41"/>
      <c r="D206" s="368" t="s">
        <v>1154</v>
      </c>
      <c r="E206" s="3"/>
      <c r="F206" s="3"/>
      <c r="G206" s="3"/>
      <c r="H206" s="3"/>
      <c r="I206" s="3"/>
      <c r="J206" s="3"/>
      <c r="K206" s="3"/>
      <c r="L206" s="34">
        <f>G38+H38</f>
        <v>-10369292.728127901</v>
      </c>
      <c r="M206" s="26"/>
      <c r="N206" s="17"/>
      <c r="O206" s="3"/>
      <c r="P206" s="2"/>
    </row>
    <row r="207" spans="1:18" x14ac:dyDescent="0.35">
      <c r="A207" s="1"/>
      <c r="B207" s="3"/>
      <c r="C207" s="41"/>
      <c r="D207" s="368" t="s">
        <v>1155</v>
      </c>
      <c r="E207" s="3"/>
      <c r="F207" s="3"/>
      <c r="G207" s="3"/>
      <c r="H207" s="3"/>
      <c r="I207" s="3"/>
      <c r="J207" s="3"/>
      <c r="K207" s="3"/>
      <c r="L207" s="37">
        <f>G39+H39</f>
        <v>-2184111.870369141</v>
      </c>
      <c r="M207" s="26"/>
      <c r="N207" s="17"/>
      <c r="O207" s="3"/>
      <c r="P207" s="2"/>
    </row>
    <row r="208" spans="1:18" x14ac:dyDescent="0.35">
      <c r="A208" s="1"/>
      <c r="B208" s="3"/>
      <c r="C208" s="41"/>
      <c r="D208" s="368" t="s">
        <v>1156</v>
      </c>
      <c r="E208" s="3"/>
      <c r="F208" s="3"/>
      <c r="G208" s="3"/>
      <c r="H208" s="3"/>
      <c r="I208" s="3"/>
      <c r="J208" s="3"/>
      <c r="K208" s="3"/>
      <c r="L208" s="3"/>
      <c r="M208" s="37">
        <f>SUM(L205:L207)</f>
        <v>-9800727.5984970406</v>
      </c>
      <c r="N208" s="17"/>
      <c r="O208" s="3"/>
      <c r="P208" s="2"/>
    </row>
    <row r="209" spans="1:16" x14ac:dyDescent="0.35">
      <c r="A209" s="1"/>
      <c r="B209" s="3"/>
      <c r="C209" s="3" t="s">
        <v>678</v>
      </c>
      <c r="D209" s="3"/>
      <c r="E209" s="3"/>
      <c r="F209" s="3"/>
      <c r="G209" s="3"/>
      <c r="H209" s="3"/>
      <c r="I209" s="3"/>
      <c r="J209" s="3"/>
      <c r="K209" s="3"/>
      <c r="L209" s="3"/>
      <c r="M209" s="26">
        <f>M204+M208</f>
        <v>469355000.40150297</v>
      </c>
      <c r="N209" s="2"/>
      <c r="O209" s="3"/>
      <c r="P209" s="2"/>
    </row>
    <row r="210" spans="1:16" ht="15" thickBot="1" x14ac:dyDescent="0.4">
      <c r="B210" s="3"/>
      <c r="C210" s="3" t="s">
        <v>677</v>
      </c>
      <c r="D210" s="3"/>
      <c r="E210" s="3"/>
      <c r="F210" s="3"/>
      <c r="G210" s="3"/>
      <c r="H210" s="3"/>
      <c r="I210" s="3"/>
      <c r="J210" s="3"/>
      <c r="K210" s="3"/>
      <c r="L210" s="3"/>
      <c r="M210" s="26">
        <f>N199</f>
        <v>70292295</v>
      </c>
      <c r="N210" s="2"/>
      <c r="O210" s="3"/>
      <c r="P210" s="2"/>
    </row>
    <row r="211" spans="1:16" ht="15.5" thickTop="1" thickBot="1" x14ac:dyDescent="0.4">
      <c r="B211" s="3"/>
      <c r="C211" s="25" t="s">
        <v>685</v>
      </c>
      <c r="D211" s="3"/>
      <c r="E211" s="3"/>
      <c r="F211" s="3"/>
      <c r="G211" s="3"/>
      <c r="H211" s="3"/>
      <c r="I211" s="3"/>
      <c r="J211" s="3"/>
      <c r="K211" s="3"/>
      <c r="L211" s="3"/>
      <c r="M211" s="925">
        <f>M209+M210</f>
        <v>539647295.40150297</v>
      </c>
      <c r="N211" s="2"/>
      <c r="O211" s="3"/>
      <c r="P211" s="2"/>
    </row>
    <row r="212" spans="1:16" ht="15" thickTop="1" x14ac:dyDescent="0.3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7"/>
      <c r="O212" s="3"/>
      <c r="P212" s="2"/>
    </row>
    <row r="213" spans="1:16" ht="15" thickBot="1" x14ac:dyDescent="0.4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7"/>
      <c r="O213" s="3"/>
      <c r="P213" s="2"/>
    </row>
    <row r="214" spans="1:16" x14ac:dyDescent="0.35">
      <c r="B214" s="3"/>
      <c r="C214" s="815" t="str">
        <f>$A$4</f>
        <v>SC9 Rate II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1" t="s">
        <v>6</v>
      </c>
      <c r="N214" s="3"/>
      <c r="O214" s="2"/>
      <c r="P214" s="2"/>
    </row>
    <row r="215" spans="1:16" x14ac:dyDescent="0.35">
      <c r="B215" s="3"/>
      <c r="C215" s="11" t="s">
        <v>5</v>
      </c>
      <c r="D215" s="1344">
        <f>L4</f>
        <v>2020</v>
      </c>
      <c r="E215" s="1344"/>
      <c r="F215" s="1344"/>
      <c r="G215" s="10"/>
      <c r="H215" s="10"/>
      <c r="I215" s="10"/>
      <c r="J215" s="10"/>
      <c r="K215" s="10"/>
      <c r="L215" s="10"/>
      <c r="M215" s="13"/>
      <c r="N215" s="17"/>
      <c r="O215" s="2"/>
      <c r="P215" s="2"/>
    </row>
    <row r="216" spans="1:16" x14ac:dyDescent="0.35">
      <c r="B216" s="3"/>
      <c r="C216" s="20" t="s">
        <v>679</v>
      </c>
      <c r="D216" s="19"/>
      <c r="E216" s="19"/>
      <c r="F216" s="19"/>
      <c r="G216" s="10"/>
      <c r="H216" s="10"/>
      <c r="I216" s="10"/>
      <c r="J216" s="10"/>
      <c r="K216" s="10"/>
      <c r="L216" s="10"/>
      <c r="M216" s="12">
        <f>M211</f>
        <v>539647295.40150297</v>
      </c>
      <c r="N216" s="3"/>
      <c r="O216" s="3"/>
      <c r="P216" s="3"/>
    </row>
    <row r="217" spans="1:16" x14ac:dyDescent="0.35">
      <c r="B217" s="3"/>
      <c r="C217" s="20"/>
      <c r="D217" s="368"/>
      <c r="E217" s="19"/>
      <c r="F217" s="19"/>
      <c r="G217" s="10"/>
      <c r="I217" s="10"/>
      <c r="J217" s="10"/>
      <c r="K217" s="10"/>
      <c r="L217" s="10"/>
      <c r="M217" s="470"/>
      <c r="N217" s="3"/>
      <c r="O217" s="3"/>
      <c r="P217" s="3"/>
    </row>
    <row r="218" spans="1:16" hidden="1" x14ac:dyDescent="0.35">
      <c r="B218" s="3"/>
      <c r="C218" s="20"/>
      <c r="D218" s="368"/>
      <c r="E218" s="19"/>
      <c r="F218" s="19"/>
      <c r="G218" s="10"/>
      <c r="I218" s="10"/>
      <c r="J218" s="10"/>
      <c r="K218" s="10"/>
      <c r="L218" s="10"/>
      <c r="M218" s="470"/>
      <c r="N218" s="3"/>
      <c r="O218" s="3"/>
      <c r="P218" s="3"/>
    </row>
    <row r="219" spans="1:16" hidden="1" x14ac:dyDescent="0.35">
      <c r="B219" s="3"/>
      <c r="C219" s="20"/>
      <c r="D219" s="368"/>
      <c r="E219" s="19"/>
      <c r="F219" s="19"/>
      <c r="G219" s="10"/>
      <c r="I219" s="10"/>
      <c r="J219" s="10"/>
      <c r="K219" s="10"/>
      <c r="L219" s="10"/>
      <c r="M219" s="470"/>
      <c r="N219" s="3"/>
      <c r="O219" s="3"/>
      <c r="P219" s="3"/>
    </row>
    <row r="220" spans="1:16" hidden="1" x14ac:dyDescent="0.35">
      <c r="B220" s="3"/>
      <c r="C220" s="20"/>
      <c r="D220" s="368"/>
      <c r="E220" s="19"/>
      <c r="F220" s="19"/>
      <c r="G220" s="10"/>
      <c r="I220" s="10"/>
      <c r="J220" s="10"/>
      <c r="K220" s="10"/>
      <c r="L220" s="469"/>
      <c r="M220" s="188"/>
      <c r="N220" s="3"/>
      <c r="O220" s="3"/>
      <c r="P220" s="3"/>
    </row>
    <row r="221" spans="1:16" x14ac:dyDescent="0.35">
      <c r="B221" s="3"/>
      <c r="C221" s="11" t="s">
        <v>679</v>
      </c>
      <c r="D221" s="10"/>
      <c r="E221" s="10"/>
      <c r="F221" s="10"/>
      <c r="G221" s="10"/>
      <c r="I221" s="10"/>
      <c r="J221" s="10"/>
      <c r="K221" s="10"/>
      <c r="L221" s="10"/>
      <c r="M221" s="12">
        <f>M216+M220</f>
        <v>539647295.40150297</v>
      </c>
      <c r="N221" s="3"/>
      <c r="O221" s="3"/>
      <c r="P221" s="3"/>
    </row>
    <row r="222" spans="1:16" x14ac:dyDescent="0.35">
      <c r="B222" s="3"/>
      <c r="C222" s="11"/>
      <c r="D222" s="10"/>
      <c r="E222" s="10"/>
      <c r="F222" s="10"/>
      <c r="G222" s="10"/>
      <c r="H222" s="10"/>
      <c r="I222" s="10"/>
      <c r="J222" s="10"/>
      <c r="K222" s="10"/>
      <c r="L222" s="10"/>
      <c r="M222" s="13"/>
      <c r="N222" s="3"/>
      <c r="O222" s="3"/>
      <c r="P222" s="3"/>
    </row>
    <row r="223" spans="1:16" x14ac:dyDescent="0.35">
      <c r="B223" s="3"/>
      <c r="C223" s="11"/>
      <c r="D223" s="10" t="s">
        <v>2</v>
      </c>
      <c r="E223" s="10"/>
      <c r="F223" s="10"/>
      <c r="G223" s="10"/>
      <c r="H223" s="10"/>
      <c r="I223" s="10"/>
      <c r="J223" s="10"/>
      <c r="K223" s="10"/>
      <c r="L223" s="10"/>
      <c r="M223" s="12">
        <f>L22</f>
        <v>539582375.40150297</v>
      </c>
      <c r="N223" s="3"/>
      <c r="O223" s="3"/>
      <c r="P223" s="3"/>
    </row>
    <row r="224" spans="1:16" x14ac:dyDescent="0.35">
      <c r="B224" s="3"/>
      <c r="C224" s="11"/>
      <c r="D224" s="10" t="s">
        <v>1</v>
      </c>
      <c r="E224" s="10"/>
      <c r="F224" s="10"/>
      <c r="G224" s="10"/>
      <c r="H224" s="10"/>
      <c r="I224" s="10"/>
      <c r="J224" s="10"/>
      <c r="K224" s="10"/>
      <c r="L224" s="10"/>
      <c r="M224" s="12">
        <f>M221-M223</f>
        <v>64920</v>
      </c>
      <c r="N224" s="3"/>
      <c r="O224" s="3"/>
      <c r="P224" s="3"/>
    </row>
    <row r="225" spans="1:16" x14ac:dyDescent="0.35">
      <c r="B225" s="3"/>
      <c r="C225" s="11"/>
      <c r="D225" s="10" t="s">
        <v>0</v>
      </c>
      <c r="E225" s="10"/>
      <c r="F225" s="10"/>
      <c r="G225" s="10"/>
      <c r="H225" s="10"/>
      <c r="I225" s="10"/>
      <c r="J225" s="10"/>
      <c r="K225" s="10"/>
      <c r="L225" s="10"/>
      <c r="M225" s="9">
        <f>M221/M223-1</f>
        <v>1.203152715127942E-4</v>
      </c>
      <c r="N225" s="3"/>
      <c r="O225" s="3"/>
      <c r="P225" s="3"/>
    </row>
    <row r="226" spans="1:16" ht="15" thickBot="1" x14ac:dyDescent="0.4">
      <c r="B226" s="3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5"/>
      <c r="N226" s="2"/>
      <c r="O226" s="2"/>
      <c r="P226" s="2"/>
    </row>
    <row r="227" spans="1:16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</row>
    <row r="228" spans="1:16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"/>
    </row>
    <row r="229" spans="1:16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</row>
    <row r="230" spans="1:16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2"/>
    </row>
    <row r="231" spans="1:16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</row>
  </sheetData>
  <mergeCells count="15">
    <mergeCell ref="H54:J54"/>
    <mergeCell ref="L54:N54"/>
    <mergeCell ref="L61:N61"/>
    <mergeCell ref="D93:F93"/>
    <mergeCell ref="N95:Q95"/>
    <mergeCell ref="H96:J96"/>
    <mergeCell ref="H193:J193"/>
    <mergeCell ref="D215:F215"/>
    <mergeCell ref="H116:J116"/>
    <mergeCell ref="L116:N116"/>
    <mergeCell ref="L123:N123"/>
    <mergeCell ref="H153:J153"/>
    <mergeCell ref="M153:O153"/>
    <mergeCell ref="H186:J186"/>
    <mergeCell ref="N96:Q96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67" max="16383" man="1"/>
    <brk id="128" max="16383" man="1"/>
    <brk id="20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O128"/>
  <sheetViews>
    <sheetView workbookViewId="0">
      <selection activeCell="G28" sqref="G28"/>
    </sheetView>
  </sheetViews>
  <sheetFormatPr defaultRowHeight="14.5" x14ac:dyDescent="0.35"/>
  <cols>
    <col min="1" max="1" width="46" customWidth="1"/>
    <col min="2" max="6" width="16" customWidth="1"/>
    <col min="7" max="7" width="17.7265625" customWidth="1"/>
    <col min="8" max="9" width="16" customWidth="1"/>
    <col min="10" max="10" width="9.81640625" customWidth="1"/>
    <col min="11" max="11" width="22.81640625" style="390" customWidth="1"/>
    <col min="14" max="14" width="15" customWidth="1"/>
    <col min="15" max="15" width="14.26953125" bestFit="1" customWidth="1"/>
    <col min="16" max="16" width="10.54296875" bestFit="1" customWidth="1"/>
    <col min="17" max="17" width="9.54296875" bestFit="1" customWidth="1"/>
    <col min="18" max="18" width="13.26953125" bestFit="1" customWidth="1"/>
    <col min="19" max="19" width="11.54296875" bestFit="1" customWidth="1"/>
    <col min="20" max="20" width="9.54296875" bestFit="1" customWidth="1"/>
    <col min="21" max="22" width="10.54296875" bestFit="1" customWidth="1"/>
  </cols>
  <sheetData>
    <row r="1" spans="1:11" ht="18.5" x14ac:dyDescent="0.45">
      <c r="A1" s="189" t="s">
        <v>2173</v>
      </c>
    </row>
    <row r="2" spans="1:11" x14ac:dyDescent="0.35">
      <c r="A2" s="480" t="s">
        <v>806</v>
      </c>
      <c r="B2" s="771">
        <f>'[1]A1.)RatesInput'!$G$3</f>
        <v>2017</v>
      </c>
      <c r="C2" s="367" t="str">
        <f>CONCATENATE('[1]A1.)RatesInput'!$I$2,":")</f>
        <v>RY1:</v>
      </c>
      <c r="D2" s="771">
        <f>'[1]A1.)RatesInput'!$I$3</f>
        <v>2020</v>
      </c>
    </row>
    <row r="3" spans="1:11" x14ac:dyDescent="0.35">
      <c r="A3" s="480" t="s">
        <v>296</v>
      </c>
      <c r="B3" s="771">
        <f>'[1]A1.)RatesInput'!$G$4</f>
        <v>2019</v>
      </c>
    </row>
    <row r="4" spans="1:11" x14ac:dyDescent="0.35">
      <c r="A4" s="480" t="s">
        <v>805</v>
      </c>
      <c r="B4" s="771">
        <f>'[1]A1.)RatesInput'!$I$4</f>
        <v>2020</v>
      </c>
    </row>
    <row r="6" spans="1:11" x14ac:dyDescent="0.35">
      <c r="B6" s="481"/>
      <c r="C6" s="481"/>
      <c r="D6" s="481"/>
      <c r="E6" s="481"/>
      <c r="F6" s="481"/>
      <c r="G6" s="481"/>
      <c r="H6" s="481"/>
      <c r="I6" s="481"/>
    </row>
    <row r="7" spans="1:11" x14ac:dyDescent="0.35">
      <c r="A7" s="143"/>
      <c r="B7" s="428" t="s">
        <v>796</v>
      </c>
      <c r="C7" s="428" t="s">
        <v>795</v>
      </c>
      <c r="D7" s="428" t="s">
        <v>962</v>
      </c>
      <c r="E7" s="428" t="s">
        <v>794</v>
      </c>
      <c r="F7" s="428" t="s">
        <v>1365</v>
      </c>
      <c r="G7" s="428" t="s">
        <v>1366</v>
      </c>
      <c r="H7" s="428" t="s">
        <v>793</v>
      </c>
      <c r="I7" s="428" t="s">
        <v>489</v>
      </c>
      <c r="K7" s="428" t="s">
        <v>205</v>
      </c>
    </row>
    <row r="8" spans="1:11" x14ac:dyDescent="0.35">
      <c r="A8" t="s">
        <v>1368</v>
      </c>
      <c r="B8" s="472">
        <f>'[2]4B.)HY_EnergyRatePxOut(Rate I)'!$L$20</f>
        <v>30113823</v>
      </c>
      <c r="C8" s="472">
        <f>'[2]4D-1.)HY_TODLRatePxOut(SC1&amp;2)'!$L$20</f>
        <v>19443</v>
      </c>
      <c r="D8" s="472">
        <f>'[2]4D-1.)HY_TODLRatePxOut(SC1&amp;2)'!$L$62</f>
        <v>1073</v>
      </c>
      <c r="E8" s="472">
        <f>'[2]4B.)HY_EnergyRatePxOut(Rate I)'!$L$363</f>
        <v>4531663.0000000009</v>
      </c>
      <c r="F8" s="472">
        <f>'[2]4B.)HY_EnergyRatePxOut(Rate I)'!$L$383</f>
        <v>174767</v>
      </c>
      <c r="G8" s="472">
        <f>'[2]4B.)HY_EnergyRatePxOut(Rate I)'!$L$403</f>
        <v>1356</v>
      </c>
      <c r="H8" s="472">
        <f>'[2]4D-1.)HY_TODLRatePxOut(SC1&amp;2)'!$L$42</f>
        <v>34854</v>
      </c>
      <c r="I8" s="472">
        <f>'[2]4B.)HY_EnergyRatePxOut(Rate I)'!$L$119</f>
        <v>40999</v>
      </c>
      <c r="K8" s="472">
        <f>SUM(B8:I8)</f>
        <v>34917978</v>
      </c>
    </row>
    <row r="9" spans="1:11" ht="15" thickBot="1" x14ac:dyDescent="0.4">
      <c r="A9" t="s">
        <v>1369</v>
      </c>
      <c r="B9" s="472">
        <f>'[2]4B.)HY_EnergyRatePxOut(Rate I)'!$L$40</f>
        <v>5192990</v>
      </c>
      <c r="C9" s="472"/>
      <c r="D9" s="472"/>
      <c r="E9" s="472"/>
      <c r="F9" s="472"/>
      <c r="G9" s="472"/>
      <c r="H9" s="472"/>
      <c r="I9" s="472"/>
      <c r="K9" s="472">
        <f>SUM(B9:I9)</f>
        <v>5192990</v>
      </c>
    </row>
    <row r="10" spans="1:11" ht="15.5" thickTop="1" thickBot="1" x14ac:dyDescent="0.4">
      <c r="A10" t="s">
        <v>799</v>
      </c>
      <c r="B10" s="717">
        <f t="shared" ref="B10:I10" si="0">B8+B9</f>
        <v>35306813</v>
      </c>
      <c r="C10" s="717">
        <f t="shared" si="0"/>
        <v>19443</v>
      </c>
      <c r="D10" s="717">
        <f t="shared" si="0"/>
        <v>1073</v>
      </c>
      <c r="E10" s="717">
        <f t="shared" si="0"/>
        <v>4531663.0000000009</v>
      </c>
      <c r="F10" s="717">
        <f t="shared" si="0"/>
        <v>174767</v>
      </c>
      <c r="G10" s="717">
        <f t="shared" si="0"/>
        <v>1356</v>
      </c>
      <c r="H10" s="717">
        <f t="shared" si="0"/>
        <v>34854</v>
      </c>
      <c r="I10" s="717">
        <f t="shared" si="0"/>
        <v>40999</v>
      </c>
      <c r="K10" s="717">
        <f>SUM(B10:I10)</f>
        <v>40110968</v>
      </c>
    </row>
    <row r="11" spans="1:11" ht="15" thickTop="1" x14ac:dyDescent="0.35">
      <c r="A11" s="765"/>
    </row>
    <row r="12" spans="1:11" x14ac:dyDescent="0.35">
      <c r="A12" s="143" t="s">
        <v>1361</v>
      </c>
      <c r="B12" s="764">
        <f>'[2]4B.)HY_EnergyRatePxOut(Rate I)'!$Q7</f>
        <v>15.76</v>
      </c>
      <c r="C12" s="764">
        <f>'[2]4D-1.)HY_TODLRatePxOut(SC1&amp;2)'!$Q7</f>
        <v>24.3</v>
      </c>
      <c r="D12" s="764">
        <f>'[2]4D-1.)HY_TODLRatePxOut(SC1&amp;2)'!$Q$49</f>
        <v>19.87</v>
      </c>
      <c r="E12" s="764">
        <f>'[2]4B.)HY_EnergyRatePxOut(Rate I)'!$Q$350</f>
        <v>26.01</v>
      </c>
      <c r="F12" s="764">
        <f>'[2]4B.)HY_EnergyRatePxOut(Rate I)'!$Q$370</f>
        <v>21.6</v>
      </c>
      <c r="G12" s="764">
        <f>'[2]4B.)HY_EnergyRatePxOut(Rate I)'!$Q$390</f>
        <v>13.005000000000001</v>
      </c>
      <c r="H12" s="764">
        <f>'[2]4D-1.)HY_TODLRatePxOut(SC1&amp;2)'!$Q29</f>
        <v>30.12</v>
      </c>
      <c r="I12" s="764">
        <f>'[2]4B.)HY_EnergyRatePxOut(Rate I)'!$Q106</f>
        <v>33.89</v>
      </c>
    </row>
    <row r="13" spans="1:11" x14ac:dyDescent="0.35">
      <c r="C13" s="424"/>
      <c r="D13" s="424"/>
      <c r="E13" s="424"/>
      <c r="F13" s="424"/>
      <c r="G13" s="424"/>
      <c r="H13" s="424"/>
    </row>
    <row r="14" spans="1:11" x14ac:dyDescent="0.35">
      <c r="A14" s="133" t="s">
        <v>804</v>
      </c>
      <c r="C14" s="424"/>
    </row>
    <row r="15" spans="1:11" x14ac:dyDescent="0.35">
      <c r="A15" t="s">
        <v>803</v>
      </c>
      <c r="B15" s="472">
        <f>'[2]4B.)HY_EnergyRatePxOut(Rate I)'!L10</f>
        <v>20073022</v>
      </c>
      <c r="C15" s="472">
        <f>'[2]4D-1.)HY_TODLRatePxOut(SC1&amp;2)'!L10</f>
        <v>12963</v>
      </c>
      <c r="D15" s="472">
        <f>'[2]4D-1.)HY_TODLRatePxOut(SC1&amp;2)'!$L$52</f>
        <v>714</v>
      </c>
      <c r="E15" s="472">
        <f>'[2]4B.)HY_EnergyRatePxOut(Rate I)'!$L$353</f>
        <v>3018519</v>
      </c>
      <c r="F15" s="472">
        <f>'[2]4B.)HY_EnergyRatePxOut(Rate I)'!$L$373</f>
        <v>115740</v>
      </c>
      <c r="G15" s="472">
        <f>'[2]4B.)HY_EnergyRatePxOut(Rate I)'!$L$393</f>
        <v>904</v>
      </c>
      <c r="H15" s="472">
        <f>'[2]4D-1.)HY_TODLRatePxOut(SC1&amp;2)'!L32</f>
        <v>23236</v>
      </c>
      <c r="I15" s="472">
        <f>'[2]4B.)HY_EnergyRatePxOut(Rate I)'!L109</f>
        <v>27359</v>
      </c>
      <c r="K15" s="679">
        <f>SUM(B15:I15)</f>
        <v>23272457</v>
      </c>
    </row>
    <row r="16" spans="1:11" x14ac:dyDescent="0.35">
      <c r="A16" t="s">
        <v>802</v>
      </c>
      <c r="B16" s="472">
        <f>'[2]4B.)HY_EnergyRatePxOut(Rate I)'!L15</f>
        <v>10040801</v>
      </c>
      <c r="C16" s="472">
        <f>'[2]4D-1.)HY_TODLRatePxOut(SC1&amp;2)'!L15</f>
        <v>6480</v>
      </c>
      <c r="D16" s="472">
        <f>'[2]4D-1.)HY_TODLRatePxOut(SC1&amp;2)'!$L$57</f>
        <v>359</v>
      </c>
      <c r="E16" s="472">
        <f>'[2]4B.)HY_EnergyRatePxOut(Rate I)'!$L$358</f>
        <v>1513144</v>
      </c>
      <c r="F16" s="472">
        <f>'[2]4B.)HY_EnergyRatePxOut(Rate I)'!$L$378</f>
        <v>59027</v>
      </c>
      <c r="G16" s="472">
        <f>'[2]4B.)HY_EnergyRatePxOut(Rate I)'!$L$398</f>
        <v>452</v>
      </c>
      <c r="H16" s="472">
        <f>'[2]4D-1.)HY_TODLRatePxOut(SC1&amp;2)'!L37</f>
        <v>11618</v>
      </c>
      <c r="I16" s="472">
        <f>'[2]4B.)HY_EnergyRatePxOut(Rate I)'!L114</f>
        <v>13640</v>
      </c>
      <c r="K16" s="679">
        <f>SUM(B16:I16)</f>
        <v>11645521</v>
      </c>
    </row>
    <row r="17" spans="1:11" x14ac:dyDescent="0.35">
      <c r="A17" t="s">
        <v>801</v>
      </c>
      <c r="B17" s="472">
        <f>'[2]4B.)HY_EnergyRatePxOut(Rate I)'!L30</f>
        <v>3460992</v>
      </c>
      <c r="C17" s="472"/>
      <c r="D17" s="472"/>
      <c r="E17" s="472"/>
      <c r="F17" s="472"/>
      <c r="G17" s="472"/>
      <c r="H17" s="472"/>
      <c r="I17" s="472"/>
      <c r="K17" s="679">
        <f>SUM(B17:I17)</f>
        <v>3460992</v>
      </c>
    </row>
    <row r="18" spans="1:11" ht="15" thickBot="1" x14ac:dyDescent="0.4">
      <c r="A18" t="s">
        <v>800</v>
      </c>
      <c r="B18" s="472">
        <f>'[2]4B.)HY_EnergyRatePxOut(Rate I)'!L35</f>
        <v>1731998</v>
      </c>
      <c r="C18" s="472"/>
      <c r="D18" s="472"/>
      <c r="E18" s="472"/>
      <c r="F18" s="472"/>
      <c r="G18" s="472"/>
      <c r="H18" s="472"/>
      <c r="I18" s="472"/>
      <c r="K18" s="679">
        <f>SUM(B18:I18)</f>
        <v>1731998</v>
      </c>
    </row>
    <row r="19" spans="1:11" ht="15.5" thickTop="1" thickBot="1" x14ac:dyDescent="0.4">
      <c r="A19" t="s">
        <v>799</v>
      </c>
      <c r="B19" s="151">
        <f t="shared" ref="B19:I19" si="1">SUM(B15:B18)</f>
        <v>35306813</v>
      </c>
      <c r="C19" s="151">
        <f t="shared" si="1"/>
        <v>19443</v>
      </c>
      <c r="D19" s="151">
        <f t="shared" si="1"/>
        <v>1073</v>
      </c>
      <c r="E19" s="151">
        <f t="shared" si="1"/>
        <v>4531663</v>
      </c>
      <c r="F19" s="151">
        <f t="shared" si="1"/>
        <v>174767</v>
      </c>
      <c r="G19" s="151">
        <f t="shared" si="1"/>
        <v>1356</v>
      </c>
      <c r="H19" s="151">
        <f t="shared" si="1"/>
        <v>34854</v>
      </c>
      <c r="I19" s="151">
        <f t="shared" si="1"/>
        <v>40999</v>
      </c>
      <c r="K19" s="151">
        <f>SUM(B19:I19)</f>
        <v>40110968</v>
      </c>
    </row>
    <row r="20" spans="1:11" ht="15" thickTop="1" x14ac:dyDescent="0.35">
      <c r="B20" s="680">
        <f t="shared" ref="B20:I20" si="2">B19-B10</f>
        <v>0</v>
      </c>
      <c r="C20" s="680">
        <f t="shared" si="2"/>
        <v>0</v>
      </c>
      <c r="D20" s="680">
        <f t="shared" si="2"/>
        <v>0</v>
      </c>
      <c r="E20" s="680">
        <f t="shared" si="2"/>
        <v>0</v>
      </c>
      <c r="F20" s="680"/>
      <c r="G20" s="680"/>
      <c r="H20" s="680">
        <f t="shared" si="2"/>
        <v>0</v>
      </c>
      <c r="I20" s="680">
        <f t="shared" si="2"/>
        <v>0</v>
      </c>
    </row>
    <row r="21" spans="1:11" x14ac:dyDescent="0.35">
      <c r="A21" t="s">
        <v>798</v>
      </c>
      <c r="B21" s="762">
        <f>HLOOKUP($B$2,'[1]A1.)RatesInput'!$D$63:$J$83,20,0)</f>
        <v>1.01067</v>
      </c>
      <c r="C21" s="511">
        <f t="shared" ref="C21:H23" si="3">$B21</f>
        <v>1.01067</v>
      </c>
      <c r="D21" s="511">
        <f t="shared" si="3"/>
        <v>1.01067</v>
      </c>
      <c r="E21" s="511">
        <f t="shared" si="3"/>
        <v>1.01067</v>
      </c>
      <c r="F21" s="511">
        <f t="shared" si="3"/>
        <v>1.01067</v>
      </c>
      <c r="G21" s="511">
        <f t="shared" si="3"/>
        <v>1.01067</v>
      </c>
      <c r="H21" s="511">
        <f t="shared" si="3"/>
        <v>1.01067</v>
      </c>
      <c r="I21" s="511">
        <v>1</v>
      </c>
    </row>
    <row r="22" spans="1:11" x14ac:dyDescent="0.35">
      <c r="A22" t="s">
        <v>797</v>
      </c>
      <c r="B22" s="762">
        <f>HLOOKUP($B$2,'[1]A1.)RatesInput'!$D$63:$J$83,19,0)</f>
        <v>1.0119199999999999</v>
      </c>
      <c r="C22" s="511">
        <f t="shared" si="3"/>
        <v>1.0119199999999999</v>
      </c>
      <c r="D22" s="511">
        <f t="shared" si="3"/>
        <v>1.0119199999999999</v>
      </c>
      <c r="E22" s="511">
        <f t="shared" si="3"/>
        <v>1.0119199999999999</v>
      </c>
      <c r="F22" s="511">
        <f t="shared" si="3"/>
        <v>1.0119199999999999</v>
      </c>
      <c r="G22" s="511">
        <f t="shared" si="3"/>
        <v>1.0119199999999999</v>
      </c>
      <c r="H22" s="511">
        <f t="shared" si="3"/>
        <v>1.0119199999999999</v>
      </c>
      <c r="I22" s="511">
        <v>1</v>
      </c>
    </row>
    <row r="23" spans="1:11" x14ac:dyDescent="0.35">
      <c r="A23" t="s">
        <v>790</v>
      </c>
      <c r="B23" s="762">
        <f>HLOOKUP($B$2,'[1]A1.)RatesInput'!$D$63:$J$83,18,0)</f>
        <v>1.01108</v>
      </c>
      <c r="C23" s="511">
        <f t="shared" si="3"/>
        <v>1.01108</v>
      </c>
      <c r="D23" s="511">
        <f t="shared" si="3"/>
        <v>1.01108</v>
      </c>
      <c r="E23" s="511">
        <f t="shared" si="3"/>
        <v>1.01108</v>
      </c>
      <c r="F23" s="511">
        <f t="shared" si="3"/>
        <v>1.01108</v>
      </c>
      <c r="G23" s="511">
        <f t="shared" si="3"/>
        <v>1.01108</v>
      </c>
      <c r="H23" s="511">
        <f t="shared" si="3"/>
        <v>1.01108</v>
      </c>
      <c r="I23" s="511">
        <v>1</v>
      </c>
    </row>
    <row r="25" spans="1:11" x14ac:dyDescent="0.35">
      <c r="A25" s="133" t="s">
        <v>1359</v>
      </c>
    </row>
    <row r="26" spans="1:11" x14ac:dyDescent="0.35">
      <c r="A26" t="s">
        <v>788</v>
      </c>
      <c r="B26" s="134">
        <f t="shared" ref="B26:I27" si="4">ROUND((B15+B17)*B$12,0)</f>
        <v>370896061</v>
      </c>
      <c r="C26" s="134">
        <f t="shared" si="4"/>
        <v>315001</v>
      </c>
      <c r="D26" s="134">
        <f t="shared" ref="D26" si="5">ROUND((D15+D17)*D$12,0)</f>
        <v>14187</v>
      </c>
      <c r="E26" s="134">
        <f>ROUND((E15+E17)*E$12,0)</f>
        <v>78511679</v>
      </c>
      <c r="F26" s="134">
        <f>ROUND((F15+F17)*F$12,0)</f>
        <v>2499984</v>
      </c>
      <c r="G26" s="134">
        <f>ROUND((G15+G17)*G$12,0)</f>
        <v>11757</v>
      </c>
      <c r="H26" s="134">
        <f t="shared" si="4"/>
        <v>699868</v>
      </c>
      <c r="I26" s="134">
        <f t="shared" si="4"/>
        <v>927197</v>
      </c>
      <c r="K26" s="134">
        <f>SUM(B26:I26)</f>
        <v>453875734</v>
      </c>
    </row>
    <row r="27" spans="1:11" ht="15" thickBot="1" x14ac:dyDescent="0.4">
      <c r="A27" t="s">
        <v>787</v>
      </c>
      <c r="B27" s="134">
        <f t="shared" si="4"/>
        <v>185539312</v>
      </c>
      <c r="C27" s="134">
        <f t="shared" si="4"/>
        <v>157464</v>
      </c>
      <c r="D27" s="134">
        <f t="shared" ref="D27" si="6">ROUND((D16+D18)*D$12,0)</f>
        <v>7133</v>
      </c>
      <c r="E27" s="134">
        <f t="shared" si="4"/>
        <v>39356875</v>
      </c>
      <c r="F27" s="134">
        <f t="shared" ref="F27:G27" si="7">ROUND((F16+F18)*F$12,0)</f>
        <v>1274983</v>
      </c>
      <c r="G27" s="134">
        <f t="shared" si="7"/>
        <v>5878</v>
      </c>
      <c r="H27" s="134">
        <f t="shared" si="4"/>
        <v>349934</v>
      </c>
      <c r="I27" s="134">
        <f t="shared" si="4"/>
        <v>462260</v>
      </c>
      <c r="K27" s="134">
        <f>SUM(B27:I27)</f>
        <v>227153839</v>
      </c>
    </row>
    <row r="28" spans="1:11" ht="15.5" thickTop="1" thickBot="1" x14ac:dyDescent="0.4">
      <c r="A28" t="s">
        <v>786</v>
      </c>
      <c r="B28" s="427">
        <f t="shared" ref="B28:I28" si="8">B26+B27</f>
        <v>556435373</v>
      </c>
      <c r="C28" s="427">
        <f t="shared" si="8"/>
        <v>472465</v>
      </c>
      <c r="D28" s="427">
        <f t="shared" si="8"/>
        <v>21320</v>
      </c>
      <c r="E28" s="427">
        <f t="shared" si="8"/>
        <v>117868554</v>
      </c>
      <c r="F28" s="427">
        <f t="shared" ref="F28:G28" si="9">F26+F27</f>
        <v>3774967</v>
      </c>
      <c r="G28" s="427">
        <f t="shared" si="9"/>
        <v>17635</v>
      </c>
      <c r="H28" s="427">
        <f t="shared" si="8"/>
        <v>1049802</v>
      </c>
      <c r="I28" s="427">
        <f t="shared" si="8"/>
        <v>1389457</v>
      </c>
      <c r="K28" s="427">
        <f>SUM(B28:I28)</f>
        <v>681029573</v>
      </c>
    </row>
    <row r="29" spans="1:11" ht="15" thickTop="1" x14ac:dyDescent="0.35">
      <c r="K29"/>
    </row>
    <row r="30" spans="1:11" x14ac:dyDescent="0.35">
      <c r="A30" s="133" t="s">
        <v>1363</v>
      </c>
      <c r="K30"/>
    </row>
    <row r="31" spans="1:11" x14ac:dyDescent="0.35">
      <c r="A31" t="s">
        <v>788</v>
      </c>
      <c r="B31" s="134">
        <f t="shared" ref="B31:I32" si="10">ROUND(B26*(B21-1),0)</f>
        <v>3957461</v>
      </c>
      <c r="C31" s="134">
        <f t="shared" si="10"/>
        <v>3361</v>
      </c>
      <c r="D31" s="134">
        <f t="shared" ref="D31" si="11">ROUND(D26*(D21-1),0)</f>
        <v>151</v>
      </c>
      <c r="E31" s="134">
        <f t="shared" si="10"/>
        <v>837720</v>
      </c>
      <c r="F31" s="134">
        <f t="shared" ref="F31:G31" si="12">ROUND(F26*(F21-1),0)</f>
        <v>26675</v>
      </c>
      <c r="G31" s="134">
        <f t="shared" si="12"/>
        <v>125</v>
      </c>
      <c r="H31" s="134">
        <f t="shared" si="10"/>
        <v>7468</v>
      </c>
      <c r="I31" s="134">
        <f t="shared" si="10"/>
        <v>0</v>
      </c>
      <c r="K31" s="134">
        <f>SUM(B31:I31)</f>
        <v>4832961</v>
      </c>
    </row>
    <row r="32" spans="1:11" ht="15" thickBot="1" x14ac:dyDescent="0.4">
      <c r="A32" t="s">
        <v>787</v>
      </c>
      <c r="B32" s="134">
        <f t="shared" si="10"/>
        <v>2211629</v>
      </c>
      <c r="C32" s="134">
        <f t="shared" si="10"/>
        <v>1877</v>
      </c>
      <c r="D32" s="134">
        <f t="shared" ref="D32" si="13">ROUND(D27*(D22-1),0)</f>
        <v>85</v>
      </c>
      <c r="E32" s="134">
        <f t="shared" si="10"/>
        <v>469134</v>
      </c>
      <c r="F32" s="134">
        <f t="shared" ref="F32:G32" si="14">ROUND(F27*(F22-1),0)</f>
        <v>15198</v>
      </c>
      <c r="G32" s="134">
        <f t="shared" si="14"/>
        <v>70</v>
      </c>
      <c r="H32" s="134">
        <f t="shared" si="10"/>
        <v>4171</v>
      </c>
      <c r="I32" s="134">
        <f t="shared" si="10"/>
        <v>0</v>
      </c>
      <c r="K32" s="134">
        <f>SUM(B32:I32)</f>
        <v>2702164</v>
      </c>
    </row>
    <row r="33" spans="1:11" ht="15.5" thickTop="1" thickBot="1" x14ac:dyDescent="0.4">
      <c r="A33" t="s">
        <v>785</v>
      </c>
      <c r="B33" s="427">
        <f t="shared" ref="B33:I33" si="15">B31+B32</f>
        <v>6169090</v>
      </c>
      <c r="C33" s="427">
        <f t="shared" si="15"/>
        <v>5238</v>
      </c>
      <c r="D33" s="427">
        <f t="shared" si="15"/>
        <v>236</v>
      </c>
      <c r="E33" s="427">
        <f t="shared" si="15"/>
        <v>1306854</v>
      </c>
      <c r="F33" s="427">
        <f t="shared" ref="F33:G33" si="16">F31+F32</f>
        <v>41873</v>
      </c>
      <c r="G33" s="427">
        <f t="shared" si="16"/>
        <v>195</v>
      </c>
      <c r="H33" s="427">
        <f t="shared" si="15"/>
        <v>11639</v>
      </c>
      <c r="I33" s="427">
        <f t="shared" si="15"/>
        <v>0</v>
      </c>
      <c r="K33" s="427">
        <f>SUM(B33:I33)</f>
        <v>7535125</v>
      </c>
    </row>
    <row r="34" spans="1:11" ht="15" thickTop="1" x14ac:dyDescent="0.35">
      <c r="K34"/>
    </row>
    <row r="35" spans="1:11" x14ac:dyDescent="0.35">
      <c r="A35" s="133" t="s">
        <v>1360</v>
      </c>
      <c r="K35"/>
    </row>
    <row r="36" spans="1:11" x14ac:dyDescent="0.35">
      <c r="A36" t="s">
        <v>788</v>
      </c>
      <c r="B36" s="134">
        <f t="shared" ref="B36:I37" si="17">B26+B31</f>
        <v>374853522</v>
      </c>
      <c r="C36" s="134">
        <f t="shared" si="17"/>
        <v>318362</v>
      </c>
      <c r="D36" s="134">
        <f t="shared" ref="D36" si="18">D26+D31</f>
        <v>14338</v>
      </c>
      <c r="E36" s="134">
        <f t="shared" si="17"/>
        <v>79349399</v>
      </c>
      <c r="F36" s="134">
        <f t="shared" ref="F36:G36" si="19">F26+F31</f>
        <v>2526659</v>
      </c>
      <c r="G36" s="134">
        <f t="shared" si="19"/>
        <v>11882</v>
      </c>
      <c r="H36" s="134">
        <f t="shared" si="17"/>
        <v>707336</v>
      </c>
      <c r="I36" s="134">
        <f t="shared" si="17"/>
        <v>927197</v>
      </c>
      <c r="K36" s="134">
        <f>SUM(B36:I36)</f>
        <v>458708695</v>
      </c>
    </row>
    <row r="37" spans="1:11" ht="15" thickBot="1" x14ac:dyDescent="0.4">
      <c r="A37" t="s">
        <v>787</v>
      </c>
      <c r="B37" s="134">
        <f t="shared" si="17"/>
        <v>187750941</v>
      </c>
      <c r="C37" s="134">
        <f t="shared" si="17"/>
        <v>159341</v>
      </c>
      <c r="D37" s="134">
        <f t="shared" ref="D37" si="20">D27+D32</f>
        <v>7218</v>
      </c>
      <c r="E37" s="134">
        <f t="shared" si="17"/>
        <v>39826009</v>
      </c>
      <c r="F37" s="134">
        <f t="shared" ref="F37:G37" si="21">F27+F32</f>
        <v>1290181</v>
      </c>
      <c r="G37" s="134">
        <f t="shared" si="21"/>
        <v>5948</v>
      </c>
      <c r="H37" s="134">
        <f t="shared" si="17"/>
        <v>354105</v>
      </c>
      <c r="I37" s="134">
        <f t="shared" si="17"/>
        <v>462260</v>
      </c>
      <c r="K37" s="134">
        <f>SUM(B37:I37)</f>
        <v>229856003</v>
      </c>
    </row>
    <row r="38" spans="1:11" ht="15.5" thickTop="1" thickBot="1" x14ac:dyDescent="0.4">
      <c r="A38" t="s">
        <v>784</v>
      </c>
      <c r="B38" s="427">
        <f t="shared" ref="B38:I38" si="22">B36+B37</f>
        <v>562604463</v>
      </c>
      <c r="C38" s="427">
        <f t="shared" si="22"/>
        <v>477703</v>
      </c>
      <c r="D38" s="427">
        <f t="shared" si="22"/>
        <v>21556</v>
      </c>
      <c r="E38" s="427">
        <f t="shared" si="22"/>
        <v>119175408</v>
      </c>
      <c r="F38" s="427">
        <f t="shared" ref="F38:G38" si="23">F36+F37</f>
        <v>3816840</v>
      </c>
      <c r="G38" s="427">
        <f t="shared" si="23"/>
        <v>17830</v>
      </c>
      <c r="H38" s="427">
        <f t="shared" si="22"/>
        <v>1061441</v>
      </c>
      <c r="I38" s="427">
        <f t="shared" si="22"/>
        <v>1389457</v>
      </c>
      <c r="K38" s="427">
        <f>SUM(B38:I38)</f>
        <v>688564698</v>
      </c>
    </row>
    <row r="39" spans="1:11" ht="15" thickTop="1" x14ac:dyDescent="0.35">
      <c r="B39" s="404">
        <f>B38-'[2]4B.)HY_EnergyRatePxOut(Rate I)'!Y17-'[2]4B.)HY_EnergyRatePxOut(Rate I)'!Y37</f>
        <v>0.39809924364089966</v>
      </c>
      <c r="C39" s="404">
        <f>C38-'[2]4D-1.)HY_TODLRatePxOut(SC1&amp;2)'!V17</f>
        <v>0</v>
      </c>
      <c r="D39" s="404">
        <f>D38-'[2]4D-1.)HY_TODLRatePxOut(SC1&amp;2)'!$V$59</f>
        <v>0</v>
      </c>
      <c r="E39" s="404">
        <f>E38+F38+G38-'[2]4B.)HY_EnergyRatePxOut(Rate I)'!Y57</f>
        <v>0</v>
      </c>
      <c r="F39" s="404"/>
      <c r="G39" s="404"/>
      <c r="H39" s="404">
        <f>H38-'[2]4D-1.)HY_TODLRatePxOut(SC1&amp;2)'!V39</f>
        <v>0</v>
      </c>
      <c r="I39" s="404">
        <f>I38-'[2]4B.)HY_EnergyRatePxOut(Rate I)'!V116</f>
        <v>0</v>
      </c>
      <c r="K39" s="404"/>
    </row>
    <row r="40" spans="1:11" x14ac:dyDescent="0.35">
      <c r="K40"/>
    </row>
    <row r="41" spans="1:11" x14ac:dyDescent="0.35">
      <c r="A41" s="772" t="s">
        <v>1374</v>
      </c>
      <c r="K41"/>
    </row>
    <row r="42" spans="1:11" x14ac:dyDescent="0.35">
      <c r="A42" t="s">
        <v>786</v>
      </c>
      <c r="B42" s="130">
        <f t="shared" ref="B42:I42" si="24">B28</f>
        <v>556435373</v>
      </c>
      <c r="C42" s="130">
        <f t="shared" si="24"/>
        <v>472465</v>
      </c>
      <c r="D42" s="130">
        <f t="shared" si="24"/>
        <v>21320</v>
      </c>
      <c r="E42" s="130">
        <f t="shared" si="24"/>
        <v>117868554</v>
      </c>
      <c r="F42" s="130">
        <f t="shared" ref="F42:G42" si="25">F28</f>
        <v>3774967</v>
      </c>
      <c r="G42" s="130">
        <f t="shared" si="25"/>
        <v>17635</v>
      </c>
      <c r="H42" s="130">
        <f t="shared" si="24"/>
        <v>1049802</v>
      </c>
      <c r="I42" s="130">
        <f t="shared" si="24"/>
        <v>1389457</v>
      </c>
      <c r="K42" s="130">
        <f>SUM(B42:I42)</f>
        <v>681029573</v>
      </c>
    </row>
    <row r="43" spans="1:11" ht="15" thickBot="1" x14ac:dyDescent="0.4">
      <c r="A43" t="s">
        <v>785</v>
      </c>
      <c r="B43" s="130">
        <f t="shared" ref="B43:I43" si="26">B33</f>
        <v>6169090</v>
      </c>
      <c r="C43" s="130">
        <f t="shared" si="26"/>
        <v>5238</v>
      </c>
      <c r="D43" s="130">
        <f t="shared" si="26"/>
        <v>236</v>
      </c>
      <c r="E43" s="130">
        <f t="shared" si="26"/>
        <v>1306854</v>
      </c>
      <c r="F43" s="130">
        <f t="shared" ref="F43:G43" si="27">F33</f>
        <v>41873</v>
      </c>
      <c r="G43" s="130">
        <f t="shared" si="27"/>
        <v>195</v>
      </c>
      <c r="H43" s="130">
        <f t="shared" si="26"/>
        <v>11639</v>
      </c>
      <c r="I43" s="130">
        <f t="shared" si="26"/>
        <v>0</v>
      </c>
      <c r="K43" s="130">
        <f>SUM(B43:I43)</f>
        <v>7535125</v>
      </c>
    </row>
    <row r="44" spans="1:11" ht="15.5" thickTop="1" thickBot="1" x14ac:dyDescent="0.4">
      <c r="A44" s="464" t="s">
        <v>1528</v>
      </c>
      <c r="B44" s="634">
        <f t="shared" ref="B44:I44" si="28">B42+B43</f>
        <v>562604463</v>
      </c>
      <c r="C44" s="634">
        <f t="shared" si="28"/>
        <v>477703</v>
      </c>
      <c r="D44" s="634">
        <f t="shared" si="28"/>
        <v>21556</v>
      </c>
      <c r="E44" s="634">
        <f t="shared" si="28"/>
        <v>119175408</v>
      </c>
      <c r="F44" s="634">
        <f t="shared" ref="F44:G44" si="29">F42+F43</f>
        <v>3816840</v>
      </c>
      <c r="G44" s="634">
        <f t="shared" si="29"/>
        <v>17830</v>
      </c>
      <c r="H44" s="634">
        <f t="shared" si="28"/>
        <v>1061441</v>
      </c>
      <c r="I44" s="634">
        <f t="shared" si="28"/>
        <v>1389457</v>
      </c>
      <c r="K44" s="634">
        <f>SUM(B44:I44)</f>
        <v>688564698</v>
      </c>
    </row>
    <row r="45" spans="1:11" s="385" customFormat="1" ht="15" thickTop="1" x14ac:dyDescent="0.35">
      <c r="A45" s="385" t="s">
        <v>1413</v>
      </c>
      <c r="B45" s="404">
        <f>B44-'[2]4B.)HY_EnergyRatePxOut(Rate I)'!$Y$17-'[2]4B.)HY_EnergyRatePxOut(Rate I)'!$Y$37</f>
        <v>0.39809924364089966</v>
      </c>
      <c r="D45" s="404"/>
      <c r="G45" s="404">
        <f>SUM(E44:G44)-'[2]4B.)HY_EnergyRatePxOut(Rate I)'!$Y$57</f>
        <v>0</v>
      </c>
    </row>
    <row r="47" spans="1:11" ht="15" thickBot="1" x14ac:dyDescent="0.4">
      <c r="A47" s="772" t="s">
        <v>1375</v>
      </c>
      <c r="B47" s="428" t="str">
        <f>B$7</f>
        <v>SC1 (Rate I)</v>
      </c>
      <c r="C47" s="428" t="str">
        <f t="shared" ref="C47:I47" si="30">C$7</f>
        <v>SC1 (Rate II)</v>
      </c>
      <c r="D47" s="428" t="str">
        <f t="shared" si="30"/>
        <v>SC1 (Rate III)</v>
      </c>
      <c r="E47" s="428" t="str">
        <f t="shared" si="30"/>
        <v>SC2 (Rate I)</v>
      </c>
      <c r="F47" s="428" t="str">
        <f t="shared" si="30"/>
        <v>SC2 Unmetered</v>
      </c>
      <c r="G47" s="428" t="str">
        <f t="shared" si="30"/>
        <v>SC2 Unmetered D</v>
      </c>
      <c r="H47" s="428" t="str">
        <f t="shared" si="30"/>
        <v>SC2 (Rate II)</v>
      </c>
      <c r="I47" s="428" t="str">
        <f t="shared" si="30"/>
        <v>SC6</v>
      </c>
    </row>
    <row r="48" spans="1:11" ht="15.5" thickTop="1" thickBot="1" x14ac:dyDescent="0.4">
      <c r="A48" t="s">
        <v>1358</v>
      </c>
      <c r="B48" s="677">
        <f>'7B.)CustCharge_RateDesign'!E52</f>
        <v>16</v>
      </c>
      <c r="C48" s="752">
        <f>B48</f>
        <v>16</v>
      </c>
      <c r="D48" s="365">
        <f>B48</f>
        <v>16</v>
      </c>
      <c r="E48" s="677">
        <f>'7B.)CustCharge_RateDesign'!F52</f>
        <v>28.1</v>
      </c>
      <c r="F48" s="678">
        <f>E48</f>
        <v>28.1</v>
      </c>
      <c r="G48" s="678">
        <f>E48*0.5</f>
        <v>14.05</v>
      </c>
      <c r="H48" s="365">
        <f>E48</f>
        <v>28.1</v>
      </c>
      <c r="I48" s="677">
        <f>'7B.)CustCharge_RateDesign'!H52</f>
        <v>36.6</v>
      </c>
      <c r="J48" s="372"/>
    </row>
    <row r="49" spans="1:11" ht="15" thickTop="1" x14ac:dyDescent="0.35">
      <c r="A49" t="s">
        <v>1367</v>
      </c>
      <c r="F49" s="676">
        <f>-'[1]A1.)RatesInput'!$D$60</f>
        <v>-4.41</v>
      </c>
      <c r="G49" s="1"/>
    </row>
    <row r="50" spans="1:11" x14ac:dyDescent="0.35">
      <c r="A50" t="s">
        <v>1356</v>
      </c>
      <c r="C50" s="676">
        <f>'[1]A1.)RatesInput'!$D$61</f>
        <v>4.1100000000000003</v>
      </c>
      <c r="D50" s="675">
        <f>C50</f>
        <v>4.1100000000000003</v>
      </c>
      <c r="E50" s="1"/>
      <c r="H50" s="675">
        <f>C50</f>
        <v>4.1100000000000003</v>
      </c>
      <c r="I50" s="428"/>
      <c r="J50" s="372"/>
    </row>
    <row r="51" spans="1:11" ht="15" thickBot="1" x14ac:dyDescent="0.4">
      <c r="A51" t="s">
        <v>1370</v>
      </c>
      <c r="B51" s="428"/>
      <c r="C51" s="1256">
        <v>8.5050009999999995E-2</v>
      </c>
      <c r="D51" s="673">
        <f>$C51</f>
        <v>8.5050009999999995E-2</v>
      </c>
      <c r="E51" s="428"/>
      <c r="F51" s="673">
        <v>0</v>
      </c>
      <c r="G51" s="428"/>
      <c r="H51" s="673">
        <f>C51</f>
        <v>8.5050009999999995E-2</v>
      </c>
      <c r="I51" s="428"/>
      <c r="J51" s="372"/>
    </row>
    <row r="52" spans="1:11" ht="15.5" thickTop="1" thickBot="1" x14ac:dyDescent="0.4">
      <c r="A52" t="s">
        <v>1357</v>
      </c>
      <c r="B52" s="428"/>
      <c r="C52" s="674">
        <f>ROUND(C50*(1+C51),2)</f>
        <v>4.46</v>
      </c>
      <c r="D52" s="674">
        <f>ROUND(D50*(1+D51),2)</f>
        <v>4.46</v>
      </c>
      <c r="E52" s="428"/>
      <c r="F52" s="674">
        <f>ROUND(F49*(1+F51),2)</f>
        <v>-4.41</v>
      </c>
      <c r="G52" s="428"/>
      <c r="H52" s="674">
        <f>ROUND(H50*(1+H51),2)</f>
        <v>4.46</v>
      </c>
      <c r="I52" s="428"/>
      <c r="J52" s="372"/>
    </row>
    <row r="53" spans="1:11" ht="15.5" thickTop="1" thickBot="1" x14ac:dyDescent="0.4">
      <c r="A53" s="143" t="s">
        <v>1531</v>
      </c>
      <c r="B53" s="763">
        <f>B48</f>
        <v>16</v>
      </c>
      <c r="C53" s="763">
        <f>C48+C52</f>
        <v>20.46</v>
      </c>
      <c r="D53" s="763">
        <f>D48+D52</f>
        <v>20.46</v>
      </c>
      <c r="E53" s="763">
        <f>E48</f>
        <v>28.1</v>
      </c>
      <c r="F53" s="763">
        <f>F48+F52</f>
        <v>23.69</v>
      </c>
      <c r="G53" s="763">
        <f>G48</f>
        <v>14.05</v>
      </c>
      <c r="H53" s="763">
        <f>H48+H52</f>
        <v>32.56</v>
      </c>
      <c r="I53" s="763">
        <f>I48</f>
        <v>36.6</v>
      </c>
    </row>
    <row r="54" spans="1:11" ht="15" thickTop="1" x14ac:dyDescent="0.35"/>
    <row r="55" spans="1:11" x14ac:dyDescent="0.35">
      <c r="A55" t="s">
        <v>792</v>
      </c>
      <c r="B55" s="511">
        <f>B21</f>
        <v>1.01067</v>
      </c>
      <c r="C55" s="511">
        <f>$B55</f>
        <v>1.01067</v>
      </c>
      <c r="D55" s="511">
        <f>$B55</f>
        <v>1.01067</v>
      </c>
      <c r="E55" s="511">
        <f t="shared" ref="C55:H57" si="31">$B55</f>
        <v>1.01067</v>
      </c>
      <c r="F55" s="511">
        <f t="shared" si="31"/>
        <v>1.01067</v>
      </c>
      <c r="G55" s="511">
        <f t="shared" si="31"/>
        <v>1.01067</v>
      </c>
      <c r="H55" s="511">
        <f t="shared" si="31"/>
        <v>1.01067</v>
      </c>
      <c r="I55" s="511">
        <v>1</v>
      </c>
    </row>
    <row r="56" spans="1:11" x14ac:dyDescent="0.35">
      <c r="A56" t="s">
        <v>791</v>
      </c>
      <c r="B56" s="511">
        <f>B22</f>
        <v>1.0119199999999999</v>
      </c>
      <c r="C56" s="511">
        <f t="shared" si="31"/>
        <v>1.0119199999999999</v>
      </c>
      <c r="D56" s="511">
        <f t="shared" si="31"/>
        <v>1.0119199999999999</v>
      </c>
      <c r="E56" s="511">
        <f t="shared" si="31"/>
        <v>1.0119199999999999</v>
      </c>
      <c r="F56" s="511">
        <f t="shared" si="31"/>
        <v>1.0119199999999999</v>
      </c>
      <c r="G56" s="511">
        <f t="shared" si="31"/>
        <v>1.0119199999999999</v>
      </c>
      <c r="H56" s="511">
        <f t="shared" si="31"/>
        <v>1.0119199999999999</v>
      </c>
      <c r="I56" s="511">
        <v>1</v>
      </c>
    </row>
    <row r="57" spans="1:11" x14ac:dyDescent="0.35">
      <c r="A57" t="s">
        <v>790</v>
      </c>
      <c r="B57" s="511">
        <f>B23</f>
        <v>1.01108</v>
      </c>
      <c r="C57" s="511">
        <f t="shared" si="31"/>
        <v>1.01108</v>
      </c>
      <c r="D57" s="511">
        <f t="shared" si="31"/>
        <v>1.01108</v>
      </c>
      <c r="E57" s="511">
        <f t="shared" si="31"/>
        <v>1.01108</v>
      </c>
      <c r="F57" s="511">
        <f t="shared" si="31"/>
        <v>1.01108</v>
      </c>
      <c r="G57" s="511">
        <f t="shared" si="31"/>
        <v>1.01108</v>
      </c>
      <c r="H57" s="511">
        <f t="shared" si="31"/>
        <v>1.01108</v>
      </c>
      <c r="I57" s="511">
        <v>1</v>
      </c>
    </row>
    <row r="58" spans="1:11" x14ac:dyDescent="0.35">
      <c r="C58" s="511"/>
      <c r="D58" s="511"/>
      <c r="E58" s="511"/>
      <c r="F58" s="511"/>
      <c r="G58" s="511"/>
      <c r="H58" s="511"/>
      <c r="I58" s="511"/>
    </row>
    <row r="59" spans="1:11" x14ac:dyDescent="0.35">
      <c r="A59" s="133" t="s">
        <v>1362</v>
      </c>
    </row>
    <row r="60" spans="1:11" x14ac:dyDescent="0.35">
      <c r="A60" t="s">
        <v>788</v>
      </c>
      <c r="B60" s="134">
        <f>ROUND((B15+B17)*B$53,0)</f>
        <v>376544224</v>
      </c>
      <c r="C60" s="134">
        <f>ROUND((C15+C17)*C$53,0)</f>
        <v>265223</v>
      </c>
      <c r="D60" s="134">
        <f t="shared" ref="D60" si="32">ROUND((D15+D17)*D$53,0)</f>
        <v>14608</v>
      </c>
      <c r="E60" s="134">
        <f t="shared" ref="E60:I61" si="33">ROUND((E15+E17)*E$53,0)</f>
        <v>84820384</v>
      </c>
      <c r="F60" s="134">
        <f t="shared" si="33"/>
        <v>2741881</v>
      </c>
      <c r="G60" s="134">
        <f t="shared" si="33"/>
        <v>12701</v>
      </c>
      <c r="H60" s="134">
        <f t="shared" si="33"/>
        <v>756564</v>
      </c>
      <c r="I60" s="134">
        <f t="shared" si="33"/>
        <v>1001339</v>
      </c>
      <c r="K60" s="134">
        <f>SUM(B60:I60)</f>
        <v>466156924</v>
      </c>
    </row>
    <row r="61" spans="1:11" ht="15" thickBot="1" x14ac:dyDescent="0.4">
      <c r="A61" t="s">
        <v>787</v>
      </c>
      <c r="B61" s="134">
        <f>ROUND((B16+B18)*B$53,0)</f>
        <v>188364784</v>
      </c>
      <c r="C61" s="134">
        <f>ROUND((C16+C18)*C$53,0)</f>
        <v>132581</v>
      </c>
      <c r="D61" s="134">
        <f t="shared" ref="D61" si="34">ROUND((D16+D18)*D$53,0)</f>
        <v>7345</v>
      </c>
      <c r="E61" s="134">
        <f t="shared" si="33"/>
        <v>42519346</v>
      </c>
      <c r="F61" s="134">
        <f t="shared" si="33"/>
        <v>1398350</v>
      </c>
      <c r="G61" s="134">
        <f t="shared" si="33"/>
        <v>6351</v>
      </c>
      <c r="H61" s="134">
        <f t="shared" si="33"/>
        <v>378282</v>
      </c>
      <c r="I61" s="134">
        <f t="shared" si="33"/>
        <v>499224</v>
      </c>
      <c r="K61" s="134">
        <f>SUM(B61:I61)</f>
        <v>233306263</v>
      </c>
    </row>
    <row r="62" spans="1:11" ht="15.5" thickTop="1" thickBot="1" x14ac:dyDescent="0.4">
      <c r="A62" t="s">
        <v>786</v>
      </c>
      <c r="B62" s="427">
        <f t="shared" ref="B62:I62" si="35">B60+B61</f>
        <v>564909008</v>
      </c>
      <c r="C62" s="427">
        <f t="shared" si="35"/>
        <v>397804</v>
      </c>
      <c r="D62" s="427">
        <f t="shared" si="35"/>
        <v>21953</v>
      </c>
      <c r="E62" s="427">
        <f t="shared" si="35"/>
        <v>127339730</v>
      </c>
      <c r="F62" s="427">
        <f t="shared" ref="F62:G62" si="36">F60+F61</f>
        <v>4140231</v>
      </c>
      <c r="G62" s="427">
        <f t="shared" si="36"/>
        <v>19052</v>
      </c>
      <c r="H62" s="427">
        <f t="shared" si="35"/>
        <v>1134846</v>
      </c>
      <c r="I62" s="427">
        <f t="shared" si="35"/>
        <v>1500563</v>
      </c>
      <c r="K62" s="427">
        <f>SUM(B62:I62)</f>
        <v>699463187</v>
      </c>
    </row>
    <row r="63" spans="1:11" ht="15" thickTop="1" x14ac:dyDescent="0.35">
      <c r="K63"/>
    </row>
    <row r="64" spans="1:11" x14ac:dyDescent="0.35">
      <c r="A64" s="133" t="s">
        <v>1364</v>
      </c>
      <c r="K64"/>
    </row>
    <row r="65" spans="1:12" x14ac:dyDescent="0.35">
      <c r="A65" t="s">
        <v>788</v>
      </c>
      <c r="B65" s="134">
        <f t="shared" ref="B65:I66" si="37">ROUND(B60*(B55-1),0)</f>
        <v>4017727</v>
      </c>
      <c r="C65" s="134">
        <f t="shared" si="37"/>
        <v>2830</v>
      </c>
      <c r="D65" s="134">
        <f t="shared" ref="D65" si="38">ROUND(D60*(D55-1),0)</f>
        <v>156</v>
      </c>
      <c r="E65" s="134">
        <f t="shared" si="37"/>
        <v>905033</v>
      </c>
      <c r="F65" s="134">
        <f t="shared" ref="F65:G65" si="39">ROUND(F60*(F55-1),0)</f>
        <v>29256</v>
      </c>
      <c r="G65" s="134">
        <f t="shared" si="39"/>
        <v>136</v>
      </c>
      <c r="H65" s="134">
        <f t="shared" si="37"/>
        <v>8073</v>
      </c>
      <c r="I65" s="134">
        <f t="shared" si="37"/>
        <v>0</v>
      </c>
      <c r="K65" s="134">
        <f>SUM(B65:I65)</f>
        <v>4963211</v>
      </c>
    </row>
    <row r="66" spans="1:12" ht="15" thickBot="1" x14ac:dyDescent="0.4">
      <c r="A66" t="s">
        <v>787</v>
      </c>
      <c r="B66" s="134">
        <f t="shared" si="37"/>
        <v>2245308</v>
      </c>
      <c r="C66" s="134">
        <f t="shared" si="37"/>
        <v>1580</v>
      </c>
      <c r="D66" s="134">
        <f t="shared" ref="D66" si="40">ROUND(D61*(D56-1),0)</f>
        <v>88</v>
      </c>
      <c r="E66" s="134">
        <f t="shared" si="37"/>
        <v>506831</v>
      </c>
      <c r="F66" s="134">
        <f t="shared" ref="F66:G66" si="41">ROUND(F61*(F56-1),0)</f>
        <v>16668</v>
      </c>
      <c r="G66" s="134">
        <f t="shared" si="41"/>
        <v>76</v>
      </c>
      <c r="H66" s="134">
        <f t="shared" si="37"/>
        <v>4509</v>
      </c>
      <c r="I66" s="134">
        <f t="shared" si="37"/>
        <v>0</v>
      </c>
      <c r="K66" s="134">
        <f>SUM(B66:I66)</f>
        <v>2775060</v>
      </c>
    </row>
    <row r="67" spans="1:12" ht="15.5" thickTop="1" thickBot="1" x14ac:dyDescent="0.4">
      <c r="A67" t="s">
        <v>785</v>
      </c>
      <c r="B67" s="427">
        <f t="shared" ref="B67:I67" si="42">B65+B66</f>
        <v>6263035</v>
      </c>
      <c r="C67" s="427">
        <f t="shared" si="42"/>
        <v>4410</v>
      </c>
      <c r="D67" s="427">
        <f t="shared" si="42"/>
        <v>244</v>
      </c>
      <c r="E67" s="427">
        <f t="shared" si="42"/>
        <v>1411864</v>
      </c>
      <c r="F67" s="427">
        <f t="shared" ref="F67:G67" si="43">F65+F66</f>
        <v>45924</v>
      </c>
      <c r="G67" s="427">
        <f t="shared" si="43"/>
        <v>212</v>
      </c>
      <c r="H67" s="427">
        <f t="shared" si="42"/>
        <v>12582</v>
      </c>
      <c r="I67" s="427">
        <f t="shared" si="42"/>
        <v>0</v>
      </c>
      <c r="K67" s="427">
        <f>SUM(B67:I67)</f>
        <v>7738271</v>
      </c>
    </row>
    <row r="68" spans="1:12" ht="15" thickTop="1" x14ac:dyDescent="0.35">
      <c r="K68"/>
    </row>
    <row r="69" spans="1:12" x14ac:dyDescent="0.35">
      <c r="A69" s="133" t="s">
        <v>1381</v>
      </c>
      <c r="K69"/>
    </row>
    <row r="70" spans="1:12" x14ac:dyDescent="0.35">
      <c r="A70" t="s">
        <v>788</v>
      </c>
      <c r="B70" s="134">
        <f t="shared" ref="B70:I71" si="44">B60+B65</f>
        <v>380561951</v>
      </c>
      <c r="C70" s="134">
        <f t="shared" si="44"/>
        <v>268053</v>
      </c>
      <c r="D70" s="134">
        <f t="shared" ref="D70" si="45">D60+D65</f>
        <v>14764</v>
      </c>
      <c r="E70" s="134">
        <f>E60+E65</f>
        <v>85725417</v>
      </c>
      <c r="F70" s="134">
        <f>F60+F65</f>
        <v>2771137</v>
      </c>
      <c r="G70" s="134">
        <f>G60+G65</f>
        <v>12837</v>
      </c>
      <c r="H70" s="134">
        <f t="shared" si="44"/>
        <v>764637</v>
      </c>
      <c r="I70" s="134">
        <f t="shared" si="44"/>
        <v>1001339</v>
      </c>
      <c r="K70" s="134">
        <f>SUM(B70:I70)</f>
        <v>471120135</v>
      </c>
    </row>
    <row r="71" spans="1:12" ht="15" thickBot="1" x14ac:dyDescent="0.4">
      <c r="A71" t="s">
        <v>787</v>
      </c>
      <c r="B71" s="134">
        <f t="shared" si="44"/>
        <v>190610092</v>
      </c>
      <c r="C71" s="134">
        <f t="shared" si="44"/>
        <v>134161</v>
      </c>
      <c r="D71" s="134">
        <f t="shared" ref="D71" si="46">D61+D66</f>
        <v>7433</v>
      </c>
      <c r="E71" s="134">
        <f t="shared" si="44"/>
        <v>43026177</v>
      </c>
      <c r="F71" s="134">
        <f t="shared" ref="F71:G71" si="47">F61+F66</f>
        <v>1415018</v>
      </c>
      <c r="G71" s="134">
        <f t="shared" si="47"/>
        <v>6427</v>
      </c>
      <c r="H71" s="134">
        <f t="shared" si="44"/>
        <v>382791</v>
      </c>
      <c r="I71" s="134">
        <f t="shared" si="44"/>
        <v>499224</v>
      </c>
      <c r="K71" s="134">
        <f>SUM(B71:I71)</f>
        <v>236081323</v>
      </c>
    </row>
    <row r="72" spans="1:12" ht="15.5" thickTop="1" thickBot="1" x14ac:dyDescent="0.4">
      <c r="A72" t="s">
        <v>784</v>
      </c>
      <c r="B72" s="427">
        <f t="shared" ref="B72:I72" si="48">B70+B71</f>
        <v>571172043</v>
      </c>
      <c r="C72" s="427">
        <f t="shared" si="48"/>
        <v>402214</v>
      </c>
      <c r="D72" s="427">
        <f t="shared" si="48"/>
        <v>22197</v>
      </c>
      <c r="E72" s="427">
        <f t="shared" si="48"/>
        <v>128751594</v>
      </c>
      <c r="F72" s="427">
        <f t="shared" ref="F72:G72" si="49">F70+F71</f>
        <v>4186155</v>
      </c>
      <c r="G72" s="427">
        <f t="shared" si="49"/>
        <v>19264</v>
      </c>
      <c r="H72" s="427">
        <f t="shared" si="48"/>
        <v>1147428</v>
      </c>
      <c r="I72" s="427">
        <f t="shared" si="48"/>
        <v>1500563</v>
      </c>
      <c r="K72" s="427">
        <f>SUM(B72:I72)</f>
        <v>707201458</v>
      </c>
    </row>
    <row r="73" spans="1:12" ht="15" thickTop="1" x14ac:dyDescent="0.35"/>
    <row r="74" spans="1:12" x14ac:dyDescent="0.35">
      <c r="A74" s="1"/>
      <c r="C74" s="130"/>
      <c r="D74" s="130"/>
    </row>
    <row r="75" spans="1:12" x14ac:dyDescent="0.35">
      <c r="A75" s="1039" t="s">
        <v>1380</v>
      </c>
    </row>
    <row r="76" spans="1:12" x14ac:dyDescent="0.35">
      <c r="A76" s="1" t="s">
        <v>786</v>
      </c>
      <c r="B76" s="130">
        <f>B62</f>
        <v>564909008</v>
      </c>
      <c r="C76" s="130">
        <f t="shared" ref="C76:I76" si="50">C62</f>
        <v>397804</v>
      </c>
      <c r="D76" s="130">
        <f t="shared" si="50"/>
        <v>21953</v>
      </c>
      <c r="E76" s="130">
        <f>E62</f>
        <v>127339730</v>
      </c>
      <c r="F76" s="130">
        <f t="shared" si="50"/>
        <v>4140231</v>
      </c>
      <c r="G76" s="130">
        <f t="shared" si="50"/>
        <v>19052</v>
      </c>
      <c r="H76" s="130">
        <f t="shared" si="50"/>
        <v>1134846</v>
      </c>
      <c r="I76" s="130">
        <f t="shared" si="50"/>
        <v>1500563</v>
      </c>
      <c r="K76" s="130">
        <f>SUM(B76:I76)</f>
        <v>699463187</v>
      </c>
    </row>
    <row r="77" spans="1:12" ht="15" thickBot="1" x14ac:dyDescent="0.4">
      <c r="A77" s="1" t="s">
        <v>785</v>
      </c>
      <c r="B77" s="130">
        <f>B67</f>
        <v>6263035</v>
      </c>
      <c r="C77" s="130">
        <f t="shared" ref="C77:I77" si="51">C67</f>
        <v>4410</v>
      </c>
      <c r="D77" s="130">
        <f t="shared" si="51"/>
        <v>244</v>
      </c>
      <c r="E77" s="130">
        <f t="shared" si="51"/>
        <v>1411864</v>
      </c>
      <c r="F77" s="130">
        <f t="shared" si="51"/>
        <v>45924</v>
      </c>
      <c r="G77" s="130">
        <f t="shared" si="51"/>
        <v>212</v>
      </c>
      <c r="H77" s="130">
        <f t="shared" si="51"/>
        <v>12582</v>
      </c>
      <c r="I77" s="130">
        <f t="shared" si="51"/>
        <v>0</v>
      </c>
      <c r="K77" s="130">
        <f>SUM(B77:I77)</f>
        <v>7738271</v>
      </c>
    </row>
    <row r="78" spans="1:12" ht="15.5" thickTop="1" thickBot="1" x14ac:dyDescent="0.4">
      <c r="A78" s="1" t="s">
        <v>1527</v>
      </c>
      <c r="B78" s="634">
        <f t="shared" ref="B78:I78" si="52">B76+B77</f>
        <v>571172043</v>
      </c>
      <c r="C78" s="634">
        <f t="shared" si="52"/>
        <v>402214</v>
      </c>
      <c r="D78" s="634">
        <f t="shared" si="52"/>
        <v>22197</v>
      </c>
      <c r="E78" s="634">
        <f>E76+E77</f>
        <v>128751594</v>
      </c>
      <c r="F78" s="634">
        <f t="shared" ref="F78:G78" si="53">F76+F77</f>
        <v>4186155</v>
      </c>
      <c r="G78" s="634">
        <f t="shared" si="53"/>
        <v>19264</v>
      </c>
      <c r="H78" s="634">
        <f t="shared" si="52"/>
        <v>1147428</v>
      </c>
      <c r="I78" s="634">
        <f t="shared" si="52"/>
        <v>1500563</v>
      </c>
      <c r="K78" s="634">
        <f>SUM(B78:I78)</f>
        <v>707201458</v>
      </c>
      <c r="L78" s="372"/>
    </row>
    <row r="79" spans="1:12" ht="15.5" thickTop="1" thickBot="1" x14ac:dyDescent="0.4">
      <c r="A79" s="1" t="s">
        <v>1529</v>
      </c>
      <c r="B79" s="427">
        <f t="shared" ref="B79:I79" si="54">B78-B44</f>
        <v>8567580</v>
      </c>
      <c r="C79" s="427">
        <f t="shared" si="54"/>
        <v>-75489</v>
      </c>
      <c r="D79" s="427">
        <f t="shared" si="54"/>
        <v>641</v>
      </c>
      <c r="E79" s="427">
        <f t="shared" si="54"/>
        <v>9576186</v>
      </c>
      <c r="F79" s="427">
        <f t="shared" si="54"/>
        <v>369315</v>
      </c>
      <c r="G79" s="427">
        <f t="shared" si="54"/>
        <v>1434</v>
      </c>
      <c r="H79" s="427">
        <f t="shared" si="54"/>
        <v>85987</v>
      </c>
      <c r="I79" s="427">
        <f t="shared" si="54"/>
        <v>111106</v>
      </c>
      <c r="K79" s="427">
        <f>SUM(B79:I79)</f>
        <v>18636760</v>
      </c>
    </row>
    <row r="80" spans="1:12" ht="15" thickTop="1" x14ac:dyDescent="0.35">
      <c r="A80" s="385"/>
      <c r="B80" s="686"/>
      <c r="C80" s="404"/>
      <c r="D80" s="404"/>
      <c r="E80" s="404"/>
      <c r="F80" s="404"/>
      <c r="G80" s="404"/>
      <c r="H80" s="404"/>
      <c r="I80" s="404"/>
    </row>
    <row r="82" spans="1:15" s="87" customFormat="1" x14ac:dyDescent="0.35">
      <c r="K82" s="684"/>
    </row>
    <row r="83" spans="1:15" ht="18.5" x14ac:dyDescent="0.45">
      <c r="A83" s="189" t="s">
        <v>2045</v>
      </c>
    </row>
    <row r="84" spans="1:15" x14ac:dyDescent="0.35">
      <c r="B84" s="383"/>
      <c r="C84" s="437"/>
      <c r="D84" s="481"/>
      <c r="E84" s="481"/>
      <c r="F84" s="481"/>
      <c r="G84" s="481"/>
      <c r="H84" s="481"/>
      <c r="I84" s="481"/>
    </row>
    <row r="85" spans="1:15" ht="15" thickBot="1" x14ac:dyDescent="0.4">
      <c r="A85" s="143"/>
      <c r="B85" s="428" t="s">
        <v>796</v>
      </c>
      <c r="C85" s="428" t="s">
        <v>795</v>
      </c>
      <c r="D85" s="428" t="s">
        <v>962</v>
      </c>
      <c r="E85" s="428" t="s">
        <v>794</v>
      </c>
      <c r="F85" s="428" t="s">
        <v>1365</v>
      </c>
      <c r="G85" s="428" t="s">
        <v>1366</v>
      </c>
      <c r="H85" s="428" t="s">
        <v>793</v>
      </c>
      <c r="I85" s="428" t="s">
        <v>489</v>
      </c>
      <c r="K85" s="428" t="s">
        <v>205</v>
      </c>
    </row>
    <row r="86" spans="1:15" ht="15.5" thickTop="1" thickBot="1" x14ac:dyDescent="0.4">
      <c r="A86" t="s">
        <v>1371</v>
      </c>
      <c r="B86" s="767">
        <f>'[1]G1.)RY(Fore)_ForeGroup(RY1)'!$BP$11</f>
        <v>35628824</v>
      </c>
      <c r="C86" s="767">
        <f>'[1]G1.)RY(Fore)_ForeGroup(RY1)'!$BP$12</f>
        <v>17580</v>
      </c>
      <c r="D86" s="767"/>
      <c r="E86" s="767">
        <f>'[1]G1.)RY(Fore)_ForeGroup(RY1)'!$BP$17</f>
        <v>5111886</v>
      </c>
      <c r="F86" s="767"/>
      <c r="G86" s="767"/>
      <c r="H86" s="767">
        <f>'[1]G1.)RY(Fore)_ForeGroup(RY1)'!$BP$18</f>
        <v>36987</v>
      </c>
      <c r="I86" s="767">
        <f>'[1]G1.)RY(Fore)_ForeGroup(RY1)'!$BP$31</f>
        <v>40836</v>
      </c>
      <c r="K86" s="472">
        <f>SUM(B86:I86)</f>
        <v>40836113</v>
      </c>
      <c r="L86" s="366">
        <f>K86-'[1]G1.)RY(Fore)_ForeGroup(RY1)'!$BP$65</f>
        <v>0</v>
      </c>
    </row>
    <row r="87" spans="1:15" ht="15.5" thickTop="1" thickBot="1" x14ac:dyDescent="0.4">
      <c r="A87" t="s">
        <v>1372</v>
      </c>
      <c r="B87" s="151">
        <f>B86-D87</f>
        <v>35627741</v>
      </c>
      <c r="C87" s="151">
        <f>C86</f>
        <v>17580</v>
      </c>
      <c r="D87" s="768">
        <f>ROUND(D10/SUM(B10:D10)*SUM(B86:C86),0)</f>
        <v>1083</v>
      </c>
      <c r="E87" s="685">
        <f>E86-F87-G87</f>
        <v>4920646</v>
      </c>
      <c r="F87" s="768">
        <f>ROUND(F8/SUM($E8:$G8)*$E86,0)</f>
        <v>189768</v>
      </c>
      <c r="G87" s="768">
        <f>ROUND(G8/SUM($E8:$G8)*$E86,0)</f>
        <v>1472</v>
      </c>
      <c r="H87" s="151">
        <f>H86</f>
        <v>36987</v>
      </c>
      <c r="I87" s="151">
        <f>I86</f>
        <v>40836</v>
      </c>
      <c r="K87" s="472">
        <f>SUM(B87:I87)</f>
        <v>40836113</v>
      </c>
      <c r="L87" s="366">
        <f>K87-K86</f>
        <v>0</v>
      </c>
    </row>
    <row r="88" spans="1:15" ht="15" thickTop="1" x14ac:dyDescent="0.35">
      <c r="A88" s="551"/>
    </row>
    <row r="89" spans="1:15" x14ac:dyDescent="0.35">
      <c r="A89" t="s">
        <v>1373</v>
      </c>
      <c r="B89" s="762">
        <f>HLOOKUP($D$2,'[1]A1.)RatesInput'!$D$63:$J$83,18,0)</f>
        <v>1.01722</v>
      </c>
      <c r="C89" s="511">
        <f t="shared" ref="C89:H89" si="55">$B89</f>
        <v>1.01722</v>
      </c>
      <c r="D89" s="511">
        <f t="shared" si="55"/>
        <v>1.01722</v>
      </c>
      <c r="E89" s="511">
        <f t="shared" si="55"/>
        <v>1.01722</v>
      </c>
      <c r="F89" s="511">
        <f t="shared" si="55"/>
        <v>1.01722</v>
      </c>
      <c r="G89" s="511">
        <f t="shared" si="55"/>
        <v>1.01722</v>
      </c>
      <c r="H89" s="511">
        <f t="shared" si="55"/>
        <v>1.01722</v>
      </c>
      <c r="I89" s="511">
        <v>1</v>
      </c>
    </row>
    <row r="91" spans="1:15" x14ac:dyDescent="0.35">
      <c r="A91" s="1038" t="s">
        <v>1376</v>
      </c>
    </row>
    <row r="92" spans="1:15" x14ac:dyDescent="0.35">
      <c r="A92" s="694" t="s">
        <v>293</v>
      </c>
      <c r="B92" s="769">
        <f t="shared" ref="B92:I92" si="56">B12</f>
        <v>15.76</v>
      </c>
      <c r="C92" s="769">
        <f t="shared" si="56"/>
        <v>24.3</v>
      </c>
      <c r="D92" s="769">
        <f t="shared" si="56"/>
        <v>19.87</v>
      </c>
      <c r="E92" s="769">
        <f t="shared" si="56"/>
        <v>26.01</v>
      </c>
      <c r="F92" s="769">
        <f t="shared" si="56"/>
        <v>21.6</v>
      </c>
      <c r="G92" s="769">
        <f t="shared" si="56"/>
        <v>13.005000000000001</v>
      </c>
      <c r="H92" s="769">
        <f t="shared" si="56"/>
        <v>30.12</v>
      </c>
      <c r="I92" s="769">
        <f t="shared" si="56"/>
        <v>33.89</v>
      </c>
    </row>
    <row r="93" spans="1:15" x14ac:dyDescent="0.35">
      <c r="A93" s="694" t="s">
        <v>786</v>
      </c>
      <c r="B93" s="134">
        <f t="shared" ref="B93:I93" si="57">ROUND(B92*B$87,0)</f>
        <v>561493198</v>
      </c>
      <c r="C93" s="134">
        <f t="shared" si="57"/>
        <v>427194</v>
      </c>
      <c r="D93" s="134">
        <f t="shared" si="57"/>
        <v>21519</v>
      </c>
      <c r="E93" s="134">
        <f t="shared" si="57"/>
        <v>127986002</v>
      </c>
      <c r="F93" s="134">
        <f t="shared" si="57"/>
        <v>4098989</v>
      </c>
      <c r="G93" s="134">
        <f t="shared" si="57"/>
        <v>19143</v>
      </c>
      <c r="H93" s="134">
        <f t="shared" si="57"/>
        <v>1114048</v>
      </c>
      <c r="I93" s="134">
        <f t="shared" si="57"/>
        <v>1383932</v>
      </c>
      <c r="K93" s="134">
        <f t="shared" ref="K93:K95" si="58">SUM(B93:I93)</f>
        <v>696544025</v>
      </c>
    </row>
    <row r="94" spans="1:15" ht="15" thickBot="1" x14ac:dyDescent="0.4">
      <c r="A94" s="694" t="s">
        <v>785</v>
      </c>
      <c r="B94" s="134">
        <f>ROUND(B93*(B$89-1),0)</f>
        <v>9668913</v>
      </c>
      <c r="C94" s="134">
        <f t="shared" ref="C94:I94" si="59">ROUND(C93*(C$89-1),0)</f>
        <v>7356</v>
      </c>
      <c r="D94" s="134">
        <f t="shared" si="59"/>
        <v>371</v>
      </c>
      <c r="E94" s="134">
        <f t="shared" si="59"/>
        <v>2203919</v>
      </c>
      <c r="F94" s="134">
        <f t="shared" si="59"/>
        <v>70585</v>
      </c>
      <c r="G94" s="134">
        <f t="shared" si="59"/>
        <v>330</v>
      </c>
      <c r="H94" s="134">
        <f t="shared" si="59"/>
        <v>19184</v>
      </c>
      <c r="I94" s="134">
        <f t="shared" si="59"/>
        <v>0</v>
      </c>
      <c r="K94" s="134">
        <f t="shared" si="58"/>
        <v>11970658</v>
      </c>
      <c r="N94" s="424"/>
    </row>
    <row r="95" spans="1:15" ht="15.5" thickTop="1" thickBot="1" x14ac:dyDescent="0.4">
      <c r="A95" s="694" t="s">
        <v>1525</v>
      </c>
      <c r="B95" s="1221">
        <f>B93+B94</f>
        <v>571162111</v>
      </c>
      <c r="C95" s="1221">
        <f t="shared" ref="C95:I95" si="60">C93+C94</f>
        <v>434550</v>
      </c>
      <c r="D95" s="1221">
        <f t="shared" si="60"/>
        <v>21890</v>
      </c>
      <c r="E95" s="1221">
        <f t="shared" si="60"/>
        <v>130189921</v>
      </c>
      <c r="F95" s="1221">
        <f t="shared" si="60"/>
        <v>4169574</v>
      </c>
      <c r="G95" s="1221">
        <f t="shared" si="60"/>
        <v>19473</v>
      </c>
      <c r="H95" s="1221">
        <f t="shared" si="60"/>
        <v>1133232</v>
      </c>
      <c r="I95" s="1221">
        <f t="shared" si="60"/>
        <v>1383932</v>
      </c>
      <c r="K95" s="634">
        <f t="shared" si="58"/>
        <v>708514683</v>
      </c>
      <c r="N95" s="770">
        <v>716411000</v>
      </c>
      <c r="O95" t="s">
        <v>1378</v>
      </c>
    </row>
    <row r="96" spans="1:15" ht="15" thickTop="1" x14ac:dyDescent="0.35">
      <c r="A96" s="694"/>
      <c r="K96" s="747"/>
      <c r="N96" s="695">
        <f>N95-K95</f>
        <v>7896317</v>
      </c>
      <c r="O96" t="s">
        <v>1379</v>
      </c>
    </row>
    <row r="97" spans="1:14" x14ac:dyDescent="0.35">
      <c r="B97" s="424"/>
      <c r="C97" s="424"/>
      <c r="D97" s="424"/>
      <c r="E97" s="424"/>
      <c r="F97" s="424"/>
      <c r="G97" s="424"/>
      <c r="H97" s="424"/>
      <c r="I97" s="424"/>
      <c r="N97" s="424"/>
    </row>
    <row r="98" spans="1:14" x14ac:dyDescent="0.35">
      <c r="A98" s="772" t="s">
        <v>1377</v>
      </c>
    </row>
    <row r="99" spans="1:14" x14ac:dyDescent="0.35">
      <c r="A99" t="s">
        <v>11</v>
      </c>
      <c r="B99" s="769">
        <f t="shared" ref="B99:I99" si="61">B53</f>
        <v>16</v>
      </c>
      <c r="C99" s="769">
        <f t="shared" si="61"/>
        <v>20.46</v>
      </c>
      <c r="D99" s="769">
        <f t="shared" si="61"/>
        <v>20.46</v>
      </c>
      <c r="E99" s="769">
        <f t="shared" si="61"/>
        <v>28.1</v>
      </c>
      <c r="F99" s="769">
        <f t="shared" si="61"/>
        <v>23.69</v>
      </c>
      <c r="G99" s="769">
        <f t="shared" si="61"/>
        <v>14.05</v>
      </c>
      <c r="H99" s="769">
        <f t="shared" si="61"/>
        <v>32.56</v>
      </c>
      <c r="I99" s="769">
        <f t="shared" si="61"/>
        <v>36.6</v>
      </c>
    </row>
    <row r="100" spans="1:14" x14ac:dyDescent="0.35">
      <c r="A100" t="s">
        <v>786</v>
      </c>
      <c r="B100" s="134">
        <f t="shared" ref="B100:I100" si="62">ROUND(B99*B$87,0)</f>
        <v>570043856</v>
      </c>
      <c r="C100" s="134">
        <f t="shared" si="62"/>
        <v>359687</v>
      </c>
      <c r="D100" s="134">
        <f t="shared" si="62"/>
        <v>22158</v>
      </c>
      <c r="E100" s="134">
        <f t="shared" si="62"/>
        <v>138270153</v>
      </c>
      <c r="F100" s="134">
        <f t="shared" si="62"/>
        <v>4495604</v>
      </c>
      <c r="G100" s="134">
        <f t="shared" si="62"/>
        <v>20682</v>
      </c>
      <c r="H100" s="134">
        <f t="shared" si="62"/>
        <v>1204297</v>
      </c>
      <c r="I100" s="134">
        <f t="shared" si="62"/>
        <v>1494598</v>
      </c>
      <c r="K100" s="134">
        <f t="shared" ref="K100:K102" si="63">SUM(B100:I100)</f>
        <v>715911035</v>
      </c>
    </row>
    <row r="101" spans="1:14" ht="15" thickBot="1" x14ac:dyDescent="0.4">
      <c r="A101" t="s">
        <v>785</v>
      </c>
      <c r="B101" s="134">
        <f>ROUND(B100*(B$89-1),0)</f>
        <v>9816155</v>
      </c>
      <c r="C101" s="134">
        <f t="shared" ref="C101" si="64">ROUND(C100*(C$89-1),0)</f>
        <v>6194</v>
      </c>
      <c r="D101" s="134">
        <f t="shared" ref="D101" si="65">ROUND(D100*(D$89-1),0)</f>
        <v>382</v>
      </c>
      <c r="E101" s="134">
        <f t="shared" ref="E101" si="66">ROUND(E100*(E$89-1),0)</f>
        <v>2381012</v>
      </c>
      <c r="F101" s="134">
        <f t="shared" ref="F101" si="67">ROUND(F100*(F$89-1),0)</f>
        <v>77414</v>
      </c>
      <c r="G101" s="134">
        <f t="shared" ref="G101" si="68">ROUND(G100*(G$89-1),0)</f>
        <v>356</v>
      </c>
      <c r="H101" s="134">
        <f t="shared" ref="H101" si="69">ROUND(H100*(H$89-1),0)</f>
        <v>20738</v>
      </c>
      <c r="I101" s="134">
        <f t="shared" ref="I101" si="70">ROUND(I100*(I$89-1),0)</f>
        <v>0</v>
      </c>
      <c r="K101" s="134">
        <f t="shared" si="63"/>
        <v>12302251</v>
      </c>
    </row>
    <row r="102" spans="1:14" ht="15.5" thickTop="1" thickBot="1" x14ac:dyDescent="0.4">
      <c r="A102" s="1" t="s">
        <v>1526</v>
      </c>
      <c r="B102" s="634">
        <f>B100+B101</f>
        <v>579860011</v>
      </c>
      <c r="C102" s="634">
        <f t="shared" ref="C102" si="71">C100+C101</f>
        <v>365881</v>
      </c>
      <c r="D102" s="634">
        <f t="shared" ref="D102" si="72">D100+D101</f>
        <v>22540</v>
      </c>
      <c r="E102" s="634">
        <f t="shared" ref="E102" si="73">E100+E101</f>
        <v>140651165</v>
      </c>
      <c r="F102" s="634">
        <f t="shared" ref="F102" si="74">F100+F101</f>
        <v>4573018</v>
      </c>
      <c r="G102" s="634">
        <f t="shared" ref="G102" si="75">G100+G101</f>
        <v>21038</v>
      </c>
      <c r="H102" s="634">
        <f t="shared" ref="H102" si="76">H100+H101</f>
        <v>1225035</v>
      </c>
      <c r="I102" s="634">
        <f t="shared" ref="I102" si="77">I100+I101</f>
        <v>1494598</v>
      </c>
      <c r="K102" s="634">
        <f t="shared" si="63"/>
        <v>728213286</v>
      </c>
    </row>
    <row r="103" spans="1:14" ht="15.5" thickTop="1" thickBot="1" x14ac:dyDescent="0.4">
      <c r="A103" s="694" t="s">
        <v>1530</v>
      </c>
      <c r="B103" s="427">
        <f t="shared" ref="B103:I103" si="78">B102-B95</f>
        <v>8697900</v>
      </c>
      <c r="C103" s="427">
        <f t="shared" si="78"/>
        <v>-68669</v>
      </c>
      <c r="D103" s="427">
        <f t="shared" si="78"/>
        <v>650</v>
      </c>
      <c r="E103" s="427">
        <f t="shared" si="78"/>
        <v>10461244</v>
      </c>
      <c r="F103" s="427">
        <f t="shared" si="78"/>
        <v>403444</v>
      </c>
      <c r="G103" s="427">
        <f t="shared" si="78"/>
        <v>1565</v>
      </c>
      <c r="H103" s="427">
        <f t="shared" si="78"/>
        <v>91803</v>
      </c>
      <c r="I103" s="427">
        <f t="shared" si="78"/>
        <v>110666</v>
      </c>
      <c r="J103" s="130"/>
      <c r="K103" s="427">
        <f>SUM(B103:I103)</f>
        <v>19698603</v>
      </c>
    </row>
    <row r="104" spans="1:14" ht="15" thickTop="1" x14ac:dyDescent="0.35">
      <c r="B104" s="130"/>
      <c r="C104" s="130"/>
      <c r="D104" s="130"/>
      <c r="E104" s="130"/>
      <c r="F104" s="130"/>
      <c r="G104" s="130"/>
      <c r="H104" s="130"/>
      <c r="I104" s="130"/>
    </row>
    <row r="110" spans="1:14" s="87" customFormat="1" x14ac:dyDescent="0.35">
      <c r="K110" s="684"/>
    </row>
    <row r="111" spans="1:14" x14ac:dyDescent="0.35">
      <c r="K111"/>
    </row>
    <row r="112" spans="1:14" x14ac:dyDescent="0.35">
      <c r="K112"/>
    </row>
    <row r="113" spans="11:11" x14ac:dyDescent="0.35">
      <c r="K113"/>
    </row>
    <row r="114" spans="11:11" x14ac:dyDescent="0.35">
      <c r="K114"/>
    </row>
    <row r="115" spans="11:11" x14ac:dyDescent="0.35">
      <c r="K115"/>
    </row>
    <row r="116" spans="11:11" x14ac:dyDescent="0.35">
      <c r="K116"/>
    </row>
    <row r="117" spans="11:11" x14ac:dyDescent="0.35">
      <c r="K117"/>
    </row>
    <row r="118" spans="11:11" x14ac:dyDescent="0.35">
      <c r="K118"/>
    </row>
    <row r="119" spans="11:11" x14ac:dyDescent="0.35">
      <c r="K119"/>
    </row>
    <row r="120" spans="11:11" x14ac:dyDescent="0.35">
      <c r="K120"/>
    </row>
    <row r="121" spans="11:11" x14ac:dyDescent="0.35">
      <c r="K121"/>
    </row>
    <row r="122" spans="11:11" x14ac:dyDescent="0.35">
      <c r="K122"/>
    </row>
    <row r="123" spans="11:11" x14ac:dyDescent="0.35">
      <c r="K123"/>
    </row>
    <row r="124" spans="11:11" x14ac:dyDescent="0.35">
      <c r="K124"/>
    </row>
    <row r="125" spans="11:11" x14ac:dyDescent="0.35">
      <c r="K125"/>
    </row>
    <row r="126" spans="11:11" x14ac:dyDescent="0.35">
      <c r="K126"/>
    </row>
    <row r="127" spans="11:11" x14ac:dyDescent="0.35">
      <c r="K127"/>
    </row>
    <row r="128" spans="11:11" x14ac:dyDescent="0.35">
      <c r="K128"/>
    </row>
  </sheetData>
  <printOptions horizontalCentered="1"/>
  <pageMargins left="0.2" right="0.2" top="0.5" bottom="0.5" header="0.3" footer="0.3"/>
  <pageSetup scale="55" orientation="landscape" r:id="rId1"/>
  <headerFooter>
    <oddFooter>&amp;C&amp;F (Tab: &amp;A)&amp;RPage &amp;P / &amp;N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B211"/>
  <sheetViews>
    <sheetView topLeftCell="B1" workbookViewId="0">
      <selection activeCell="B1"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1796875" customWidth="1"/>
    <col min="12" max="12" width="17.453125" customWidth="1"/>
    <col min="13" max="13" width="15.453125" customWidth="1"/>
    <col min="14" max="14" width="15.81640625" customWidth="1"/>
    <col min="15" max="15" width="13.54296875" customWidth="1"/>
    <col min="16" max="16" width="12.54296875" style="1" customWidth="1"/>
    <col min="17" max="17" width="9.54296875" customWidth="1"/>
    <col min="18" max="18" width="9.7265625" customWidth="1"/>
    <col min="19" max="19" width="10.7265625" customWidth="1"/>
    <col min="20" max="20" width="8.7265625" customWidth="1"/>
    <col min="21" max="21" width="12.453125" customWidth="1"/>
    <col min="22" max="23" width="11.7265625" customWidth="1"/>
    <col min="24" max="24" width="16.81640625" customWidth="1"/>
    <col min="25" max="28" width="11.453125" customWidth="1"/>
  </cols>
  <sheetData>
    <row r="1" spans="1:28" ht="18.5" x14ac:dyDescent="0.45">
      <c r="A1" s="447" t="s">
        <v>836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8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SC12 Rate II</v>
      </c>
      <c r="Q3" s="3"/>
      <c r="S3" s="3"/>
    </row>
    <row r="4" spans="1:28" outlineLevel="1" x14ac:dyDescent="0.35">
      <c r="A4" s="864" t="s">
        <v>713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8" outlineLevel="1" x14ac:dyDescent="0.35">
      <c r="C5" s="3"/>
      <c r="D5" s="3"/>
      <c r="E5" s="3"/>
      <c r="F5" s="3"/>
      <c r="G5" s="3"/>
      <c r="J5" s="3"/>
      <c r="K5" s="3"/>
      <c r="L5" s="3"/>
      <c r="M5" s="3"/>
      <c r="P5" s="2"/>
      <c r="Q5" s="3"/>
      <c r="R5" s="3"/>
      <c r="S5" s="30" t="s">
        <v>25</v>
      </c>
      <c r="U5" s="30" t="s">
        <v>12</v>
      </c>
    </row>
    <row r="6" spans="1:28" outlineLevel="1" x14ac:dyDescent="0.35">
      <c r="A6" s="180"/>
      <c r="B6" s="180"/>
      <c r="C6" s="180"/>
      <c r="D6" s="180"/>
      <c r="E6" s="180"/>
      <c r="F6" s="3"/>
      <c r="G6" s="490" t="str">
        <f>'12A.)TODL_RateDesignSummary'!D102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386">
        <f>'[1]D2.)BillingDeterminants(TOD)'!$D$107+'[1]D2.)BillingDeterminants(TOD)'!$D$124</f>
        <v>91953.36</v>
      </c>
      <c r="T6" s="164" t="s">
        <v>444</v>
      </c>
      <c r="U6" s="386">
        <f>'[1]D2.)BillingDeterminants(TOD)'!$D$114+'[1]D2.)BillingDeterminants(TOD)'!$D$131</f>
        <v>18828511</v>
      </c>
      <c r="W6" s="464"/>
      <c r="X6" s="1126" t="s">
        <v>2208</v>
      </c>
      <c r="Y6" s="1127" t="s">
        <v>114</v>
      </c>
      <c r="Z6" s="1127" t="s">
        <v>113</v>
      </c>
      <c r="AA6" s="1127" t="s">
        <v>112</v>
      </c>
      <c r="AB6" s="1128" t="s">
        <v>111</v>
      </c>
    </row>
    <row r="7" spans="1:28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SC12 Rate II</v>
      </c>
      <c r="M7" s="3"/>
      <c r="P7" s="170" t="s">
        <v>114</v>
      </c>
      <c r="Q7" s="159" t="s">
        <v>641</v>
      </c>
      <c r="R7" s="158" t="s">
        <v>888</v>
      </c>
      <c r="S7" s="387">
        <f>'[1]D2.)BillingDeterminants(TOD)'!$D$109+'[1]D2.)BillingDeterminants(TOD)'!$D$126</f>
        <v>101206.31999999999</v>
      </c>
      <c r="T7" s="159" t="s">
        <v>445</v>
      </c>
      <c r="U7" s="387">
        <f>'[1]D2.)BillingDeterminants(TOD)'!$D$116+'[1]D2.)BillingDeterminants(TOD)'!$D$133</f>
        <v>24303489</v>
      </c>
      <c r="W7" s="1125" t="s">
        <v>2209</v>
      </c>
      <c r="X7" s="1162">
        <f>'[2]3C.)HY_Metering PxOut'!$B$56</f>
        <v>312</v>
      </c>
      <c r="Y7" s="1131">
        <f>ROUND($X7*$Q$9/($Q$9+$Q$14+$Q$19+$Q$24),0)</f>
        <v>104</v>
      </c>
      <c r="Z7" s="1131">
        <f>X7-Y7-AA7-AB7</f>
        <v>208</v>
      </c>
      <c r="AA7" s="1131">
        <f>ROUND($X7*$Q$19/($Q$9+$Q$14+$Q$19+$Q$24),0)</f>
        <v>0</v>
      </c>
      <c r="AB7" s="1132">
        <f>ROUND($X7*$Q$24/($Q$9+$Q$14+$Q$19+$Q$24),0)</f>
        <v>0</v>
      </c>
    </row>
    <row r="8" spans="1:28" ht="15.5" outlineLevel="1" thickTop="1" thickBot="1" x14ac:dyDescent="0.4">
      <c r="A8" s="3" t="s">
        <v>882</v>
      </c>
      <c r="B8" s="3"/>
      <c r="C8" s="3"/>
      <c r="D8" s="3"/>
      <c r="E8" s="3"/>
      <c r="F8" s="3"/>
      <c r="G8" s="309">
        <f>'12A.)TODL_RateDesignSummary'!D104</f>
        <v>0</v>
      </c>
      <c r="H8" s="177">
        <f>J85</f>
        <v>0</v>
      </c>
      <c r="I8" s="3"/>
      <c r="J8" s="33"/>
      <c r="K8" s="17"/>
      <c r="L8" s="688"/>
      <c r="M8" s="3"/>
      <c r="P8" s="168" t="s">
        <v>114</v>
      </c>
      <c r="Q8" s="154" t="s">
        <v>642</v>
      </c>
      <c r="R8" s="176" t="s">
        <v>645</v>
      </c>
      <c r="S8" s="172">
        <f>'[1]D2.)BillingDeterminants(TOD)'!$D$111+'[1]D2.)BillingDeterminants(TOD)'!$D$128</f>
        <v>101470.9</v>
      </c>
      <c r="T8" s="453"/>
      <c r="U8" s="452"/>
    </row>
    <row r="9" spans="1:28" ht="15.5" outlineLevel="1" thickTop="1" thickBot="1" x14ac:dyDescent="0.4">
      <c r="A9" s="3" t="s">
        <v>883</v>
      </c>
      <c r="B9" s="3"/>
      <c r="C9" s="3"/>
      <c r="D9" s="3"/>
      <c r="E9" s="3"/>
      <c r="F9" s="3"/>
      <c r="G9" s="310">
        <f>'12A.)TODL_RateDesignSummary'!D105</f>
        <v>13.37</v>
      </c>
      <c r="H9" s="169">
        <f t="shared" ref="H9:H10" si="0">J86</f>
        <v>13.72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'[1]B1.)HYAdjSalesDatabase'!$T$263</f>
        <v>104</v>
      </c>
      <c r="S9" s="151">
        <f>SUM(S6:S8)</f>
        <v>294630.57999999996</v>
      </c>
      <c r="U9" s="151">
        <f>SUM(U6:U8)</f>
        <v>43132000</v>
      </c>
      <c r="W9" s="406"/>
      <c r="X9" s="1009">
        <f>X7+X8-Q9-Q14-Q19-Q24</f>
        <v>0</v>
      </c>
      <c r="Y9" s="406"/>
      <c r="Z9" s="406"/>
      <c r="AA9" s="406"/>
      <c r="AB9" s="406"/>
    </row>
    <row r="10" spans="1:28" ht="15" outlineLevel="1" thickTop="1" x14ac:dyDescent="0.35">
      <c r="A10" s="3" t="s">
        <v>884</v>
      </c>
      <c r="B10" s="3"/>
      <c r="C10" s="3"/>
      <c r="D10" s="3"/>
      <c r="E10" s="3"/>
      <c r="F10" s="3"/>
      <c r="G10" s="310">
        <f>'12A.)TODL_RateDesignSummary'!D106</f>
        <v>8.43</v>
      </c>
      <c r="H10" s="169">
        <f t="shared" si="0"/>
        <v>8.65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8" outlineLevel="1" x14ac:dyDescent="0.35">
      <c r="A11" s="3" t="s">
        <v>885</v>
      </c>
      <c r="B11" s="3"/>
      <c r="C11" s="3"/>
      <c r="D11" s="3"/>
      <c r="E11" s="3"/>
      <c r="F11" s="3"/>
      <c r="G11" s="310">
        <f>'12A.)TODL_RateDesignSummary'!D107</f>
        <v>8.1399999999999988</v>
      </c>
      <c r="H11" s="169">
        <f>H85</f>
        <v>8.3500000000000014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386">
        <f>'[1]D2.)BillingDeterminants(TOD)'!$E$114+'[1]D2.)BillingDeterminants(TOD)'!$E$131</f>
        <v>58453024</v>
      </c>
    </row>
    <row r="12" spans="1:28" outlineLevel="1" x14ac:dyDescent="0.35">
      <c r="A12" s="3" t="s">
        <v>886</v>
      </c>
      <c r="B12" s="3"/>
      <c r="C12" s="3"/>
      <c r="D12" s="3"/>
      <c r="E12" s="3"/>
      <c r="F12" s="3"/>
      <c r="G12" s="310">
        <f>'12A.)TODL_RateDesignSummary'!D108</f>
        <v>20.93</v>
      </c>
      <c r="H12" s="169">
        <f t="shared" ref="H12:H13" si="1">H86</f>
        <v>21.48</v>
      </c>
      <c r="I12" s="3"/>
      <c r="P12" s="160" t="s">
        <v>113</v>
      </c>
      <c r="Q12" s="157" t="str">
        <f>Q$7</f>
        <v>D2</v>
      </c>
      <c r="R12" s="157" t="str">
        <f>R$7</f>
        <v>8-10</v>
      </c>
      <c r="S12" s="387">
        <f>'[1]D2.)BillingDeterminants(TOD)'!$E$109+'[1]D2.)BillingDeterminants(TOD)'!$E$126</f>
        <v>327188.64</v>
      </c>
      <c r="T12" s="159" t="str">
        <f>T$7</f>
        <v>Off Peak</v>
      </c>
      <c r="U12" s="387">
        <f>'[1]D2.)BillingDeterminants(TOD)'!$E$116+'[1]D2.)BillingDeterminants(TOD)'!$E$133</f>
        <v>81288576</v>
      </c>
    </row>
    <row r="13" spans="1:28" ht="15" outlineLevel="1" thickBot="1" x14ac:dyDescent="0.4">
      <c r="A13" s="3" t="s">
        <v>887</v>
      </c>
      <c r="B13" s="3"/>
      <c r="C13" s="3"/>
      <c r="D13" s="3"/>
      <c r="E13" s="3"/>
      <c r="F13" s="3"/>
      <c r="G13" s="310">
        <f>'12A.)TODL_RateDesignSummary'!D109</f>
        <v>12.399999999999999</v>
      </c>
      <c r="H13" s="169">
        <f t="shared" si="1"/>
        <v>12.72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72">
        <f>'[1]D2.)BillingDeterminants(TOD)'!$E$111+'[1]D2.)BillingDeterminants(TOD)'!$E$128</f>
        <v>329451.8</v>
      </c>
      <c r="T13" s="453"/>
      <c r="U13" s="452"/>
    </row>
    <row r="14" spans="1:28" ht="15.5" outlineLevel="1" thickTop="1" thickBot="1" x14ac:dyDescent="0.4">
      <c r="A14" t="s">
        <v>647</v>
      </c>
      <c r="F14" s="3"/>
      <c r="G14" s="310">
        <f>'12A.)TODL_RateDesignSummary'!D110</f>
        <v>7.9000000000000008E-3</v>
      </c>
      <c r="H14" s="169">
        <f>H142</f>
        <v>7.9000000000000008E-3</v>
      </c>
      <c r="I14" s="3"/>
      <c r="P14" s="1158" t="s">
        <v>2207</v>
      </c>
      <c r="Q14" s="1161">
        <f>'[1]B1.)HYAdjSalesDatabase'!$U$263</f>
        <v>208</v>
      </c>
      <c r="R14" s="3"/>
      <c r="S14" s="151">
        <f>SUM(S11:S13)</f>
        <v>656640.43999999994</v>
      </c>
      <c r="U14" s="151">
        <f>SUM(U11:U13)</f>
        <v>139741600</v>
      </c>
    </row>
    <row r="15" spans="1:28" ht="15" outlineLevel="1" thickTop="1" x14ac:dyDescent="0.35">
      <c r="A15" t="s">
        <v>648</v>
      </c>
      <c r="F15" s="3"/>
      <c r="G15" s="310">
        <f>'12A.)TODL_RateDesignSummary'!D111</f>
        <v>7.9000000000000008E-3</v>
      </c>
      <c r="H15" s="169">
        <f>H143</f>
        <v>7.9000000000000008E-3</v>
      </c>
      <c r="I15" s="3"/>
    </row>
    <row r="16" spans="1:28" outlineLevel="1" x14ac:dyDescent="0.35">
      <c r="A16" t="s">
        <v>649</v>
      </c>
      <c r="F16" s="3"/>
      <c r="G16" s="310">
        <f>'12A.)TODL_RateDesignSummary'!D112</f>
        <v>7.9000000000000008E-3</v>
      </c>
      <c r="H16" s="169">
        <f>J142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386">
        <f>'[1]D2.)BillingDeterminants(TOD)'!$D$40+'[1]D2.)BillingDeterminants(TOD)'!$D$55</f>
        <v>0</v>
      </c>
      <c r="T16" s="164" t="str">
        <f>T$6</f>
        <v>on Peak</v>
      </c>
      <c r="U16" s="386">
        <f>'[1]D2.)BillingDeterminants(TOD)'!$D$47+'[1]D2.)BillingDeterminants(TOD)'!$D$62</f>
        <v>0</v>
      </c>
    </row>
    <row r="17" spans="1:21" outlineLevel="1" x14ac:dyDescent="0.35">
      <c r="A17" t="s">
        <v>650</v>
      </c>
      <c r="F17" s="3"/>
      <c r="G17" s="310">
        <f>'12A.)TODL_RateDesignSummary'!D113</f>
        <v>7.9000000000000008E-3</v>
      </c>
      <c r="H17" s="169">
        <f>J143</f>
        <v>7.9000000000000008E-3</v>
      </c>
      <c r="I17" s="3"/>
      <c r="J17" s="33" t="s">
        <v>133</v>
      </c>
      <c r="L17" s="245">
        <f>'[2]6B.)RateChgAllocation'!$N$59</f>
        <v>342441</v>
      </c>
      <c r="M17" s="701">
        <f>ROUND(L17/ROUND(L18/M18,5),0)</f>
        <v>338672</v>
      </c>
      <c r="P17" s="170" t="s">
        <v>112</v>
      </c>
      <c r="Q17" s="157" t="str">
        <f>Q$7</f>
        <v>D2</v>
      </c>
      <c r="R17" s="157" t="str">
        <f>R$7</f>
        <v>8-10</v>
      </c>
      <c r="S17" s="387">
        <f>'[1]D2.)BillingDeterminants(TOD)'!$D$42+'[1]D2.)BillingDeterminants(TOD)'!$D$57</f>
        <v>0</v>
      </c>
      <c r="T17" s="159" t="str">
        <f>T$7</f>
        <v>Off Peak</v>
      </c>
      <c r="U17" s="387">
        <f>'[1]D2.)BillingDeterminants(TOD)'!$D$49+'[1]D2.)BillingDeterminants(TOD)'!$D$64</f>
        <v>0</v>
      </c>
    </row>
    <row r="18" spans="1:21" ht="15" outlineLevel="1" thickBot="1" x14ac:dyDescent="0.4">
      <c r="A18" t="s">
        <v>651</v>
      </c>
      <c r="F18" s="3"/>
      <c r="G18" s="310">
        <f>'12A.)TODL_RateDesignSummary'!D114</f>
        <v>7.9000000000000008E-3</v>
      </c>
      <c r="H18" s="169">
        <f>H14</f>
        <v>7.9000000000000008E-3</v>
      </c>
      <c r="I18" s="3"/>
      <c r="J18" s="33" t="s">
        <v>131</v>
      </c>
      <c r="L18" s="701">
        <f>'[2]4D-5.)HY_TODLRatePxOut(SC12)'!$Y$44</f>
        <v>11402260</v>
      </c>
      <c r="M18" s="245">
        <f>'[2]4D-5.)HY_TODLRatePxOut(SC12)'!$W$44</f>
        <v>11276778</v>
      </c>
      <c r="P18" s="168" t="s">
        <v>112</v>
      </c>
      <c r="Q18" s="154" t="str">
        <f>Q8</f>
        <v>D3</v>
      </c>
      <c r="R18" s="154" t="str">
        <f>R8</f>
        <v>All Day</v>
      </c>
      <c r="S18" s="153"/>
      <c r="T18" s="453"/>
      <c r="U18" s="452"/>
    </row>
    <row r="19" spans="1:21" ht="15.5" outlineLevel="1" thickTop="1" thickBot="1" x14ac:dyDescent="0.4">
      <c r="A19" t="s">
        <v>652</v>
      </c>
      <c r="F19" s="3"/>
      <c r="G19" s="310">
        <f>'12A.)TODL_RateDesignSummary'!D115</f>
        <v>7.9000000000000008E-3</v>
      </c>
      <c r="H19" s="169">
        <f t="shared" ref="H19:H21" si="2">H15</f>
        <v>7.9000000000000008E-3</v>
      </c>
      <c r="I19" s="3"/>
      <c r="J19" s="33" t="s">
        <v>123</v>
      </c>
      <c r="L19" s="245">
        <f>'[2]6B.)RateChgAllocation'!$M$59</f>
        <v>0</v>
      </c>
      <c r="M19" s="245">
        <f>ROUND(L19/ROUND(L18/M18,5),0)</f>
        <v>0</v>
      </c>
      <c r="P19" s="1158" t="s">
        <v>2207</v>
      </c>
      <c r="Q19" s="1161">
        <f>'[1]B1.)HYAdjSalesDatabase'!$T$262</f>
        <v>0</v>
      </c>
      <c r="S19" s="151">
        <f>SUM(S16:S18)</f>
        <v>0</v>
      </c>
      <c r="U19" s="151">
        <f>SUM(U16:U18)</f>
        <v>0</v>
      </c>
    </row>
    <row r="20" spans="1:21" ht="15" outlineLevel="1" thickTop="1" x14ac:dyDescent="0.35">
      <c r="A20" t="s">
        <v>653</v>
      </c>
      <c r="F20" s="3"/>
      <c r="G20" s="310">
        <f>'12A.)TODL_RateDesignSummary'!D116</f>
        <v>7.9000000000000008E-3</v>
      </c>
      <c r="H20" s="169">
        <f t="shared" si="2"/>
        <v>7.9000000000000008E-3</v>
      </c>
      <c r="I20" s="3"/>
      <c r="J20" s="33" t="s">
        <v>129</v>
      </c>
      <c r="L20" s="701">
        <f>'[2]4D-5.)HY_TODLRatePxOut(SC12)'!$Y$80</f>
        <v>1444702</v>
      </c>
      <c r="M20" s="245">
        <f>'[2]4D-5.)HY_TODLRatePxOut(SC12)'!$W$80</f>
        <v>1444702</v>
      </c>
    </row>
    <row r="21" spans="1:21" ht="15" outlineLevel="1" thickBot="1" x14ac:dyDescent="0.4">
      <c r="A21" t="s">
        <v>654</v>
      </c>
      <c r="F21" s="3"/>
      <c r="G21" s="311">
        <f>'12A.)TODL_RateDesignSummary'!D117</f>
        <v>7.9000000000000008E-3</v>
      </c>
      <c r="H21" s="167">
        <f t="shared" si="2"/>
        <v>7.9000000000000008E-3</v>
      </c>
      <c r="I21" s="3"/>
      <c r="L21" s="702"/>
      <c r="M21" s="702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386">
        <f>'[1]D2.)BillingDeterminants(TOD)'!$E$47+'[1]D2.)BillingDeterminants(TOD)'!$E$62</f>
        <v>0</v>
      </c>
    </row>
    <row r="22" spans="1:21" ht="15.5" outlineLevel="1" thickTop="1" thickBot="1" x14ac:dyDescent="0.4">
      <c r="J22" s="33" t="str">
        <f>CONCATENATE(A4," - T&amp;D Target:")</f>
        <v>SC12 Rate II - T&amp;D Target:</v>
      </c>
      <c r="L22" s="701">
        <f>'[2]6A.)RateChange'!$BN$59</f>
        <v>13189403</v>
      </c>
      <c r="M22" s="702"/>
      <c r="P22" s="160" t="s">
        <v>111</v>
      </c>
      <c r="Q22" s="157" t="str">
        <f>Q$7</f>
        <v>D2</v>
      </c>
      <c r="R22" s="157" t="str">
        <f>R$7</f>
        <v>8-10</v>
      </c>
      <c r="S22" s="387">
        <f>'[1]D2.)BillingDeterminants(TOD)'!$E$42+'[1]D2.)BillingDeterminants(TOD)'!$E$57</f>
        <v>0</v>
      </c>
      <c r="T22" s="159" t="str">
        <f>T$7</f>
        <v>Off Peak</v>
      </c>
      <c r="U22" s="387">
        <f>'[1]D2.)BillingDeterminants(TOD)'!$E$49+'[1]D2.)BillingDeterminants(TOD)'!$E$64</f>
        <v>0</v>
      </c>
    </row>
    <row r="23" spans="1:21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153"/>
      <c r="T23" s="453"/>
      <c r="U23" s="452"/>
    </row>
    <row r="24" spans="1:21" ht="15.5" outlineLevel="1" thickTop="1" thickBot="1" x14ac:dyDescent="0.4">
      <c r="A24" s="1174" t="s">
        <v>2229</v>
      </c>
      <c r="B24" s="1175"/>
      <c r="C24" s="1176"/>
      <c r="H24" s="1170">
        <f>'7C.)CustCharge_DemandClasses'!$G$15</f>
        <v>143.09</v>
      </c>
      <c r="P24" s="1158" t="s">
        <v>2207</v>
      </c>
      <c r="Q24" s="1161">
        <f>'[1]B1.)HYAdjSalesDatabase'!$U$262</f>
        <v>0</v>
      </c>
      <c r="S24" s="151">
        <f>SUM(S21:S23)</f>
        <v>0</v>
      </c>
      <c r="U24" s="151">
        <f>SUM(U21:U23)</f>
        <v>0</v>
      </c>
    </row>
    <row r="25" spans="1:21" ht="15.5" outlineLevel="1" thickTop="1" thickBot="1" x14ac:dyDescent="0.4">
      <c r="S25" s="150"/>
    </row>
    <row r="26" spans="1:21" ht="15.5" outlineLevel="1" thickTop="1" thickBot="1" x14ac:dyDescent="0.4">
      <c r="R26" t="s">
        <v>205</v>
      </c>
      <c r="S26" s="151">
        <f>S9+S14+S19+S24</f>
        <v>951271.0199999999</v>
      </c>
      <c r="U26" s="151">
        <f>U9+U14+U19+U24</f>
        <v>182873600</v>
      </c>
    </row>
    <row r="27" spans="1:21" ht="15" outlineLevel="1" thickTop="1" x14ac:dyDescent="0.35"/>
    <row r="28" spans="1:21" s="148" customFormat="1" outlineLevel="1" x14ac:dyDescent="0.35"/>
    <row r="29" spans="1:21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58"/>
      <c r="M29" s="1169" t="s">
        <v>2240</v>
      </c>
    </row>
    <row r="30" spans="1:21" x14ac:dyDescent="0.35">
      <c r="A30" s="131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143.09</v>
      </c>
    </row>
    <row r="31" spans="1:21" x14ac:dyDescent="0.35">
      <c r="B31" s="41" t="str">
        <f>$A$4</f>
        <v>SC12 Rate II</v>
      </c>
      <c r="C31" s="133" t="s">
        <v>662</v>
      </c>
      <c r="D31" s="133"/>
      <c r="E31" s="133"/>
      <c r="F31" s="133"/>
      <c r="H31" s="1149" t="s">
        <v>2226</v>
      </c>
      <c r="I31" s="1149" t="s">
        <v>2227</v>
      </c>
      <c r="L31" s="1158"/>
      <c r="M31" s="1158"/>
      <c r="P31"/>
    </row>
    <row r="32" spans="1:21" x14ac:dyDescent="0.35">
      <c r="C32" s="142" t="s">
        <v>97</v>
      </c>
      <c r="H32" s="130">
        <f>M17</f>
        <v>338672</v>
      </c>
      <c r="I32" s="1156">
        <f>H32-M38</f>
        <v>294028</v>
      </c>
      <c r="J32" s="892" t="s">
        <v>79</v>
      </c>
      <c r="L32" s="1165" t="s">
        <v>2221</v>
      </c>
      <c r="M32" s="1159">
        <f>Y7</f>
        <v>104</v>
      </c>
      <c r="P32"/>
    </row>
    <row r="33" spans="1:16" ht="15" thickBot="1" x14ac:dyDescent="0.4">
      <c r="C33" t="s">
        <v>102</v>
      </c>
      <c r="I33" s="819">
        <f>M18</f>
        <v>11276778</v>
      </c>
      <c r="J33" s="892" t="s">
        <v>78</v>
      </c>
      <c r="L33" s="1165" t="s">
        <v>2222</v>
      </c>
      <c r="M33" s="1159">
        <f>Z7</f>
        <v>208</v>
      </c>
      <c r="P33"/>
    </row>
    <row r="34" spans="1:16" ht="15.5" thickTop="1" thickBot="1" x14ac:dyDescent="0.4">
      <c r="C34" t="s">
        <v>657</v>
      </c>
      <c r="I34" s="128">
        <f>I32+I33</f>
        <v>11570806</v>
      </c>
      <c r="J34" s="892" t="s">
        <v>1580</v>
      </c>
      <c r="L34" s="1158"/>
      <c r="M34" s="1158"/>
      <c r="P34"/>
    </row>
    <row r="35" spans="1:16" ht="15" thickTop="1" x14ac:dyDescent="0.35">
      <c r="I35" s="345"/>
      <c r="J35" s="136"/>
      <c r="L35" s="1165" t="s">
        <v>2223</v>
      </c>
      <c r="M35" s="1159">
        <f>AA7</f>
        <v>0</v>
      </c>
      <c r="P35"/>
    </row>
    <row r="36" spans="1:16" x14ac:dyDescent="0.35">
      <c r="C36" s="75" t="s">
        <v>658</v>
      </c>
      <c r="D36" s="75"/>
      <c r="E36" s="75"/>
      <c r="F36" s="75"/>
      <c r="I36" s="637">
        <f>ROUND(I32/I33,8)</f>
        <v>2.6073760000000001E-2</v>
      </c>
      <c r="J36" s="892" t="s">
        <v>1777</v>
      </c>
      <c r="L36" s="1165" t="s">
        <v>2224</v>
      </c>
      <c r="M36" s="1159">
        <f>AB7</f>
        <v>0</v>
      </c>
      <c r="P36"/>
    </row>
    <row r="37" spans="1:16" x14ac:dyDescent="0.35">
      <c r="L37" s="1158"/>
      <c r="M37" s="1158"/>
      <c r="P37"/>
    </row>
    <row r="38" spans="1:16" x14ac:dyDescent="0.35">
      <c r="A38" s="406"/>
      <c r="L38" s="1165" t="s">
        <v>2225</v>
      </c>
      <c r="M38" s="1160">
        <f>ROUND((M32+M33+M35+M36)*M30,0)</f>
        <v>44644</v>
      </c>
      <c r="P38"/>
    </row>
    <row r="39" spans="1:16" x14ac:dyDescent="0.35">
      <c r="A39" s="858" t="s">
        <v>666</v>
      </c>
      <c r="P39"/>
    </row>
    <row r="40" spans="1:16" ht="15" thickBot="1" x14ac:dyDescent="0.4">
      <c r="A40" s="406"/>
      <c r="P40"/>
    </row>
    <row r="41" spans="1:16" ht="15.5" thickTop="1" thickBot="1" x14ac:dyDescent="0.4">
      <c r="A41" s="406"/>
      <c r="B41" s="41" t="str">
        <f>$A$4</f>
        <v>SC12 Rate II</v>
      </c>
      <c r="C41" s="3"/>
      <c r="D41" s="3"/>
      <c r="E41" s="3"/>
      <c r="F41" s="3"/>
      <c r="G41" s="3"/>
      <c r="H41" s="1316" t="s">
        <v>82</v>
      </c>
      <c r="I41" s="1317"/>
      <c r="J41" s="1318"/>
      <c r="K41" s="3"/>
      <c r="L41" s="1307" t="s">
        <v>81</v>
      </c>
      <c r="M41" s="1308"/>
      <c r="N41" s="1309"/>
    </row>
    <row r="42" spans="1:16" ht="15" thickTop="1" x14ac:dyDescent="0.35">
      <c r="A42" s="406"/>
      <c r="B42" s="3"/>
      <c r="C42" s="3"/>
      <c r="E42" s="30" t="s">
        <v>80</v>
      </c>
      <c r="F42" s="3"/>
      <c r="G42" s="3"/>
      <c r="H42" s="30" t="s">
        <v>42</v>
      </c>
      <c r="I42" s="30"/>
      <c r="J42" s="30" t="s">
        <v>40</v>
      </c>
      <c r="K42" s="3"/>
      <c r="L42" s="30" t="s">
        <v>42</v>
      </c>
      <c r="M42" s="86"/>
      <c r="N42" s="30" t="s">
        <v>40</v>
      </c>
    </row>
    <row r="43" spans="1:16" x14ac:dyDescent="0.35">
      <c r="A43" s="406"/>
      <c r="B43" s="3" t="s">
        <v>656</v>
      </c>
      <c r="C43" s="3"/>
      <c r="D43" s="121" t="str">
        <f>Q6</f>
        <v>D1</v>
      </c>
      <c r="E43" s="122"/>
      <c r="F43" s="121" t="str">
        <f>R6</f>
        <v>8-6</v>
      </c>
      <c r="G43" s="123"/>
      <c r="H43" s="35">
        <f>G11</f>
        <v>8.1399999999999988</v>
      </c>
      <c r="I43" s="892" t="s">
        <v>177</v>
      </c>
      <c r="J43" s="35">
        <f>G8</f>
        <v>0</v>
      </c>
      <c r="K43" s="3"/>
      <c r="L43" s="27">
        <f>H43-$J$44</f>
        <v>-5.23</v>
      </c>
      <c r="M43" s="892" t="s">
        <v>1779</v>
      </c>
      <c r="N43" s="3"/>
    </row>
    <row r="44" spans="1:16" x14ac:dyDescent="0.35">
      <c r="A44" s="406"/>
      <c r="B44" s="3"/>
      <c r="C44" s="3"/>
      <c r="D44" s="121" t="str">
        <f>Q7</f>
        <v>D2</v>
      </c>
      <c r="E44" s="122"/>
      <c r="F44" s="121" t="str">
        <f>R7</f>
        <v>8-10</v>
      </c>
      <c r="G44" s="36"/>
      <c r="H44" s="35">
        <f>G12</f>
        <v>20.93</v>
      </c>
      <c r="I44" s="892" t="s">
        <v>178</v>
      </c>
      <c r="J44" s="35">
        <f>G9</f>
        <v>13.37</v>
      </c>
      <c r="K44" s="892" t="s">
        <v>1583</v>
      </c>
      <c r="L44" s="27">
        <f>H44-$J$44</f>
        <v>7.5600000000000005</v>
      </c>
      <c r="M44" s="892" t="s">
        <v>1782</v>
      </c>
      <c r="N44" s="112"/>
      <c r="O44" s="892" t="s">
        <v>213</v>
      </c>
    </row>
    <row r="45" spans="1:16" x14ac:dyDescent="0.35">
      <c r="A45" s="406"/>
      <c r="B45" s="3"/>
      <c r="C45" s="3"/>
      <c r="D45" s="121" t="str">
        <f>Q8</f>
        <v>D3</v>
      </c>
      <c r="E45" s="122"/>
      <c r="F45" s="121" t="str">
        <f>R8</f>
        <v>All Day</v>
      </c>
      <c r="G45" s="36"/>
      <c r="H45" s="35">
        <f>G13</f>
        <v>12.399999999999999</v>
      </c>
      <c r="I45" s="892" t="s">
        <v>1778</v>
      </c>
      <c r="J45" s="35">
        <f>G10</f>
        <v>8.43</v>
      </c>
      <c r="K45" s="892" t="s">
        <v>1304</v>
      </c>
      <c r="L45" s="27">
        <f>H45-$J$44</f>
        <v>-0.97000000000000064</v>
      </c>
      <c r="M45" s="892" t="s">
        <v>1783</v>
      </c>
      <c r="N45" s="27">
        <f>J45-$J$44</f>
        <v>-4.9399999999999995</v>
      </c>
      <c r="O45" s="892" t="s">
        <v>1784</v>
      </c>
    </row>
    <row r="46" spans="1:16" x14ac:dyDescent="0.35">
      <c r="A46" s="406"/>
      <c r="B46" s="3"/>
      <c r="C46" s="3"/>
      <c r="D46" s="2"/>
      <c r="E46" s="122"/>
      <c r="F46" s="122"/>
      <c r="G46" s="36"/>
      <c r="H46" s="120"/>
      <c r="J46" s="120"/>
      <c r="K46" s="3"/>
      <c r="L46" s="27"/>
      <c r="N46" s="61"/>
    </row>
    <row r="47" spans="1:16" ht="15" thickBot="1" x14ac:dyDescent="0.4">
      <c r="A47" s="406"/>
      <c r="K47" s="100" t="s">
        <v>688</v>
      </c>
      <c r="L47" s="968">
        <f>I36</f>
        <v>2.6073760000000001E-2</v>
      </c>
      <c r="M47" s="892" t="s">
        <v>1173</v>
      </c>
    </row>
    <row r="48" spans="1:16" ht="15.5" thickTop="1" thickBot="1" x14ac:dyDescent="0.4">
      <c r="A48" s="406"/>
      <c r="B48" s="119" t="s">
        <v>77</v>
      </c>
      <c r="L48" s="1307" t="s">
        <v>76</v>
      </c>
      <c r="M48" s="1308"/>
      <c r="N48" s="1309"/>
    </row>
    <row r="49" spans="1:21" ht="15.5" thickTop="1" thickBot="1" x14ac:dyDescent="0.4">
      <c r="A49" s="406"/>
      <c r="C49" s="41" t="str">
        <f>B41</f>
        <v>SC12 Rate II</v>
      </c>
      <c r="D49" s="41" t="str">
        <f>$B$43</f>
        <v>(HT &amp; LT)</v>
      </c>
      <c r="H49" s="118" t="s">
        <v>42</v>
      </c>
      <c r="I49" s="118" t="s">
        <v>40</v>
      </c>
      <c r="L49" s="30" t="s">
        <v>42</v>
      </c>
      <c r="M49" s="86"/>
      <c r="N49" s="30" t="s">
        <v>40</v>
      </c>
    </row>
    <row r="50" spans="1:21" x14ac:dyDescent="0.35">
      <c r="A50" s="406"/>
      <c r="C50" s="121" t="str">
        <f>D43</f>
        <v>D1</v>
      </c>
      <c r="D50" s="121" t="str">
        <f>F43</f>
        <v>8-6</v>
      </c>
      <c r="H50" s="117" t="str">
        <f>CONCATENATE("X + ",L50)</f>
        <v>X + -5.37</v>
      </c>
      <c r="I50" s="457"/>
      <c r="L50" s="27">
        <f>ROUND(L43*(1+$L$47),2)</f>
        <v>-5.37</v>
      </c>
      <c r="M50" s="892" t="s">
        <v>1785</v>
      </c>
    </row>
    <row r="51" spans="1:21" x14ac:dyDescent="0.35">
      <c r="A51" s="406"/>
      <c r="C51" s="121" t="str">
        <f>D44</f>
        <v>D2</v>
      </c>
      <c r="D51" s="121" t="str">
        <f>F44</f>
        <v>8-10</v>
      </c>
      <c r="H51" s="114" t="str">
        <f>CONCATENATE("X + ",L51)</f>
        <v>X + 7.76</v>
      </c>
      <c r="I51" s="115" t="s">
        <v>32</v>
      </c>
      <c r="L51" s="27">
        <f>ROUND(L44*(1+$L$47),2)</f>
        <v>7.76</v>
      </c>
      <c r="M51" s="892" t="s">
        <v>1786</v>
      </c>
      <c r="N51" s="112"/>
      <c r="O51" s="892" t="s">
        <v>213</v>
      </c>
    </row>
    <row r="52" spans="1:21" s="1" customFormat="1" ht="15" thickBot="1" x14ac:dyDescent="0.4">
      <c r="A52" s="406"/>
      <c r="C52" s="121" t="str">
        <f>D45</f>
        <v>D3</v>
      </c>
      <c r="D52" s="121" t="str">
        <f>F45</f>
        <v>All Day</v>
      </c>
      <c r="E52"/>
      <c r="F52"/>
      <c r="H52" s="111" t="str">
        <f>CONCATENATE("X + ",L52)</f>
        <v>X + -1</v>
      </c>
      <c r="I52" s="110" t="str">
        <f>CONCATENATE("X + ",N52)</f>
        <v>X + -5.07</v>
      </c>
      <c r="J52"/>
      <c r="K52"/>
      <c r="L52" s="27">
        <f>ROUND(L45*(1+$L$47),2)</f>
        <v>-1</v>
      </c>
      <c r="M52" s="892" t="s">
        <v>1787</v>
      </c>
      <c r="N52" s="27">
        <f>ROUND(N45*(1+$L$47),2)</f>
        <v>-5.07</v>
      </c>
      <c r="O52" s="892" t="s">
        <v>1788</v>
      </c>
      <c r="Q52"/>
      <c r="R52"/>
      <c r="S52"/>
      <c r="T52"/>
      <c r="U52"/>
    </row>
    <row r="53" spans="1:21" s="1" customFormat="1" x14ac:dyDescent="0.35">
      <c r="A53" s="406"/>
      <c r="B53"/>
      <c r="C53"/>
      <c r="D53"/>
      <c r="E53"/>
      <c r="F53"/>
      <c r="G53"/>
      <c r="H53"/>
      <c r="I53"/>
      <c r="J53"/>
      <c r="K53"/>
      <c r="L53"/>
      <c r="N53"/>
      <c r="O53"/>
      <c r="Q53"/>
      <c r="R53"/>
      <c r="S53"/>
      <c r="T53"/>
      <c r="U53"/>
    </row>
    <row r="54" spans="1:21" s="1" customFormat="1" x14ac:dyDescent="0.35">
      <c r="A54" s="406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Q54"/>
      <c r="R54"/>
      <c r="S54"/>
      <c r="T54"/>
      <c r="U54"/>
    </row>
    <row r="55" spans="1:21" s="1" customFormat="1" x14ac:dyDescent="0.35">
      <c r="A55" s="406"/>
      <c r="B55" s="334" t="s">
        <v>70</v>
      </c>
      <c r="C55"/>
      <c r="D55"/>
      <c r="E55"/>
      <c r="F55"/>
      <c r="G55"/>
      <c r="H55"/>
      <c r="I55"/>
      <c r="J55"/>
      <c r="K55"/>
      <c r="L55"/>
      <c r="M55"/>
      <c r="N55"/>
      <c r="O55"/>
      <c r="Q55"/>
      <c r="R55"/>
      <c r="S55"/>
      <c r="T55"/>
      <c r="U55"/>
    </row>
    <row r="56" spans="1:21" s="1" customFormat="1" x14ac:dyDescent="0.35">
      <c r="A56" s="406"/>
      <c r="B56" s="41" t="str">
        <f>$A$4</f>
        <v>SC12 Rate II</v>
      </c>
      <c r="C56"/>
      <c r="D56"/>
      <c r="E56"/>
      <c r="F56"/>
      <c r="G56"/>
      <c r="H56"/>
      <c r="I56"/>
      <c r="J56"/>
      <c r="K56"/>
      <c r="L56"/>
      <c r="M56"/>
      <c r="N56"/>
      <c r="O56"/>
      <c r="Q56"/>
      <c r="R56"/>
      <c r="S56"/>
      <c r="T56"/>
      <c r="U56"/>
    </row>
    <row r="57" spans="1:21" s="1" customFormat="1" ht="15" thickBot="1" x14ac:dyDescent="0.4">
      <c r="A57" s="406"/>
      <c r="B57" s="70" t="s">
        <v>69</v>
      </c>
      <c r="C57" s="70"/>
      <c r="D57" s="70"/>
      <c r="E57" s="3"/>
      <c r="F57" s="3"/>
      <c r="G57" s="3"/>
      <c r="H57"/>
      <c r="I57" s="69" t="s">
        <v>25</v>
      </c>
      <c r="J57" s="3"/>
      <c r="K57" s="3"/>
      <c r="L57"/>
      <c r="M57"/>
      <c r="N57"/>
      <c r="O57"/>
      <c r="Q57"/>
      <c r="R57"/>
      <c r="S57"/>
      <c r="T57"/>
      <c r="U57"/>
    </row>
    <row r="58" spans="1:21" s="1" customFormat="1" x14ac:dyDescent="0.35">
      <c r="A58" s="406"/>
      <c r="B58" s="3"/>
      <c r="C58" s="392" t="str">
        <f>CONCATENATE(D43,": ",F43)</f>
        <v>D1: 8-6</v>
      </c>
      <c r="D58" s="70"/>
      <c r="E58" s="3" t="s">
        <v>42</v>
      </c>
      <c r="F58" s="3"/>
      <c r="I58" s="72">
        <f>S6+S16</f>
        <v>91953.36</v>
      </c>
      <c r="J58" s="36"/>
      <c r="K58" s="74" t="str">
        <f>CONCATENATE("[",H50,"]")</f>
        <v>[X + -5.37]</v>
      </c>
      <c r="L58" s="61" t="s">
        <v>1819</v>
      </c>
      <c r="M58"/>
      <c r="N58"/>
      <c r="O58"/>
      <c r="Q58"/>
      <c r="R58"/>
      <c r="S58"/>
      <c r="T58"/>
      <c r="U58"/>
    </row>
    <row r="59" spans="1:21" s="1" customFormat="1" x14ac:dyDescent="0.35">
      <c r="A59" s="406"/>
      <c r="B59" s="3"/>
      <c r="C59" s="464"/>
      <c r="D59" s="3"/>
      <c r="E59" s="3" t="s">
        <v>40</v>
      </c>
      <c r="F59" s="3"/>
      <c r="I59" s="458">
        <f>S11+S21</f>
        <v>0</v>
      </c>
      <c r="J59" s="36" t="s">
        <v>39</v>
      </c>
      <c r="K59" s="456"/>
      <c r="L59" s="61"/>
      <c r="M59"/>
      <c r="N59"/>
      <c r="O59"/>
      <c r="Q59"/>
      <c r="R59"/>
      <c r="S59"/>
      <c r="T59"/>
      <c r="U59"/>
    </row>
    <row r="60" spans="1:21" s="1" customFormat="1" x14ac:dyDescent="0.35">
      <c r="A60" s="406"/>
      <c r="B60" s="3"/>
      <c r="C60" s="392" t="str">
        <f>CONCATENATE(D44,": ",F44)</f>
        <v>D2: 8-10</v>
      </c>
      <c r="D60" s="3"/>
      <c r="E60" s="3" t="s">
        <v>42</v>
      </c>
      <c r="F60" s="3"/>
      <c r="I60" s="72">
        <f>S7+S17</f>
        <v>101206.31999999999</v>
      </c>
      <c r="J60" s="36"/>
      <c r="K60" s="73" t="str">
        <f>CONCATENATE("[",H51,"]")</f>
        <v>[X + 7.76]</v>
      </c>
      <c r="L60" s="61" t="s">
        <v>1820</v>
      </c>
      <c r="M60"/>
      <c r="N60"/>
      <c r="O60"/>
      <c r="Q60"/>
      <c r="R60"/>
      <c r="S60"/>
      <c r="T60"/>
      <c r="U60"/>
    </row>
    <row r="61" spans="1:21" s="1" customFormat="1" x14ac:dyDescent="0.35">
      <c r="A61" s="406"/>
      <c r="B61" s="3"/>
      <c r="C61" s="464"/>
      <c r="D61" s="3"/>
      <c r="E61" s="3" t="s">
        <v>40</v>
      </c>
      <c r="F61" s="3"/>
      <c r="H61"/>
      <c r="I61" s="366">
        <f>S12+S22</f>
        <v>327188.64</v>
      </c>
      <c r="J61" s="36" t="s">
        <v>39</v>
      </c>
      <c r="K61" s="73" t="str">
        <f>CONCATENATE("[",I51,"]")</f>
        <v>[X]</v>
      </c>
      <c r="L61" s="61" t="s">
        <v>1642</v>
      </c>
      <c r="M61"/>
      <c r="N61"/>
      <c r="O61"/>
      <c r="Q61"/>
      <c r="R61"/>
      <c r="S61"/>
      <c r="T61"/>
      <c r="U61"/>
    </row>
    <row r="62" spans="1:21" s="1" customFormat="1" x14ac:dyDescent="0.35">
      <c r="A62" s="406"/>
      <c r="B62" s="3"/>
      <c r="C62" s="392" t="str">
        <f>CONCATENATE(D45,": ",F45)</f>
        <v>D3: All Day</v>
      </c>
      <c r="D62" s="3"/>
      <c r="E62" s="3" t="s">
        <v>42</v>
      </c>
      <c r="F62" s="3"/>
      <c r="H62"/>
      <c r="I62" s="72">
        <f>S8+S18</f>
        <v>101470.9</v>
      </c>
      <c r="J62" s="36" t="s">
        <v>39</v>
      </c>
      <c r="K62" s="73" t="str">
        <f>CONCATENATE("[",H52,"]")</f>
        <v>[X + -1]</v>
      </c>
      <c r="L62" s="61" t="s">
        <v>1821</v>
      </c>
      <c r="M62"/>
      <c r="N62"/>
      <c r="O62"/>
      <c r="Q62"/>
      <c r="R62"/>
      <c r="S62"/>
      <c r="T62"/>
      <c r="U62"/>
    </row>
    <row r="63" spans="1:21" s="1" customFormat="1" ht="15" thickBot="1" x14ac:dyDescent="0.4">
      <c r="A63" s="406"/>
      <c r="B63" s="3"/>
      <c r="C63" s="410"/>
      <c r="D63" s="3"/>
      <c r="E63" s="3" t="s">
        <v>40</v>
      </c>
      <c r="F63" s="3"/>
      <c r="H63"/>
      <c r="I63" s="553">
        <f>S13+S23</f>
        <v>329451.8</v>
      </c>
      <c r="J63" s="36" t="s">
        <v>39</v>
      </c>
      <c r="K63" s="71" t="str">
        <f>CONCATENATE("[",I52,"]")</f>
        <v>[X + -5.07]</v>
      </c>
      <c r="L63" s="61" t="s">
        <v>1822</v>
      </c>
      <c r="M63"/>
      <c r="N63"/>
      <c r="O63"/>
      <c r="Q63"/>
      <c r="R63"/>
      <c r="S63"/>
      <c r="T63"/>
      <c r="U63"/>
    </row>
    <row r="64" spans="1:21" s="1" customFormat="1" x14ac:dyDescent="0.35">
      <c r="A64" s="406"/>
      <c r="B64" s="3"/>
      <c r="C64" s="3"/>
      <c r="D64" s="3"/>
      <c r="E64" s="3"/>
      <c r="F64" s="3"/>
      <c r="H64"/>
      <c r="I64" s="28">
        <f>SUM(I58:I63)</f>
        <v>951271.02</v>
      </c>
      <c r="J64" s="61" t="s">
        <v>1823</v>
      </c>
      <c r="K64"/>
      <c r="L64"/>
      <c r="M64"/>
      <c r="N64"/>
      <c r="O64"/>
      <c r="Q64"/>
      <c r="R64"/>
      <c r="S64"/>
      <c r="T64"/>
      <c r="U64"/>
    </row>
    <row r="65" spans="1:21" x14ac:dyDescent="0.35">
      <c r="A65" s="406"/>
      <c r="B65" s="70" t="s">
        <v>660</v>
      </c>
    </row>
    <row r="66" spans="1:21" x14ac:dyDescent="0.35">
      <c r="A66" s="406"/>
      <c r="B66" s="41" t="str">
        <f>$A$4</f>
        <v>SC12 Rate II</v>
      </c>
      <c r="C66" s="3" t="s">
        <v>656</v>
      </c>
      <c r="F66" s="3"/>
      <c r="G66" s="3"/>
      <c r="H66" s="3"/>
      <c r="I66" s="69" t="s">
        <v>25</v>
      </c>
      <c r="J66" s="3"/>
      <c r="K66" s="106"/>
      <c r="L66" s="3"/>
      <c r="N66" s="17"/>
    </row>
    <row r="67" spans="1:21" x14ac:dyDescent="0.35">
      <c r="A67" s="406"/>
      <c r="C67" s="3" t="str">
        <f>C58</f>
        <v>D1: 8-6</v>
      </c>
      <c r="D67" s="3" t="str">
        <f t="shared" ref="D67:D72" si="3">E58</f>
        <v>Summer</v>
      </c>
      <c r="F67" s="3"/>
      <c r="G67" s="3"/>
      <c r="H67" s="3"/>
      <c r="I67" s="105">
        <f t="shared" ref="I67:I72" si="4">I58</f>
        <v>91953.36</v>
      </c>
      <c r="J67" s="65" t="s">
        <v>63</v>
      </c>
      <c r="K67" s="103">
        <f>ROUND(I67*L50,0)</f>
        <v>-493790</v>
      </c>
      <c r="L67" s="3" t="s">
        <v>62</v>
      </c>
      <c r="M67" s="61" t="s">
        <v>1826</v>
      </c>
      <c r="N67" s="17"/>
    </row>
    <row r="68" spans="1:21" x14ac:dyDescent="0.35">
      <c r="A68" s="406"/>
      <c r="C68" s="3"/>
      <c r="D68" s="3" t="str">
        <f t="shared" si="3"/>
        <v>Winter</v>
      </c>
      <c r="F68" s="3"/>
      <c r="G68" s="3"/>
      <c r="H68" s="3"/>
      <c r="I68" s="105">
        <f t="shared" si="4"/>
        <v>0</v>
      </c>
      <c r="J68" s="65" t="s">
        <v>63</v>
      </c>
      <c r="K68" s="103">
        <f>ROUND(I68*N50,0)</f>
        <v>0</v>
      </c>
      <c r="L68" s="3" t="s">
        <v>62</v>
      </c>
      <c r="M68" s="61"/>
      <c r="N68" s="17"/>
    </row>
    <row r="69" spans="1:21" x14ac:dyDescent="0.35">
      <c r="A69" s="406"/>
      <c r="C69" s="3" t="str">
        <f>C60</f>
        <v>D2: 8-10</v>
      </c>
      <c r="D69" s="3" t="str">
        <f t="shared" si="3"/>
        <v>Summer</v>
      </c>
      <c r="F69" s="3"/>
      <c r="G69" s="3"/>
      <c r="H69" s="3"/>
      <c r="I69" s="105">
        <f t="shared" si="4"/>
        <v>101206.31999999999</v>
      </c>
      <c r="J69" s="65" t="s">
        <v>63</v>
      </c>
      <c r="K69" s="103">
        <f>ROUND(I69*L51,0)</f>
        <v>785361</v>
      </c>
      <c r="L69" s="3" t="s">
        <v>62</v>
      </c>
      <c r="M69" s="61" t="s">
        <v>1827</v>
      </c>
      <c r="N69" s="17"/>
    </row>
    <row r="70" spans="1:21" x14ac:dyDescent="0.35">
      <c r="A70" s="406"/>
      <c r="C70" s="3"/>
      <c r="D70" s="3" t="str">
        <f t="shared" si="3"/>
        <v>Winter</v>
      </c>
      <c r="F70" s="3"/>
      <c r="G70" s="3"/>
      <c r="H70" s="3"/>
      <c r="I70" s="105">
        <f t="shared" si="4"/>
        <v>327188.64</v>
      </c>
      <c r="J70" s="65" t="s">
        <v>63</v>
      </c>
      <c r="K70" s="134">
        <f>ROUND(I70*N51,0)</f>
        <v>0</v>
      </c>
      <c r="L70" s="3" t="s">
        <v>62</v>
      </c>
      <c r="M70" s="61" t="s">
        <v>1828</v>
      </c>
      <c r="N70" s="17"/>
    </row>
    <row r="71" spans="1:21" x14ac:dyDescent="0.35">
      <c r="A71" s="406"/>
      <c r="C71" s="3" t="str">
        <f>C62</f>
        <v>D3: All Day</v>
      </c>
      <c r="D71" s="3" t="str">
        <f t="shared" si="3"/>
        <v>Summer</v>
      </c>
      <c r="F71" s="3"/>
      <c r="G71" s="3"/>
      <c r="H71" s="3"/>
      <c r="I71" s="105">
        <f t="shared" si="4"/>
        <v>101470.9</v>
      </c>
      <c r="J71" s="65" t="s">
        <v>63</v>
      </c>
      <c r="K71" s="103">
        <f>ROUND(I71*L52,0)</f>
        <v>-101471</v>
      </c>
      <c r="L71" s="3" t="s">
        <v>62</v>
      </c>
      <c r="M71" s="61" t="s">
        <v>1829</v>
      </c>
      <c r="N71" s="17"/>
    </row>
    <row r="72" spans="1:21" x14ac:dyDescent="0.35">
      <c r="A72" s="406"/>
      <c r="C72" s="3"/>
      <c r="D72" s="3" t="str">
        <f t="shared" si="3"/>
        <v>Winter</v>
      </c>
      <c r="F72" s="3"/>
      <c r="G72" s="3"/>
      <c r="H72" s="3"/>
      <c r="I72" s="351">
        <f t="shared" si="4"/>
        <v>329451.8</v>
      </c>
      <c r="J72" s="104" t="s">
        <v>63</v>
      </c>
      <c r="K72" s="977">
        <f>ROUND(I72*N52,0)</f>
        <v>-1670321</v>
      </c>
      <c r="L72" s="44" t="s">
        <v>62</v>
      </c>
      <c r="M72" s="61" t="s">
        <v>1830</v>
      </c>
      <c r="N72" s="17"/>
    </row>
    <row r="73" spans="1:21" x14ac:dyDescent="0.35">
      <c r="A73" s="406"/>
      <c r="C73" s="3" t="s">
        <v>659</v>
      </c>
      <c r="F73" s="66"/>
      <c r="G73" s="66">
        <f>I34</f>
        <v>11570806</v>
      </c>
      <c r="H73" s="63" t="s">
        <v>31</v>
      </c>
      <c r="I73" s="28">
        <f>SUM(I67:I72)</f>
        <v>951271.02</v>
      </c>
      <c r="J73" s="65" t="s">
        <v>63</v>
      </c>
      <c r="K73" s="103">
        <f>SUM(K67:K72)</f>
        <v>-1480221</v>
      </c>
      <c r="L73" s="3" t="s">
        <v>1824</v>
      </c>
      <c r="M73" s="61" t="s">
        <v>1645</v>
      </c>
      <c r="N73" s="17"/>
    </row>
    <row r="74" spans="1:21" x14ac:dyDescent="0.35">
      <c r="A74" s="406"/>
      <c r="F74" s="3"/>
      <c r="G74" s="3"/>
      <c r="H74" s="3"/>
      <c r="I74" s="3"/>
      <c r="J74" s="3"/>
      <c r="K74" s="3"/>
      <c r="L74" s="3"/>
      <c r="M74" s="61" t="s">
        <v>1831</v>
      </c>
      <c r="N74" s="17"/>
    </row>
    <row r="75" spans="1:21" x14ac:dyDescent="0.35">
      <c r="A75" s="406"/>
      <c r="F75" s="34"/>
      <c r="G75" s="34">
        <f>G73-K73</f>
        <v>13051027</v>
      </c>
      <c r="H75" s="63" t="s">
        <v>31</v>
      </c>
      <c r="I75" s="28">
        <f>I73</f>
        <v>951271.02</v>
      </c>
      <c r="J75" s="65" t="s">
        <v>32</v>
      </c>
      <c r="K75" s="3"/>
      <c r="L75" s="3"/>
      <c r="M75" s="61" t="s">
        <v>1832</v>
      </c>
      <c r="N75" s="17"/>
    </row>
    <row r="76" spans="1:21" ht="15" thickBot="1" x14ac:dyDescent="0.4">
      <c r="A76" s="406"/>
      <c r="F76" s="3"/>
      <c r="G76" s="3"/>
      <c r="H76" s="3"/>
      <c r="I76" s="3"/>
      <c r="J76" s="3"/>
      <c r="K76" s="3"/>
      <c r="L76" s="3"/>
      <c r="M76" s="3"/>
      <c r="N76" s="17"/>
    </row>
    <row r="77" spans="1:21" s="1" customFormat="1" ht="15.5" thickTop="1" thickBot="1" x14ac:dyDescent="0.4">
      <c r="A77" s="406"/>
      <c r="B77"/>
      <c r="C77"/>
      <c r="D77"/>
      <c r="E77"/>
      <c r="F77" s="64"/>
      <c r="G77" s="64" t="s">
        <v>32</v>
      </c>
      <c r="H77" s="63" t="s">
        <v>31</v>
      </c>
      <c r="I77" s="99">
        <f>ROUND(G75/I75,2)</f>
        <v>13.72</v>
      </c>
      <c r="J77" s="61" t="s">
        <v>1825</v>
      </c>
      <c r="K77" s="3"/>
      <c r="L77" s="3"/>
      <c r="M77" s="61" t="s">
        <v>1833</v>
      </c>
      <c r="N77" s="17"/>
      <c r="O77"/>
      <c r="Q77"/>
      <c r="R77"/>
      <c r="S77"/>
      <c r="T77"/>
      <c r="U77"/>
    </row>
    <row r="78" spans="1:21" ht="15" thickTop="1" x14ac:dyDescent="0.35">
      <c r="A78" s="406"/>
      <c r="P78"/>
    </row>
    <row r="79" spans="1:21" s="1" customFormat="1" x14ac:dyDescent="0.35">
      <c r="A79" s="406"/>
      <c r="B79" s="334" t="str">
        <f>CONCATENATE($A$4," at Proposed Demand Rates")</f>
        <v>SC12 Rate II at Proposed Demand Rates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x14ac:dyDescent="0.35">
      <c r="A80" s="406"/>
      <c r="C80" s="3" t="s">
        <v>5</v>
      </c>
      <c r="D80" s="1319">
        <f>$L$4</f>
        <v>2020</v>
      </c>
      <c r="E80" s="1319"/>
      <c r="F80" s="1319"/>
      <c r="G80" s="3"/>
      <c r="H80" s="3"/>
      <c r="I80" s="3"/>
      <c r="J80" s="3"/>
      <c r="K80" s="3"/>
      <c r="L80" s="3"/>
      <c r="M80" s="3"/>
      <c r="Q80"/>
      <c r="R80"/>
      <c r="S80"/>
      <c r="T80"/>
      <c r="U80"/>
    </row>
    <row r="81" spans="1:21" s="1" customFormat="1" ht="15" thickBot="1" x14ac:dyDescent="0.4">
      <c r="A81" s="406"/>
      <c r="B8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/>
      <c r="Q81"/>
      <c r="R81"/>
      <c r="S81"/>
      <c r="T81"/>
      <c r="U81"/>
    </row>
    <row r="82" spans="1:21" s="1" customFormat="1" ht="15" thickBot="1" x14ac:dyDescent="0.4">
      <c r="A82" s="406"/>
      <c r="B82"/>
      <c r="C82" s="60"/>
      <c r="D82" s="59"/>
      <c r="E82" s="59"/>
      <c r="F82" s="59"/>
      <c r="G82" s="59"/>
      <c r="H82" s="59"/>
      <c r="I82" s="59"/>
      <c r="J82" s="59"/>
      <c r="K82" s="59"/>
      <c r="L82" s="98"/>
      <c r="M82" s="3"/>
      <c r="N82" s="1349" t="s">
        <v>661</v>
      </c>
      <c r="O82" s="1349"/>
      <c r="P82" s="1349"/>
      <c r="Q82" s="1349"/>
      <c r="R82"/>
      <c r="S82"/>
      <c r="T82"/>
      <c r="U82"/>
    </row>
    <row r="83" spans="1:21" s="1" customFormat="1" ht="15.5" thickTop="1" thickBot="1" x14ac:dyDescent="0.4">
      <c r="A83" s="406"/>
      <c r="B83"/>
      <c r="C83" s="461" t="str">
        <f>$A$4</f>
        <v>SC12 Rate II</v>
      </c>
      <c r="D83" s="44"/>
      <c r="E83" s="44"/>
      <c r="F83" s="44"/>
      <c r="G83" s="44"/>
      <c r="H83" s="1313" t="s">
        <v>58</v>
      </c>
      <c r="I83" s="1314"/>
      <c r="J83" s="1315"/>
      <c r="K83" s="44"/>
      <c r="L83" s="94"/>
      <c r="N83" s="1349" t="s">
        <v>57</v>
      </c>
      <c r="O83" s="1349"/>
      <c r="P83" s="1349"/>
      <c r="Q83" s="1349"/>
      <c r="R83"/>
      <c r="S83"/>
      <c r="T83"/>
      <c r="U83"/>
    </row>
    <row r="84" spans="1:21" s="1" customFormat="1" ht="15" thickTop="1" x14ac:dyDescent="0.35">
      <c r="A84" s="406"/>
      <c r="B84"/>
      <c r="C84" s="96" t="str">
        <f>$B$43</f>
        <v>(HT &amp; LT)</v>
      </c>
      <c r="D84" s="44"/>
      <c r="E84" s="44"/>
      <c r="F84" s="44"/>
      <c r="G84" s="44"/>
      <c r="H84" s="56" t="s">
        <v>10</v>
      </c>
      <c r="I84" s="44"/>
      <c r="J84" s="56" t="s">
        <v>7</v>
      </c>
      <c r="K84" s="44"/>
      <c r="L84" s="94"/>
      <c r="N84" s="36" t="s">
        <v>10</v>
      </c>
      <c r="P84" s="36" t="s">
        <v>7</v>
      </c>
      <c r="Q84"/>
      <c r="R84"/>
      <c r="S84"/>
      <c r="T84"/>
      <c r="U84"/>
    </row>
    <row r="85" spans="1:21" x14ac:dyDescent="0.35">
      <c r="A85" s="406"/>
      <c r="C85" s="96"/>
      <c r="D85" s="56" t="str">
        <f>$C$50</f>
        <v>D1</v>
      </c>
      <c r="E85" s="56"/>
      <c r="F85" s="56" t="str">
        <f>$D$50</f>
        <v>8-6</v>
      </c>
      <c r="G85" s="44"/>
      <c r="H85" s="97">
        <f>$J$86+L50</f>
        <v>8.3500000000000014</v>
      </c>
      <c r="I85" s="54" t="s">
        <v>1834</v>
      </c>
      <c r="J85" s="459"/>
      <c r="K85" s="54"/>
      <c r="L85" s="94"/>
      <c r="N85" s="460">
        <f>H85/H43-1</f>
        <v>2.579852579852604E-2</v>
      </c>
      <c r="O85" s="54" t="s">
        <v>1840</v>
      </c>
      <c r="P85" s="460"/>
    </row>
    <row r="86" spans="1:21" x14ac:dyDescent="0.35">
      <c r="A86" s="406"/>
      <c r="C86" s="96"/>
      <c r="D86" s="56" t="str">
        <f>$C$51</f>
        <v>D2</v>
      </c>
      <c r="E86" s="56"/>
      <c r="F86" s="56" t="str">
        <f>$D$51</f>
        <v>8-10</v>
      </c>
      <c r="G86" s="44"/>
      <c r="H86" s="97">
        <f>$J$86+L51</f>
        <v>21.48</v>
      </c>
      <c r="I86" s="54" t="s">
        <v>1836</v>
      </c>
      <c r="J86" s="987">
        <f>I77</f>
        <v>13.72</v>
      </c>
      <c r="K86" s="54" t="s">
        <v>1835</v>
      </c>
      <c r="L86" s="94"/>
      <c r="N86" s="460">
        <f>H86/H44-1</f>
        <v>2.6278069756330735E-2</v>
      </c>
      <c r="O86" s="54" t="s">
        <v>1841</v>
      </c>
      <c r="P86" s="460">
        <f>J86/J44-1</f>
        <v>2.6178010471204383E-2</v>
      </c>
      <c r="Q86" s="54" t="s">
        <v>1843</v>
      </c>
    </row>
    <row r="87" spans="1:21" x14ac:dyDescent="0.35">
      <c r="A87" s="406"/>
      <c r="C87" s="96"/>
      <c r="D87" s="56" t="str">
        <f>$C$52</f>
        <v>D3</v>
      </c>
      <c r="E87" s="56"/>
      <c r="F87" s="56" t="str">
        <f>$D$52</f>
        <v>All Day</v>
      </c>
      <c r="G87" s="44"/>
      <c r="H87" s="97">
        <f>$J$86+L52</f>
        <v>12.72</v>
      </c>
      <c r="I87" s="54" t="s">
        <v>1837</v>
      </c>
      <c r="J87" s="97">
        <f>$J$86+N52</f>
        <v>8.65</v>
      </c>
      <c r="K87" s="54" t="s">
        <v>1838</v>
      </c>
      <c r="L87" s="94"/>
      <c r="N87" s="460">
        <f>H87/H45-1</f>
        <v>2.5806451612903292E-2</v>
      </c>
      <c r="O87" s="54" t="s">
        <v>1842</v>
      </c>
      <c r="P87" s="460">
        <f>J87/J45-1</f>
        <v>2.609727164887321E-2</v>
      </c>
      <c r="Q87" s="54" t="s">
        <v>1844</v>
      </c>
    </row>
    <row r="88" spans="1:21" ht="15" thickBot="1" x14ac:dyDescent="0.4">
      <c r="A88" s="406"/>
      <c r="C88" s="93"/>
      <c r="D88" s="46"/>
      <c r="E88" s="46"/>
      <c r="F88" s="46"/>
      <c r="G88" s="46"/>
      <c r="H88" s="46"/>
      <c r="I88" s="92"/>
      <c r="J88" s="46"/>
      <c r="K88" s="92"/>
      <c r="L88" s="91"/>
      <c r="M88" s="17"/>
    </row>
    <row r="89" spans="1:21" ht="15" thickBot="1" x14ac:dyDescent="0.4">
      <c r="A89" s="406"/>
      <c r="D89" s="1152" t="s">
        <v>1174</v>
      </c>
      <c r="E89" s="1153"/>
      <c r="F89" s="1153"/>
      <c r="G89" s="1153"/>
      <c r="H89" s="1163">
        <f>H24</f>
        <v>143.09</v>
      </c>
      <c r="I89" s="1155" t="s">
        <v>2241</v>
      </c>
      <c r="J89" s="1163">
        <f>H89</f>
        <v>143.09</v>
      </c>
      <c r="K89" s="1155" t="s">
        <v>2242</v>
      </c>
      <c r="L89" s="1154"/>
    </row>
    <row r="90" spans="1:21" x14ac:dyDescent="0.35">
      <c r="A90" s="406"/>
    </row>
    <row r="91" spans="1:21" x14ac:dyDescent="0.35">
      <c r="A91" s="858" t="s">
        <v>665</v>
      </c>
      <c r="B91" s="3"/>
      <c r="C91" s="3"/>
      <c r="D91" s="3"/>
      <c r="E91" s="3"/>
      <c r="F91" s="3"/>
      <c r="G91" s="3"/>
      <c r="H91" s="3"/>
      <c r="I91" s="3"/>
    </row>
    <row r="92" spans="1:21" x14ac:dyDescent="0.35">
      <c r="A92" s="858"/>
      <c r="B92" s="3"/>
      <c r="C92" s="3"/>
      <c r="D92" s="3"/>
      <c r="E92" s="3"/>
      <c r="F92" s="3"/>
      <c r="G92" s="3"/>
      <c r="H92" s="3"/>
      <c r="I92" s="3"/>
    </row>
    <row r="93" spans="1:21" x14ac:dyDescent="0.35">
      <c r="A93" s="334"/>
      <c r="B93" s="334" t="s">
        <v>664</v>
      </c>
      <c r="C93" s="3"/>
      <c r="D93" s="3"/>
      <c r="E93" s="3"/>
      <c r="F93" s="3"/>
      <c r="G93" s="3"/>
      <c r="H93" s="3"/>
      <c r="I93" s="3"/>
    </row>
    <row r="94" spans="1:21" x14ac:dyDescent="0.35">
      <c r="A94" s="334"/>
      <c r="B94" s="41" t="str">
        <f>$A$4</f>
        <v>SC12 Rate II</v>
      </c>
      <c r="C94" s="133" t="s">
        <v>669</v>
      </c>
      <c r="D94" s="133"/>
      <c r="E94" s="133"/>
      <c r="F94" s="133"/>
    </row>
    <row r="95" spans="1:21" x14ac:dyDescent="0.35">
      <c r="A95" s="334"/>
      <c r="B95" s="41"/>
      <c r="C95" t="s">
        <v>670</v>
      </c>
      <c r="I95" s="819">
        <f>M19</f>
        <v>0</v>
      </c>
      <c r="J95" s="54" t="s">
        <v>109</v>
      </c>
    </row>
    <row r="96" spans="1:21" ht="15" thickBot="1" x14ac:dyDescent="0.4">
      <c r="A96" s="334"/>
      <c r="B96" s="41"/>
      <c r="C96" t="s">
        <v>671</v>
      </c>
      <c r="I96" s="819">
        <f>M20</f>
        <v>1444702</v>
      </c>
      <c r="J96" s="54" t="s">
        <v>108</v>
      </c>
    </row>
    <row r="97" spans="1:17" ht="15.5" thickTop="1" thickBot="1" x14ac:dyDescent="0.4">
      <c r="A97" s="334"/>
      <c r="B97" s="41"/>
      <c r="C97" t="s">
        <v>672</v>
      </c>
      <c r="I97" s="128">
        <f>I95+I96</f>
        <v>1444702</v>
      </c>
      <c r="J97" s="54" t="s">
        <v>1845</v>
      </c>
    </row>
    <row r="98" spans="1:17" ht="15" thickTop="1" x14ac:dyDescent="0.35">
      <c r="A98" s="334"/>
      <c r="B98" s="41"/>
      <c r="I98" s="345"/>
    </row>
    <row r="99" spans="1:17" x14ac:dyDescent="0.35">
      <c r="A99" s="334"/>
      <c r="B99" s="41"/>
      <c r="C99" s="75" t="s">
        <v>681</v>
      </c>
      <c r="D99" s="75"/>
      <c r="E99" s="75"/>
      <c r="F99" s="75"/>
      <c r="I99" s="637">
        <f>ROUND(I95/I96,8)</f>
        <v>0</v>
      </c>
      <c r="J99" s="54" t="s">
        <v>1846</v>
      </c>
    </row>
    <row r="100" spans="1:17" x14ac:dyDescent="0.35">
      <c r="A100" s="334"/>
      <c r="B100" s="41"/>
      <c r="C100" s="3"/>
      <c r="D100" s="3"/>
      <c r="E100" s="3"/>
      <c r="F100" s="3"/>
      <c r="G100" s="3"/>
      <c r="H100" s="3"/>
      <c r="I100" s="3"/>
    </row>
    <row r="101" spans="1:17" x14ac:dyDescent="0.35">
      <c r="A101" s="407" t="s">
        <v>682</v>
      </c>
      <c r="P101"/>
    </row>
    <row r="102" spans="1:17" ht="15" thickBot="1" x14ac:dyDescent="0.4">
      <c r="A102" s="406"/>
      <c r="Q102" s="1"/>
    </row>
    <row r="103" spans="1:17" ht="15.5" thickTop="1" thickBot="1" x14ac:dyDescent="0.4">
      <c r="A103" s="406"/>
      <c r="B103" s="41" t="str">
        <f>$A$4</f>
        <v>SC12 Rate II</v>
      </c>
      <c r="C103" s="3"/>
      <c r="D103" s="3"/>
      <c r="E103" s="3"/>
      <c r="F103" s="3"/>
      <c r="G103" s="3"/>
      <c r="H103" s="1316" t="s">
        <v>680</v>
      </c>
      <c r="I103" s="1317"/>
      <c r="J103" s="1318"/>
      <c r="K103" s="3"/>
      <c r="L103" s="1307" t="s">
        <v>81</v>
      </c>
      <c r="M103" s="1308"/>
      <c r="N103" s="1309"/>
      <c r="P103"/>
    </row>
    <row r="104" spans="1:17" ht="15" thickTop="1" x14ac:dyDescent="0.35">
      <c r="A104" s="406"/>
      <c r="B104" s="3"/>
      <c r="C104" s="3"/>
      <c r="E104" s="30" t="s">
        <v>80</v>
      </c>
      <c r="F104" s="3"/>
      <c r="G104" s="3"/>
      <c r="H104" s="30" t="s">
        <v>42</v>
      </c>
      <c r="I104" s="30"/>
      <c r="J104" s="30" t="s">
        <v>40</v>
      </c>
      <c r="K104" s="3"/>
      <c r="L104" s="30" t="s">
        <v>42</v>
      </c>
      <c r="M104" s="86"/>
      <c r="N104" s="30" t="s">
        <v>40</v>
      </c>
      <c r="P104"/>
    </row>
    <row r="105" spans="1:17" x14ac:dyDescent="0.35">
      <c r="A105" s="406"/>
      <c r="E105" s="123"/>
      <c r="F105" s="121" t="s">
        <v>1393</v>
      </c>
      <c r="G105" s="123"/>
      <c r="H105" s="348">
        <f>G14</f>
        <v>7.9000000000000008E-3</v>
      </c>
      <c r="I105" s="54" t="s">
        <v>1639</v>
      </c>
      <c r="J105" s="348">
        <f>G16</f>
        <v>7.9000000000000008E-3</v>
      </c>
      <c r="K105" s="54" t="s">
        <v>1603</v>
      </c>
      <c r="L105" s="27">
        <f>H105-$J$106</f>
        <v>0</v>
      </c>
      <c r="M105" s="54" t="s">
        <v>1847</v>
      </c>
      <c r="N105" s="27">
        <f>J105-$J$106</f>
        <v>0</v>
      </c>
      <c r="O105" s="61" t="s">
        <v>1848</v>
      </c>
      <c r="P105"/>
    </row>
    <row r="106" spans="1:17" x14ac:dyDescent="0.35">
      <c r="A106" s="406"/>
      <c r="B106" s="3"/>
      <c r="C106" s="3"/>
      <c r="D106" s="3"/>
      <c r="E106" s="123"/>
      <c r="F106" s="121" t="s">
        <v>445</v>
      </c>
      <c r="G106" s="36"/>
      <c r="H106" s="348">
        <f>G15</f>
        <v>7.9000000000000008E-3</v>
      </c>
      <c r="I106" s="54" t="s">
        <v>1640</v>
      </c>
      <c r="J106" s="348">
        <f>G17</f>
        <v>7.9000000000000008E-3</v>
      </c>
      <c r="K106" s="54" t="s">
        <v>1604</v>
      </c>
      <c r="L106" s="27">
        <f>H106-$J$106</f>
        <v>0</v>
      </c>
      <c r="M106" s="61" t="s">
        <v>1849</v>
      </c>
      <c r="N106" s="112"/>
      <c r="O106" s="61" t="s">
        <v>1735</v>
      </c>
      <c r="P106"/>
    </row>
    <row r="107" spans="1:17" x14ac:dyDescent="0.35">
      <c r="A107" s="406"/>
      <c r="B107" s="3"/>
      <c r="C107" s="3"/>
      <c r="D107" s="3"/>
      <c r="E107" s="3"/>
      <c r="F107" s="3"/>
      <c r="G107" s="36"/>
      <c r="P107"/>
    </row>
    <row r="108" spans="1:17" x14ac:dyDescent="0.35">
      <c r="B108" s="3"/>
      <c r="E108" s="123"/>
      <c r="F108" s="123"/>
      <c r="G108" s="36"/>
      <c r="I108" s="120"/>
      <c r="J108" s="120"/>
      <c r="K108" s="3"/>
      <c r="L108" s="27"/>
      <c r="M108" s="61"/>
      <c r="N108" s="61"/>
      <c r="P108"/>
    </row>
    <row r="109" spans="1:17" ht="15" thickBot="1" x14ac:dyDescent="0.4">
      <c r="K109" s="100" t="s">
        <v>683</v>
      </c>
      <c r="L109" s="906">
        <f>I99</f>
        <v>0</v>
      </c>
      <c r="M109" s="54" t="s">
        <v>1638</v>
      </c>
      <c r="P109"/>
    </row>
    <row r="110" spans="1:17" ht="15.5" thickTop="1" thickBot="1" x14ac:dyDescent="0.4">
      <c r="D110" s="1"/>
      <c r="E110" s="1"/>
      <c r="F110" s="1"/>
      <c r="L110" s="1307" t="s">
        <v>76</v>
      </c>
      <c r="M110" s="1308"/>
      <c r="N110" s="1309"/>
      <c r="P110"/>
    </row>
    <row r="111" spans="1:17" ht="15.5" thickTop="1" thickBot="1" x14ac:dyDescent="0.4">
      <c r="C111" s="70" t="s">
        <v>77</v>
      </c>
      <c r="D111" s="1"/>
      <c r="E111" s="1"/>
      <c r="F111" s="1"/>
      <c r="G111" s="118" t="s">
        <v>42</v>
      </c>
      <c r="H111" s="118" t="s">
        <v>40</v>
      </c>
      <c r="L111" s="30" t="s">
        <v>42</v>
      </c>
      <c r="M111" s="86"/>
      <c r="N111" s="30" t="s">
        <v>40</v>
      </c>
      <c r="P111"/>
    </row>
    <row r="112" spans="1:17" x14ac:dyDescent="0.35">
      <c r="D112" s="121"/>
      <c r="E112" s="122"/>
      <c r="F112" s="121" t="str">
        <f>F105</f>
        <v>On Peak</v>
      </c>
      <c r="G112" s="117" t="str">
        <f>CONCATENATE("X + ",L112)</f>
        <v>X + 0</v>
      </c>
      <c r="H112" s="116" t="str">
        <f>CONCATENATE("X + ",N112)</f>
        <v>X + 0</v>
      </c>
      <c r="L112" s="907">
        <f>ROUND(L105*(1+$L$109),4)</f>
        <v>0</v>
      </c>
      <c r="M112" s="61" t="s">
        <v>1850</v>
      </c>
      <c r="N112" s="223">
        <f>ROUND(N105*(1+$L$109),4)</f>
        <v>0</v>
      </c>
      <c r="O112" s="61" t="s">
        <v>1852</v>
      </c>
      <c r="P112"/>
    </row>
    <row r="113" spans="2:17" ht="15" thickBot="1" x14ac:dyDescent="0.4">
      <c r="C113" s="3"/>
      <c r="D113" s="2"/>
      <c r="E113" s="122"/>
      <c r="F113" s="121" t="str">
        <f>F106</f>
        <v>Off Peak</v>
      </c>
      <c r="G113" s="111" t="str">
        <f>CONCATENATE("X + ",L113)</f>
        <v>X + 0</v>
      </c>
      <c r="H113" s="350" t="s">
        <v>32</v>
      </c>
      <c r="L113" s="223">
        <f>ROUND(L106*(1+$L$109),4)</f>
        <v>0</v>
      </c>
      <c r="M113" s="61" t="s">
        <v>1851</v>
      </c>
      <c r="N113" s="223">
        <f>ROUND(N106*(1+$L$109),4)</f>
        <v>0</v>
      </c>
      <c r="O113" s="61" t="s">
        <v>1853</v>
      </c>
      <c r="P113"/>
    </row>
    <row r="114" spans="2:17" x14ac:dyDescent="0.35">
      <c r="D114" s="1"/>
      <c r="E114" s="1"/>
      <c r="F114" s="1"/>
      <c r="P114"/>
    </row>
    <row r="115" spans="2:17" x14ac:dyDescent="0.35">
      <c r="D115" s="1"/>
      <c r="E115" s="1"/>
      <c r="F115" s="1"/>
      <c r="P115"/>
    </row>
    <row r="116" spans="2:17" x14ac:dyDescent="0.35">
      <c r="B116" s="334" t="s">
        <v>46</v>
      </c>
      <c r="P116"/>
    </row>
    <row r="117" spans="2:17" x14ac:dyDescent="0.35">
      <c r="B117" s="41" t="str">
        <f>$A$4</f>
        <v>SC12 Rate II</v>
      </c>
      <c r="P117"/>
    </row>
    <row r="118" spans="2:17" ht="15" thickBot="1" x14ac:dyDescent="0.4">
      <c r="B118" s="70" t="s">
        <v>414</v>
      </c>
      <c r="C118" s="70"/>
      <c r="D118" s="70"/>
      <c r="E118" s="3"/>
      <c r="F118" s="3"/>
      <c r="I118" s="69" t="s">
        <v>44</v>
      </c>
      <c r="J118" s="3"/>
      <c r="K118" s="3"/>
      <c r="P118"/>
    </row>
    <row r="119" spans="2:17" x14ac:dyDescent="0.35">
      <c r="B119" s="3"/>
      <c r="C119" s="3" t="s">
        <v>42</v>
      </c>
      <c r="D119" s="392" t="str">
        <f>CONCATENATE(D105,E105,F105," kWh")</f>
        <v>On Peak kWh</v>
      </c>
      <c r="E119" s="406"/>
      <c r="F119" s="406"/>
      <c r="G119" s="406"/>
      <c r="I119" s="72">
        <f>U6+U16</f>
        <v>18828511</v>
      </c>
      <c r="J119" s="36" t="s">
        <v>39</v>
      </c>
      <c r="K119" s="74" t="str">
        <f>CONCATENATE("[",G112,"]")</f>
        <v>[X + 0]</v>
      </c>
      <c r="L119" s="61" t="s">
        <v>1854</v>
      </c>
      <c r="P119"/>
    </row>
    <row r="120" spans="2:17" x14ac:dyDescent="0.35">
      <c r="B120" s="3"/>
      <c r="C120" s="3" t="s">
        <v>42</v>
      </c>
      <c r="D120" s="392" t="str">
        <f>CONCATENATE(D106,E106,F106," kWh")</f>
        <v>Off Peak kWh</v>
      </c>
      <c r="E120" s="406"/>
      <c r="F120" s="406"/>
      <c r="G120" s="406"/>
      <c r="I120" s="72">
        <f>U7+U17</f>
        <v>24303489</v>
      </c>
      <c r="J120" s="36" t="s">
        <v>39</v>
      </c>
      <c r="K120" s="107" t="str">
        <f>CONCATENATE("[",G113,"]")</f>
        <v>[X + 0]</v>
      </c>
      <c r="L120" s="61" t="s">
        <v>1855</v>
      </c>
      <c r="P120"/>
    </row>
    <row r="121" spans="2:17" x14ac:dyDescent="0.35">
      <c r="B121" s="3"/>
      <c r="C121" s="3" t="s">
        <v>40</v>
      </c>
      <c r="D121" s="410" t="str">
        <f>D119</f>
        <v>On Peak kWh</v>
      </c>
      <c r="E121" s="406"/>
      <c r="F121" s="406"/>
      <c r="G121" s="406"/>
      <c r="I121" s="72">
        <f>U11+U21</f>
        <v>58453024</v>
      </c>
      <c r="J121" s="36" t="s">
        <v>39</v>
      </c>
      <c r="K121" s="73" t="str">
        <f>CONCATENATE("[",H112,"]")</f>
        <v>[X + 0]</v>
      </c>
      <c r="L121" s="61" t="s">
        <v>1856</v>
      </c>
      <c r="P121"/>
    </row>
    <row r="122" spans="2:17" ht="15" thickBot="1" x14ac:dyDescent="0.4">
      <c r="B122" s="3"/>
      <c r="C122" s="3" t="s">
        <v>40</v>
      </c>
      <c r="D122" s="3" t="str">
        <f>D120</f>
        <v>Off Peak kWh</v>
      </c>
      <c r="I122" s="67">
        <f>U12+U22</f>
        <v>81288576</v>
      </c>
      <c r="J122" s="36" t="s">
        <v>39</v>
      </c>
      <c r="K122" s="71" t="str">
        <f>CONCATENATE("[",H113,"]")</f>
        <v>[X]</v>
      </c>
      <c r="L122" s="61" t="s">
        <v>1857</v>
      </c>
      <c r="P122"/>
    </row>
    <row r="123" spans="2:17" x14ac:dyDescent="0.35">
      <c r="I123" s="366">
        <f>SUM(I119:I122)</f>
        <v>182873600</v>
      </c>
      <c r="J123" s="61" t="s">
        <v>1858</v>
      </c>
      <c r="Q123" s="1"/>
    </row>
    <row r="124" spans="2:17" x14ac:dyDescent="0.35">
      <c r="Q124" s="1"/>
    </row>
    <row r="125" spans="2:17" x14ac:dyDescent="0.35">
      <c r="B125" s="70" t="s">
        <v>472</v>
      </c>
      <c r="P125"/>
    </row>
    <row r="126" spans="2:17" x14ac:dyDescent="0.35">
      <c r="B126" s="41" t="str">
        <f>$A$4</f>
        <v>SC12 Rate II</v>
      </c>
      <c r="F126" s="3"/>
      <c r="G126" s="3"/>
      <c r="H126" s="3"/>
      <c r="I126" s="69" t="s">
        <v>44</v>
      </c>
      <c r="J126" s="3"/>
      <c r="K126" s="106"/>
      <c r="L126" s="3"/>
      <c r="M126" s="3"/>
      <c r="N126" s="17"/>
      <c r="P126"/>
    </row>
    <row r="127" spans="2:17" x14ac:dyDescent="0.35">
      <c r="C127" s="3" t="s">
        <v>42</v>
      </c>
      <c r="D127" s="392" t="str">
        <f>D119</f>
        <v>On Peak kWh</v>
      </c>
      <c r="H127" s="3"/>
      <c r="I127" s="105">
        <f>I119</f>
        <v>18828511</v>
      </c>
      <c r="J127" s="65" t="s">
        <v>63</v>
      </c>
      <c r="K127" s="26">
        <f>ROUND(I127*L112,0)</f>
        <v>0</v>
      </c>
      <c r="L127" s="3" t="s">
        <v>62</v>
      </c>
      <c r="M127" s="61" t="s">
        <v>1861</v>
      </c>
      <c r="N127" s="17"/>
      <c r="P127"/>
    </row>
    <row r="128" spans="2:17" x14ac:dyDescent="0.35">
      <c r="C128" s="3" t="s">
        <v>42</v>
      </c>
      <c r="D128" s="392" t="str">
        <f>D120</f>
        <v>Off Peak kWh</v>
      </c>
      <c r="H128" s="3"/>
      <c r="I128" s="105">
        <f>I120</f>
        <v>24303489</v>
      </c>
      <c r="J128" s="65" t="s">
        <v>63</v>
      </c>
      <c r="K128" s="26">
        <f>ROUND(I128*L113,0)</f>
        <v>0</v>
      </c>
      <c r="L128" s="3" t="s">
        <v>62</v>
      </c>
      <c r="M128" s="61" t="s">
        <v>1862</v>
      </c>
      <c r="N128" s="17"/>
      <c r="P128"/>
    </row>
    <row r="129" spans="1:16" x14ac:dyDescent="0.35">
      <c r="C129" s="3" t="s">
        <v>40</v>
      </c>
      <c r="D129" s="392" t="str">
        <f>D121</f>
        <v>On Peak kWh</v>
      </c>
      <c r="H129" s="3"/>
      <c r="I129" s="105">
        <f>I121</f>
        <v>58453024</v>
      </c>
      <c r="J129" s="65" t="s">
        <v>63</v>
      </c>
      <c r="K129" s="26">
        <f>ROUND(I129*N112,0)</f>
        <v>0</v>
      </c>
      <c r="L129" s="3" t="s">
        <v>62</v>
      </c>
      <c r="M129" s="61" t="s">
        <v>1863</v>
      </c>
      <c r="N129" s="17"/>
      <c r="P129"/>
    </row>
    <row r="130" spans="1:16" x14ac:dyDescent="0.35">
      <c r="C130" s="3" t="s">
        <v>40</v>
      </c>
      <c r="D130" s="392" t="str">
        <f>D122</f>
        <v>Off Peak kWh</v>
      </c>
      <c r="H130" s="3"/>
      <c r="I130" s="351">
        <f>I122</f>
        <v>81288576</v>
      </c>
      <c r="J130" s="65" t="s">
        <v>63</v>
      </c>
      <c r="K130" s="37">
        <f>ROUND(I130*N113,0)</f>
        <v>0</v>
      </c>
      <c r="L130" s="3" t="s">
        <v>62</v>
      </c>
      <c r="M130" s="61" t="s">
        <v>1864</v>
      </c>
      <c r="N130" s="17"/>
      <c r="P130"/>
    </row>
    <row r="131" spans="1:16" x14ac:dyDescent="0.35">
      <c r="C131" s="3"/>
      <c r="F131" s="66"/>
      <c r="G131" s="908">
        <f>I97</f>
        <v>1444702</v>
      </c>
      <c r="H131" s="63" t="s">
        <v>31</v>
      </c>
      <c r="I131" s="28">
        <f>SUM(I127:I130)</f>
        <v>182873600</v>
      </c>
      <c r="J131" s="65" t="s">
        <v>63</v>
      </c>
      <c r="K131" s="103">
        <f>SUM(K127:K130)</f>
        <v>0</v>
      </c>
      <c r="L131" s="3" t="s">
        <v>1859</v>
      </c>
      <c r="M131" s="61" t="s">
        <v>1865</v>
      </c>
      <c r="N131" s="17"/>
      <c r="P131"/>
    </row>
    <row r="132" spans="1:16" x14ac:dyDescent="0.35">
      <c r="F132" s="3"/>
      <c r="G132" s="3"/>
      <c r="H132" s="3"/>
      <c r="I132" s="3"/>
      <c r="J132" s="3"/>
      <c r="K132" s="3"/>
      <c r="L132" s="3"/>
      <c r="M132" s="61" t="s">
        <v>1866</v>
      </c>
      <c r="N132" s="17"/>
      <c r="P132"/>
    </row>
    <row r="133" spans="1:16" x14ac:dyDescent="0.35">
      <c r="B133" s="406"/>
      <c r="F133" s="34"/>
      <c r="G133" s="34">
        <f>G131-K131</f>
        <v>1444702</v>
      </c>
      <c r="H133" s="63" t="s">
        <v>31</v>
      </c>
      <c r="I133" s="28">
        <f>I131</f>
        <v>182873600</v>
      </c>
      <c r="J133" s="65" t="s">
        <v>32</v>
      </c>
      <c r="K133" s="3"/>
      <c r="L133" s="3"/>
      <c r="M133" s="61" t="s">
        <v>1867</v>
      </c>
      <c r="N133" s="17"/>
      <c r="P133"/>
    </row>
    <row r="134" spans="1:16" ht="15" thickBot="1" x14ac:dyDescent="0.4">
      <c r="B134" s="406"/>
      <c r="F134" s="3"/>
      <c r="G134" s="3"/>
      <c r="H134" s="3"/>
      <c r="I134" s="3"/>
      <c r="J134" s="3"/>
      <c r="K134" s="34"/>
      <c r="L134" s="34"/>
      <c r="M134" s="34"/>
      <c r="N134" s="17"/>
      <c r="P134"/>
    </row>
    <row r="135" spans="1:16" ht="15.5" thickTop="1" thickBot="1" x14ac:dyDescent="0.4">
      <c r="B135" s="406"/>
      <c r="F135" s="64"/>
      <c r="G135" s="101" t="s">
        <v>32</v>
      </c>
      <c r="H135" s="63" t="s">
        <v>31</v>
      </c>
      <c r="I135" s="983">
        <f>ROUND(G133/I133,4)</f>
        <v>7.9000000000000008E-3</v>
      </c>
      <c r="J135" s="61" t="s">
        <v>1860</v>
      </c>
      <c r="K135" s="143"/>
      <c r="L135" s="34"/>
      <c r="M135" s="61" t="s">
        <v>1868</v>
      </c>
      <c r="N135" s="17"/>
      <c r="P135"/>
    </row>
    <row r="136" spans="1:16" ht="15" thickTop="1" x14ac:dyDescent="0.35">
      <c r="A136" s="42"/>
      <c r="B136" s="407"/>
      <c r="C136" s="3"/>
      <c r="D136" s="3"/>
      <c r="E136" s="3"/>
      <c r="F136" s="3"/>
      <c r="G136" s="3"/>
      <c r="H136" s="3"/>
      <c r="I136" s="3"/>
    </row>
    <row r="137" spans="1:16" x14ac:dyDescent="0.35">
      <c r="B137" s="334" t="str">
        <f>CONCATENATE($A$4," at Proposed Energy Rates")</f>
        <v>SC12 Rate II at Proposed Energy Rates</v>
      </c>
      <c r="P137"/>
    </row>
    <row r="138" spans="1:16" ht="15" thickBot="1" x14ac:dyDescent="0.4">
      <c r="B138" s="334"/>
      <c r="P138"/>
    </row>
    <row r="139" spans="1:16" ht="15" thickBot="1" x14ac:dyDescent="0.4">
      <c r="B139" s="406"/>
      <c r="C139" s="60" t="s">
        <v>5</v>
      </c>
      <c r="D139" s="982">
        <f>$L$4</f>
        <v>2020</v>
      </c>
      <c r="E139" s="58"/>
      <c r="F139" s="58"/>
      <c r="G139" s="59"/>
      <c r="H139" s="59"/>
      <c r="I139" s="59"/>
      <c r="J139" s="59"/>
      <c r="K139" s="98"/>
      <c r="L139" s="3"/>
      <c r="M139" s="3"/>
      <c r="N139" s="17"/>
      <c r="O139" s="3"/>
      <c r="P139"/>
    </row>
    <row r="140" spans="1:16" ht="15.5" thickTop="1" thickBot="1" x14ac:dyDescent="0.4">
      <c r="B140" s="406"/>
      <c r="C140" s="96"/>
      <c r="D140" s="44"/>
      <c r="E140" s="44"/>
      <c r="F140" s="44"/>
      <c r="G140" s="44"/>
      <c r="H140" s="1313" t="s">
        <v>668</v>
      </c>
      <c r="I140" s="1314"/>
      <c r="J140" s="1315"/>
      <c r="K140" s="94"/>
      <c r="L140" s="3"/>
      <c r="M140" s="1307" t="s">
        <v>471</v>
      </c>
      <c r="N140" s="1308"/>
      <c r="O140" s="1309"/>
      <c r="P140"/>
    </row>
    <row r="141" spans="1:16" ht="15" thickTop="1" x14ac:dyDescent="0.35">
      <c r="C141" s="96"/>
      <c r="D141" s="44"/>
      <c r="E141" s="44"/>
      <c r="F141" s="44"/>
      <c r="G141" s="44"/>
      <c r="H141" s="56" t="s">
        <v>10</v>
      </c>
      <c r="I141" s="44"/>
      <c r="J141" s="56" t="s">
        <v>7</v>
      </c>
      <c r="K141" s="94"/>
      <c r="L141" s="3"/>
      <c r="M141" s="56" t="s">
        <v>10</v>
      </c>
      <c r="N141" s="44"/>
      <c r="O141" s="56" t="s">
        <v>7</v>
      </c>
      <c r="P141"/>
    </row>
    <row r="142" spans="1:16" x14ac:dyDescent="0.35">
      <c r="C142" s="96"/>
      <c r="D142" s="355"/>
      <c r="E142" s="356"/>
      <c r="F142" s="355" t="str">
        <f>$F$112</f>
        <v>On Peak</v>
      </c>
      <c r="G142" s="44"/>
      <c r="H142" s="357">
        <f>$I$135+L112</f>
        <v>7.9000000000000008E-3</v>
      </c>
      <c r="I142" s="358" t="s">
        <v>50</v>
      </c>
      <c r="J142" s="357">
        <f>$I$135+N112</f>
        <v>7.9000000000000008E-3</v>
      </c>
      <c r="K142" s="359" t="s">
        <v>48</v>
      </c>
      <c r="L142" s="3"/>
      <c r="M142" s="81">
        <f>ROUND(H142/H105-1,4)</f>
        <v>0</v>
      </c>
      <c r="N142" s="358" t="s">
        <v>1869</v>
      </c>
      <c r="O142" s="81">
        <f>ROUND(J142/J105-1,4)</f>
        <v>0</v>
      </c>
      <c r="P142" s="358" t="s">
        <v>1871</v>
      </c>
    </row>
    <row r="143" spans="1:16" x14ac:dyDescent="0.35">
      <c r="C143" s="96"/>
      <c r="D143" s="360"/>
      <c r="E143" s="356"/>
      <c r="F143" s="355" t="str">
        <f>$F$113</f>
        <v>Off Peak</v>
      </c>
      <c r="G143" s="44"/>
      <c r="H143" s="357">
        <f>$I$135+L113</f>
        <v>7.9000000000000008E-3</v>
      </c>
      <c r="I143" s="358" t="s">
        <v>49</v>
      </c>
      <c r="J143" s="357">
        <f>$I$135+N113</f>
        <v>7.9000000000000008E-3</v>
      </c>
      <c r="K143" s="359" t="s">
        <v>47</v>
      </c>
      <c r="L143" s="3"/>
      <c r="M143" s="81">
        <f>ROUND(H143/H106-1,4)</f>
        <v>0</v>
      </c>
      <c r="N143" s="358" t="s">
        <v>1870</v>
      </c>
      <c r="O143" s="81">
        <f>ROUND(J143/J106-1,4)</f>
        <v>0</v>
      </c>
      <c r="P143" s="358" t="s">
        <v>1872</v>
      </c>
    </row>
    <row r="144" spans="1:16" ht="15" thickBot="1" x14ac:dyDescent="0.4">
      <c r="C144" s="93"/>
      <c r="D144" s="46"/>
      <c r="E144" s="46"/>
      <c r="F144" s="46"/>
      <c r="G144" s="46"/>
      <c r="H144" s="46"/>
      <c r="I144" s="46"/>
      <c r="J144" s="46"/>
      <c r="K144" s="91"/>
      <c r="L144" s="3"/>
      <c r="M144" s="81"/>
      <c r="N144" s="3"/>
      <c r="O144" s="81"/>
      <c r="P144"/>
    </row>
    <row r="145" spans="1:16" x14ac:dyDescent="0.35">
      <c r="A145" s="334"/>
      <c r="B145" s="407"/>
      <c r="C145" s="410"/>
      <c r="D145" s="410"/>
      <c r="E145" s="410"/>
      <c r="F145" s="410"/>
      <c r="G145" s="3"/>
      <c r="H145" s="3"/>
      <c r="I145" s="3"/>
    </row>
    <row r="146" spans="1:16" x14ac:dyDescent="0.35">
      <c r="A146" s="334"/>
      <c r="B146" s="407"/>
      <c r="C146" s="410"/>
      <c r="D146" s="410"/>
      <c r="E146" s="410"/>
      <c r="F146" s="410"/>
      <c r="G146" s="3"/>
      <c r="H146" s="3"/>
      <c r="I146" s="3"/>
    </row>
    <row r="147" spans="1:16" x14ac:dyDescent="0.35">
      <c r="A147" s="334" t="s">
        <v>1873</v>
      </c>
      <c r="B147" s="410"/>
      <c r="C147" s="410"/>
      <c r="D147" s="410"/>
      <c r="E147" s="410"/>
      <c r="F147" s="410"/>
      <c r="G147" s="3"/>
      <c r="H147" s="3"/>
      <c r="I147" s="3"/>
      <c r="P147"/>
    </row>
    <row r="148" spans="1:16" x14ac:dyDescent="0.35">
      <c r="A148" s="334"/>
      <c r="B148" s="410"/>
      <c r="C148" s="410"/>
      <c r="D148" s="410"/>
      <c r="E148" s="410"/>
      <c r="F148" s="410"/>
      <c r="G148" s="3"/>
      <c r="H148" s="3"/>
      <c r="I148" s="3"/>
      <c r="P148"/>
    </row>
    <row r="149" spans="1:16" x14ac:dyDescent="0.35">
      <c r="A149" s="410"/>
      <c r="B149" s="334" t="str">
        <f>CONCATENATE($A$4," at Proposed Demand Rates")</f>
        <v>SC12 Rate II at Proposed Demand Rates</v>
      </c>
      <c r="C149" s="410"/>
      <c r="L149" s="3"/>
      <c r="M149" s="462" t="s">
        <v>10</v>
      </c>
      <c r="N149" s="3"/>
      <c r="O149" s="3"/>
      <c r="P149" s="2"/>
    </row>
    <row r="150" spans="1:16" x14ac:dyDescent="0.35">
      <c r="A150" s="410"/>
      <c r="B150" s="410"/>
      <c r="C150" s="410"/>
      <c r="D150" s="410"/>
      <c r="E150" s="410"/>
      <c r="F150" s="410"/>
      <c r="G150" s="392"/>
      <c r="H150" s="834" t="s">
        <v>26</v>
      </c>
      <c r="I150" s="30" t="s">
        <v>25</v>
      </c>
      <c r="J150" s="3"/>
      <c r="K150" s="30" t="s">
        <v>11</v>
      </c>
      <c r="L150" s="3"/>
      <c r="M150" s="30" t="s">
        <v>6</v>
      </c>
      <c r="N150" s="3"/>
      <c r="O150" s="3"/>
      <c r="P150" s="2"/>
    </row>
    <row r="151" spans="1:16" x14ac:dyDescent="0.35">
      <c r="A151" s="406"/>
      <c r="B151" s="410" t="s">
        <v>656</v>
      </c>
      <c r="C151" s="835" t="s">
        <v>667</v>
      </c>
      <c r="D151" s="1158" t="s">
        <v>1174</v>
      </c>
      <c r="E151" s="1158"/>
      <c r="F151" s="3"/>
      <c r="G151" s="1133"/>
      <c r="H151" s="1159">
        <f>$Y$7+$AA$7</f>
        <v>104</v>
      </c>
      <c r="I151" s="3"/>
      <c r="K151" s="1157">
        <f>H89</f>
        <v>143.09</v>
      </c>
      <c r="L151" s="3"/>
      <c r="M151" s="1164">
        <f>ROUND(H151*K151,0)</f>
        <v>14881</v>
      </c>
      <c r="N151" s="3"/>
      <c r="O151" s="3"/>
      <c r="P151" s="2"/>
    </row>
    <row r="152" spans="1:16" x14ac:dyDescent="0.35">
      <c r="A152" s="406"/>
      <c r="B152" s="410"/>
      <c r="C152" s="410" t="s">
        <v>42</v>
      </c>
      <c r="D152" s="1187" t="str">
        <f>$C$50</f>
        <v>D1</v>
      </c>
      <c r="E152" s="36"/>
      <c r="F152" s="1187" t="str">
        <f>$D$50</f>
        <v>8-6</v>
      </c>
      <c r="G152" s="3"/>
      <c r="H152" s="3"/>
      <c r="I152" s="29">
        <f>I58</f>
        <v>91953.36</v>
      </c>
      <c r="J152" s="3"/>
      <c r="K152" s="35">
        <f>H85</f>
        <v>8.3500000000000014</v>
      </c>
      <c r="L152" s="3"/>
      <c r="M152" s="26">
        <f>ROUND(K152*I152,0)</f>
        <v>767811</v>
      </c>
      <c r="N152" s="3"/>
      <c r="O152" s="3"/>
      <c r="P152" s="2"/>
    </row>
    <row r="153" spans="1:16" x14ac:dyDescent="0.35">
      <c r="A153" s="406"/>
      <c r="B153" s="410"/>
      <c r="C153" s="410"/>
      <c r="D153" s="1187" t="str">
        <f>$C$51</f>
        <v>D2</v>
      </c>
      <c r="E153" s="36"/>
      <c r="F153" s="1187" t="str">
        <f>$D$51</f>
        <v>8-10</v>
      </c>
      <c r="G153" s="3"/>
      <c r="H153" s="3"/>
      <c r="I153" s="29">
        <f>I60</f>
        <v>101206.31999999999</v>
      </c>
      <c r="J153" s="3"/>
      <c r="K153" s="35">
        <f>H86</f>
        <v>21.48</v>
      </c>
      <c r="L153" s="3"/>
      <c r="M153" s="26">
        <f>ROUND(K153*I153,0)</f>
        <v>2173912</v>
      </c>
      <c r="N153" s="3"/>
      <c r="O153" s="3"/>
      <c r="P153" s="2"/>
    </row>
    <row r="154" spans="1:16" x14ac:dyDescent="0.35">
      <c r="A154" s="406"/>
      <c r="B154" s="410"/>
      <c r="C154" s="410"/>
      <c r="D154" s="1187" t="str">
        <f>$C$52</f>
        <v>D3</v>
      </c>
      <c r="E154" s="36"/>
      <c r="F154" s="1187" t="str">
        <f>$D$52</f>
        <v>All Day</v>
      </c>
      <c r="G154" s="3"/>
      <c r="H154" s="3"/>
      <c r="I154" s="38">
        <f>I62</f>
        <v>101470.9</v>
      </c>
      <c r="J154" s="3"/>
      <c r="K154" s="35">
        <f>H87</f>
        <v>12.72</v>
      </c>
      <c r="L154" s="3"/>
      <c r="M154" s="37">
        <f>ROUND(K154*I154,0)</f>
        <v>1290710</v>
      </c>
      <c r="N154" s="3"/>
      <c r="O154" s="3"/>
      <c r="P154" s="2"/>
    </row>
    <row r="155" spans="1:16" x14ac:dyDescent="0.35">
      <c r="A155" s="406"/>
      <c r="B155" s="410"/>
      <c r="C155" s="410"/>
      <c r="D155" s="36"/>
      <c r="E155" s="36"/>
      <c r="F155" s="36"/>
      <c r="G155" s="3"/>
      <c r="H155" s="3"/>
      <c r="I155" s="28">
        <f>I152+I153+I154</f>
        <v>294630.57999999996</v>
      </c>
      <c r="J155" s="3"/>
      <c r="K155" s="35"/>
      <c r="L155" s="3"/>
      <c r="M155" s="832">
        <f>M151+M152+M153+M154</f>
        <v>4247314</v>
      </c>
      <c r="N155" s="34"/>
      <c r="O155" s="36" t="s">
        <v>10</v>
      </c>
      <c r="P155" s="2"/>
    </row>
    <row r="156" spans="1:16" x14ac:dyDescent="0.35">
      <c r="B156" s="3"/>
      <c r="C156" s="3"/>
      <c r="D156" s="36"/>
      <c r="E156" s="36"/>
      <c r="F156" s="36"/>
      <c r="G156" s="28"/>
      <c r="H156" s="3"/>
      <c r="I156" s="28"/>
      <c r="J156" s="3"/>
      <c r="K156" s="35"/>
      <c r="L156" s="33" t="s">
        <v>22</v>
      </c>
      <c r="M156" s="34">
        <f>ROUND(M155*(O156-1),0)</f>
        <v>50628</v>
      </c>
      <c r="N156" s="33" t="s">
        <v>23</v>
      </c>
      <c r="O156" s="40">
        <f>L10</f>
        <v>1.0119199999999999</v>
      </c>
      <c r="P156" s="2"/>
    </row>
    <row r="157" spans="1:16" x14ac:dyDescent="0.35">
      <c r="B157" s="3"/>
      <c r="C157" s="3"/>
      <c r="D157" s="36"/>
      <c r="E157" s="36"/>
      <c r="F157" s="36"/>
      <c r="G157" s="28"/>
      <c r="H157" s="3"/>
      <c r="I157" s="28"/>
      <c r="J157" s="3"/>
      <c r="K157" s="35"/>
      <c r="L157" s="33" t="s">
        <v>21</v>
      </c>
      <c r="M157" s="32">
        <f>M155+M156</f>
        <v>4297942</v>
      </c>
      <c r="N157" s="8"/>
      <c r="O157" s="3"/>
      <c r="P157" s="2"/>
    </row>
    <row r="158" spans="1:16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2"/>
    </row>
    <row r="159" spans="1:16" x14ac:dyDescent="0.35">
      <c r="B159" s="3"/>
      <c r="C159" s="3"/>
      <c r="L159" s="3"/>
      <c r="M159" s="462" t="s">
        <v>7</v>
      </c>
      <c r="N159" s="3"/>
      <c r="O159" s="3"/>
      <c r="P159" s="2"/>
    </row>
    <row r="160" spans="1:16" x14ac:dyDescent="0.35">
      <c r="B160" s="3"/>
      <c r="C160" s="3"/>
      <c r="D160" s="3"/>
      <c r="E160" s="3"/>
      <c r="F160" s="3"/>
      <c r="G160" s="392"/>
      <c r="H160" s="834" t="s">
        <v>26</v>
      </c>
      <c r="I160" s="3" t="s">
        <v>25</v>
      </c>
      <c r="J160" s="3"/>
      <c r="K160" s="30" t="s">
        <v>11</v>
      </c>
      <c r="L160" s="3"/>
      <c r="M160" s="30" t="s">
        <v>6</v>
      </c>
      <c r="N160" s="3"/>
      <c r="O160" s="3"/>
      <c r="P160" s="2"/>
    </row>
    <row r="161" spans="1:17" x14ac:dyDescent="0.35">
      <c r="B161" s="3"/>
      <c r="C161" s="3"/>
      <c r="D161" s="1158" t="s">
        <v>1174</v>
      </c>
      <c r="E161" s="1158"/>
      <c r="F161" s="3"/>
      <c r="G161" s="1133"/>
      <c r="H161" s="1159">
        <f>$Z$7+$AB$7</f>
        <v>208</v>
      </c>
      <c r="I161" s="3"/>
      <c r="K161" s="1157">
        <f>J89</f>
        <v>143.09</v>
      </c>
      <c r="L161" s="3"/>
      <c r="M161" s="1164">
        <f>ROUND(H161*K161,0)</f>
        <v>29763</v>
      </c>
      <c r="N161" s="3"/>
      <c r="O161" s="3"/>
      <c r="P161" s="2"/>
    </row>
    <row r="162" spans="1:17" x14ac:dyDescent="0.35">
      <c r="B162" s="3"/>
      <c r="C162" s="3" t="s">
        <v>40</v>
      </c>
      <c r="D162" s="1187" t="str">
        <f>$C$50</f>
        <v>D1</v>
      </c>
      <c r="E162" s="36"/>
      <c r="F162" s="1187" t="str">
        <f>$D$50</f>
        <v>8-6</v>
      </c>
      <c r="G162" s="3"/>
      <c r="H162" s="3"/>
      <c r="I162" s="29">
        <f>I59</f>
        <v>0</v>
      </c>
      <c r="J162" s="3"/>
      <c r="K162" s="35">
        <f>J85</f>
        <v>0</v>
      </c>
      <c r="L162" s="3"/>
      <c r="M162" s="26">
        <f>ROUND(K162*I162,0)</f>
        <v>0</v>
      </c>
      <c r="N162" s="3"/>
      <c r="O162" s="3"/>
      <c r="P162" s="2"/>
    </row>
    <row r="163" spans="1:17" x14ac:dyDescent="0.35">
      <c r="B163" s="3"/>
      <c r="C163" s="3"/>
      <c r="D163" s="1187" t="str">
        <f>$C$51</f>
        <v>D2</v>
      </c>
      <c r="E163" s="36"/>
      <c r="F163" s="1187" t="str">
        <f>$D$51</f>
        <v>8-10</v>
      </c>
      <c r="G163" s="3"/>
      <c r="H163" s="3"/>
      <c r="I163" s="29">
        <f>I61</f>
        <v>327188.64</v>
      </c>
      <c r="J163" s="3"/>
      <c r="K163" s="35">
        <f>J86</f>
        <v>13.72</v>
      </c>
      <c r="L163" s="3"/>
      <c r="M163" s="26">
        <f>ROUND(K163*I163,0)</f>
        <v>4489028</v>
      </c>
      <c r="N163" s="3"/>
      <c r="O163" s="3"/>
      <c r="P163" s="2"/>
    </row>
    <row r="164" spans="1:17" x14ac:dyDescent="0.35">
      <c r="B164" s="3"/>
      <c r="C164" s="3"/>
      <c r="D164" s="1187" t="str">
        <f>$C$52</f>
        <v>D3</v>
      </c>
      <c r="E164" s="36"/>
      <c r="F164" s="1187" t="str">
        <f>$D$52</f>
        <v>All Day</v>
      </c>
      <c r="G164" s="3"/>
      <c r="H164" s="3"/>
      <c r="I164" s="38">
        <f>I63</f>
        <v>329451.8</v>
      </c>
      <c r="J164" s="3"/>
      <c r="K164" s="35">
        <f>J87</f>
        <v>8.65</v>
      </c>
      <c r="L164" s="3"/>
      <c r="M164" s="37">
        <f>ROUND(K164*I164,0)</f>
        <v>2849758</v>
      </c>
      <c r="N164" s="3"/>
      <c r="O164" s="3"/>
      <c r="P164" s="2"/>
    </row>
    <row r="165" spans="1:17" x14ac:dyDescent="0.35">
      <c r="B165" s="3"/>
      <c r="C165" s="3"/>
      <c r="D165" s="36"/>
      <c r="E165" s="36"/>
      <c r="F165" s="36"/>
      <c r="G165" s="3"/>
      <c r="H165" s="3"/>
      <c r="I165" s="28">
        <f>I162+I163+I164</f>
        <v>656640.43999999994</v>
      </c>
      <c r="J165" s="3"/>
      <c r="K165" s="35"/>
      <c r="L165" s="3"/>
      <c r="M165" s="832">
        <f>M161+M162+M163+M164</f>
        <v>7368549</v>
      </c>
      <c r="N165" s="3"/>
      <c r="O165" s="36" t="s">
        <v>7</v>
      </c>
      <c r="P165" s="2"/>
    </row>
    <row r="166" spans="1:17" x14ac:dyDescent="0.35">
      <c r="B166" s="3"/>
      <c r="C166" s="3"/>
      <c r="D166" s="36"/>
      <c r="E166" s="36"/>
      <c r="F166" s="36"/>
      <c r="G166" s="3"/>
      <c r="H166" s="3"/>
      <c r="I166" s="28"/>
      <c r="J166" s="3"/>
      <c r="K166" s="35"/>
      <c r="L166" s="33" t="s">
        <v>22</v>
      </c>
      <c r="M166" s="34">
        <f>ROUND(M165*(O166-1),0)</f>
        <v>78622</v>
      </c>
      <c r="N166" s="33" t="s">
        <v>23</v>
      </c>
      <c r="O166" s="40">
        <f>L11</f>
        <v>1.01067</v>
      </c>
      <c r="P166" s="2"/>
    </row>
    <row r="167" spans="1:17" x14ac:dyDescent="0.35">
      <c r="B167" s="3"/>
      <c r="C167" s="3"/>
      <c r="D167" s="36"/>
      <c r="E167" s="36"/>
      <c r="F167" s="36"/>
      <c r="G167" s="28"/>
      <c r="H167" s="3"/>
      <c r="I167" s="28"/>
      <c r="J167" s="3"/>
      <c r="K167" s="35"/>
      <c r="L167" s="33" t="s">
        <v>21</v>
      </c>
      <c r="M167" s="32">
        <f>M165+M166</f>
        <v>7447171</v>
      </c>
      <c r="N167" s="8"/>
      <c r="O167" s="3"/>
      <c r="P167" s="2"/>
    </row>
    <row r="168" spans="1:17" x14ac:dyDescent="0.35">
      <c r="B168" s="410"/>
      <c r="C168" s="410"/>
      <c r="D168" s="410"/>
      <c r="E168" s="410"/>
      <c r="F168" s="410"/>
      <c r="G168" s="3"/>
      <c r="H168" s="3"/>
      <c r="I168" s="3"/>
      <c r="J168" s="3"/>
      <c r="K168" s="3"/>
      <c r="L168" s="3"/>
      <c r="M168" s="3"/>
      <c r="N168" s="3"/>
      <c r="O168" s="3"/>
      <c r="P168" s="2"/>
    </row>
    <row r="169" spans="1:17" x14ac:dyDescent="0.35">
      <c r="B169" s="410"/>
      <c r="C169" s="837" t="str">
        <f>CONCATENATE($A$4," - Annual Demand Revenue Price-Out at Proposed Rates - Incl. EDB:")</f>
        <v>SC12 Rate II - Annual Demand Revenue Price-Out at Proposed Rates - Incl. EDB:</v>
      </c>
      <c r="D169" s="410"/>
      <c r="E169" s="410"/>
      <c r="F169" s="410"/>
      <c r="G169" s="3"/>
      <c r="H169" s="3"/>
      <c r="I169" s="3"/>
      <c r="J169" s="3"/>
      <c r="K169" s="3"/>
      <c r="L169" s="3"/>
      <c r="M169" s="32">
        <f>M157+M167</f>
        <v>11745113</v>
      </c>
      <c r="N169" s="17"/>
      <c r="O169" s="3"/>
      <c r="P169" s="2"/>
    </row>
    <row r="170" spans="1:17" x14ac:dyDescent="0.35">
      <c r="B170" s="410"/>
      <c r="C170" s="410"/>
      <c r="D170" s="410"/>
      <c r="E170" s="410"/>
      <c r="F170" s="410"/>
      <c r="G170" s="3"/>
      <c r="H170" s="3"/>
      <c r="I170" s="3"/>
      <c r="J170" s="3"/>
      <c r="K170" s="3"/>
      <c r="L170" s="3"/>
      <c r="M170" s="26"/>
      <c r="N170" s="17"/>
      <c r="O170" s="3"/>
      <c r="P170" s="2"/>
    </row>
    <row r="171" spans="1:17" x14ac:dyDescent="0.35">
      <c r="B171" s="410"/>
      <c r="C171" s="410"/>
      <c r="D171" s="410"/>
      <c r="E171" s="410"/>
      <c r="F171" s="410"/>
      <c r="G171" s="3"/>
      <c r="H171" s="3"/>
      <c r="I171" s="3"/>
      <c r="J171" s="3"/>
      <c r="K171" s="3"/>
      <c r="L171" s="3"/>
      <c r="M171" s="26"/>
      <c r="N171" s="17"/>
      <c r="O171" s="3"/>
      <c r="P171" s="2"/>
    </row>
    <row r="172" spans="1:17" ht="15" thickBot="1" x14ac:dyDescent="0.4">
      <c r="A172" s="42"/>
      <c r="B172" s="334" t="str">
        <f>CONCATENATE($A$4," at Proposed Energy Rates")</f>
        <v>SC12 Rate II at Proposed Energy Rates</v>
      </c>
      <c r="C172" s="410"/>
      <c r="D172" s="410"/>
      <c r="E172" s="410"/>
      <c r="F172" s="410"/>
      <c r="G172" s="3"/>
      <c r="H172" s="3"/>
      <c r="I172" s="3"/>
      <c r="K172" s="367" t="s">
        <v>426</v>
      </c>
      <c r="L172" s="368">
        <f>$L$10</f>
        <v>1.0119199999999999</v>
      </c>
      <c r="N172" s="344" t="str">
        <f>$A$4</f>
        <v>SC12 Rate II</v>
      </c>
      <c r="P172"/>
      <c r="Q172" s="1"/>
    </row>
    <row r="173" spans="1:17" ht="15.5" thickTop="1" thickBot="1" x14ac:dyDescent="0.4">
      <c r="B173" s="407"/>
      <c r="C173" s="406"/>
      <c r="D173" s="406"/>
      <c r="E173" s="406"/>
      <c r="F173" s="406"/>
      <c r="H173" s="1307" t="s">
        <v>417</v>
      </c>
      <c r="I173" s="1308"/>
      <c r="J173" s="1309"/>
      <c r="L173" s="463" t="s">
        <v>475</v>
      </c>
      <c r="N173" s="369" t="s">
        <v>42</v>
      </c>
      <c r="P173"/>
      <c r="Q173" s="1"/>
    </row>
    <row r="174" spans="1:17" ht="15" thickTop="1" x14ac:dyDescent="0.35">
      <c r="B174" s="410"/>
      <c r="C174" s="406"/>
      <c r="D174" s="406"/>
      <c r="E174" s="406"/>
      <c r="F174" s="406"/>
      <c r="H174" s="30" t="s">
        <v>416</v>
      </c>
      <c r="I174" s="30" t="s">
        <v>674</v>
      </c>
      <c r="J174" s="36" t="s">
        <v>676</v>
      </c>
      <c r="L174" s="30" t="s">
        <v>425</v>
      </c>
      <c r="N174" s="36" t="s">
        <v>675</v>
      </c>
      <c r="P174"/>
      <c r="Q174" s="1"/>
    </row>
    <row r="175" spans="1:17" x14ac:dyDescent="0.35">
      <c r="B175" s="407" t="s">
        <v>42</v>
      </c>
      <c r="C175" s="978" t="str">
        <f>$F$112</f>
        <v>On Peak</v>
      </c>
      <c r="D175" s="979"/>
      <c r="E175" s="980"/>
      <c r="F175" s="406"/>
      <c r="H175" s="223">
        <f>H142</f>
        <v>7.9000000000000008E-3</v>
      </c>
      <c r="I175" s="105">
        <f>I127</f>
        <v>18828511</v>
      </c>
      <c r="J175" s="26">
        <f>ROUND(H175*I175,0)</f>
        <v>148745</v>
      </c>
      <c r="L175" s="397"/>
      <c r="N175" s="26">
        <f>J175+L175</f>
        <v>148745</v>
      </c>
      <c r="P175"/>
      <c r="Q175" s="1"/>
    </row>
    <row r="176" spans="1:17" x14ac:dyDescent="0.35">
      <c r="B176" s="406"/>
      <c r="C176" s="978" t="str">
        <f>$F$113</f>
        <v>Off Peak</v>
      </c>
      <c r="D176" s="272"/>
      <c r="E176" s="980"/>
      <c r="F176" s="406"/>
      <c r="H176" s="223">
        <f>H143</f>
        <v>7.9000000000000008E-3</v>
      </c>
      <c r="I176" s="105">
        <f>I128</f>
        <v>24303489</v>
      </c>
      <c r="J176" s="26">
        <f>ROUND(H176*I176,0)</f>
        <v>191998</v>
      </c>
      <c r="L176" s="397"/>
      <c r="N176" s="26">
        <f>J176+L176</f>
        <v>191998</v>
      </c>
      <c r="P176"/>
      <c r="Q176" s="1"/>
    </row>
    <row r="177" spans="2:18" x14ac:dyDescent="0.35">
      <c r="B177" s="406"/>
      <c r="C177" s="410" t="s">
        <v>420</v>
      </c>
      <c r="D177" s="410"/>
      <c r="E177" s="410"/>
      <c r="F177" s="410"/>
      <c r="H177" s="223"/>
      <c r="I177" s="223"/>
      <c r="J177" s="32">
        <f>SUM(J175:J176)</f>
        <v>340743</v>
      </c>
      <c r="L177" s="32">
        <f>SUM(L175:L176)</f>
        <v>0</v>
      </c>
      <c r="N177" s="32">
        <f>SUM(N175:N176)</f>
        <v>340743</v>
      </c>
      <c r="P177"/>
      <c r="Q177" s="1"/>
    </row>
    <row r="178" spans="2:18" s="1" customFormat="1" x14ac:dyDescent="0.35">
      <c r="B178" s="464"/>
      <c r="C178" s="392"/>
      <c r="D178" s="979"/>
      <c r="E178" s="979"/>
      <c r="F178" s="981"/>
      <c r="H178" s="223"/>
      <c r="I178" s="362"/>
      <c r="J178" s="395"/>
      <c r="K178"/>
    </row>
    <row r="179" spans="2:18" s="1" customFormat="1" ht="15" thickBot="1" x14ac:dyDescent="0.4">
      <c r="B179" s="464"/>
      <c r="C179" s="392"/>
      <c r="D179" s="979"/>
      <c r="E179" s="979"/>
      <c r="F179" s="981"/>
      <c r="H179" s="223"/>
      <c r="I179" s="362"/>
      <c r="J179" s="223"/>
      <c r="K179"/>
      <c r="L179" s="368">
        <f>$L$11</f>
        <v>1.01067</v>
      </c>
    </row>
    <row r="180" spans="2:18" s="1" customFormat="1" ht="15.5" thickTop="1" thickBot="1" x14ac:dyDescent="0.4">
      <c r="B180" s="464"/>
      <c r="C180" s="392"/>
      <c r="D180" s="979"/>
      <c r="E180" s="979"/>
      <c r="F180" s="981"/>
      <c r="H180" s="1307" t="s">
        <v>417</v>
      </c>
      <c r="I180" s="1308"/>
      <c r="J180" s="1309"/>
      <c r="K180"/>
      <c r="L180" s="463" t="s">
        <v>475</v>
      </c>
      <c r="N180" s="369" t="s">
        <v>40</v>
      </c>
    </row>
    <row r="181" spans="2:18" s="1" customFormat="1" ht="15" thickTop="1" x14ac:dyDescent="0.35">
      <c r="B181" s="464"/>
      <c r="C181" s="392"/>
      <c r="D181" s="979"/>
      <c r="E181" s="979"/>
      <c r="F181" s="981"/>
      <c r="H181" s="30" t="s">
        <v>416</v>
      </c>
      <c r="I181" s="30" t="s">
        <v>674</v>
      </c>
      <c r="J181" s="36" t="s">
        <v>676</v>
      </c>
      <c r="K181"/>
      <c r="L181" s="30" t="s">
        <v>425</v>
      </c>
      <c r="N181" s="36" t="s">
        <v>675</v>
      </c>
    </row>
    <row r="182" spans="2:18" s="1" customFormat="1" x14ac:dyDescent="0.35">
      <c r="B182" s="407" t="s">
        <v>40</v>
      </c>
      <c r="C182" s="978" t="str">
        <f>$F$112</f>
        <v>On Peak</v>
      </c>
      <c r="D182" s="979"/>
      <c r="E182" s="980"/>
      <c r="F182" s="464"/>
      <c r="H182" s="223">
        <f>J142</f>
        <v>7.9000000000000008E-3</v>
      </c>
      <c r="I182" s="105">
        <f>I129</f>
        <v>58453024</v>
      </c>
      <c r="J182" s="26">
        <f>ROUND(H182*I182,0)</f>
        <v>461779</v>
      </c>
      <c r="K182"/>
      <c r="L182" s="397"/>
      <c r="N182" s="26">
        <f>J182+L182</f>
        <v>461779</v>
      </c>
    </row>
    <row r="183" spans="2:18" s="1" customFormat="1" x14ac:dyDescent="0.35">
      <c r="B183" s="406"/>
      <c r="C183" s="978" t="str">
        <f>$F$113</f>
        <v>Off Peak</v>
      </c>
      <c r="D183" s="272"/>
      <c r="E183" s="980"/>
      <c r="F183" s="464"/>
      <c r="H183" s="223">
        <f>J143</f>
        <v>7.9000000000000008E-3</v>
      </c>
      <c r="I183" s="105">
        <f>I130</f>
        <v>81288576</v>
      </c>
      <c r="J183" s="26">
        <f>ROUND(H183*I183,0)</f>
        <v>642180</v>
      </c>
      <c r="K183"/>
      <c r="L183" s="397"/>
      <c r="N183" s="26">
        <f>J183+L183</f>
        <v>642180</v>
      </c>
    </row>
    <row r="184" spans="2:18" s="1" customFormat="1" x14ac:dyDescent="0.35">
      <c r="B184" s="406"/>
      <c r="C184" s="410" t="s">
        <v>421</v>
      </c>
      <c r="D184" s="410"/>
      <c r="E184" s="410"/>
      <c r="F184" s="410"/>
      <c r="H184" s="223"/>
      <c r="I184" s="223"/>
      <c r="J184" s="32">
        <f>SUM(J182:J183)</f>
        <v>1103959</v>
      </c>
      <c r="K184"/>
      <c r="L184" s="32">
        <f>SUM(L182:L183)</f>
        <v>0</v>
      </c>
      <c r="N184" s="32">
        <f>SUM(N182:N183)</f>
        <v>1103959</v>
      </c>
    </row>
    <row r="185" spans="2:18" s="1" customFormat="1" ht="15" thickBot="1" x14ac:dyDescent="0.4">
      <c r="B185" s="464"/>
      <c r="C185" s="392"/>
      <c r="D185" s="979"/>
      <c r="E185" s="979"/>
      <c r="F185" s="981"/>
      <c r="H185" s="223"/>
      <c r="I185" s="362"/>
      <c r="J185" s="395"/>
      <c r="K185"/>
      <c r="N185" s="223"/>
    </row>
    <row r="186" spans="2:18" s="1" customFormat="1" ht="15.5" thickTop="1" thickBot="1" x14ac:dyDescent="0.4">
      <c r="B186" s="464"/>
      <c r="C186" s="837" t="str">
        <f>CONCATENATE($A$4," - Annual Energy Revenue Price-Out at Proposed Rates:")</f>
        <v>SC12 Rate II - Annual Energy Revenue Price-Out at Proposed Rates:</v>
      </c>
      <c r="D186" s="979"/>
      <c r="E186" s="979"/>
      <c r="F186" s="981"/>
      <c r="H186" s="223"/>
      <c r="I186" s="222" t="s">
        <v>427</v>
      </c>
      <c r="J186" s="243">
        <f>J177+J184</f>
        <v>1444702</v>
      </c>
      <c r="K186" s="222" t="s">
        <v>428</v>
      </c>
      <c r="L186" s="243">
        <f>L177+L184</f>
        <v>0</v>
      </c>
      <c r="N186" s="243">
        <f>N177+N184</f>
        <v>1444702</v>
      </c>
      <c r="O186" s="374"/>
    </row>
    <row r="187" spans="2:18" s="1" customFormat="1" ht="15" thickTop="1" x14ac:dyDescent="0.35">
      <c r="B187" s="464"/>
      <c r="C187" s="837"/>
      <c r="D187" s="979"/>
      <c r="E187" s="979"/>
      <c r="F187" s="981"/>
      <c r="H187" s="223"/>
      <c r="I187" s="222"/>
      <c r="J187" s="396"/>
      <c r="K187" s="362"/>
      <c r="L187" s="363"/>
      <c r="M187" s="364"/>
      <c r="N187" s="222"/>
      <c r="O187" s="26"/>
      <c r="Q187" s="26"/>
      <c r="R187" s="374"/>
    </row>
    <row r="188" spans="2:18" s="1" customFormat="1" x14ac:dyDescent="0.35">
      <c r="B188" s="464"/>
      <c r="C188" s="837"/>
      <c r="D188" s="979"/>
      <c r="E188" s="979"/>
      <c r="F188" s="981"/>
      <c r="H188" s="223"/>
      <c r="I188" s="222"/>
      <c r="J188" s="396"/>
      <c r="K188" s="362"/>
      <c r="L188" s="363"/>
      <c r="M188" s="364"/>
      <c r="N188" s="222"/>
      <c r="O188" s="26"/>
      <c r="Q188" s="26"/>
      <c r="R188" s="374"/>
    </row>
    <row r="189" spans="2:18" x14ac:dyDescent="0.35">
      <c r="B189" s="3"/>
      <c r="C189" s="70" t="s">
        <v>684</v>
      </c>
      <c r="D189" s="3"/>
      <c r="E189" s="3"/>
      <c r="F189" s="3"/>
      <c r="G189" s="3"/>
      <c r="H189" s="3"/>
      <c r="I189" s="3"/>
      <c r="J189" s="3"/>
      <c r="K189" s="3"/>
      <c r="L189" s="3"/>
      <c r="M189" s="26"/>
      <c r="N189" s="17"/>
      <c r="O189" s="3"/>
      <c r="P189" s="2"/>
    </row>
    <row r="190" spans="2:18" x14ac:dyDescent="0.35">
      <c r="B190" s="3"/>
      <c r="C190" s="41" t="str">
        <f>$A$4</f>
        <v>SC12 Rate II</v>
      </c>
      <c r="D190" s="3"/>
      <c r="E190" s="3"/>
      <c r="F190" s="3"/>
      <c r="G190" s="3"/>
      <c r="H190" s="3"/>
      <c r="I190" s="3"/>
      <c r="J190" s="3"/>
      <c r="K190" s="3"/>
      <c r="L190" s="3"/>
      <c r="M190" s="26"/>
      <c r="N190" s="17"/>
      <c r="O190" s="3"/>
      <c r="P190" s="2"/>
    </row>
    <row r="191" spans="2:18" x14ac:dyDescent="0.35">
      <c r="B191" s="3"/>
      <c r="C191" s="410" t="s">
        <v>678</v>
      </c>
      <c r="D191" s="410"/>
      <c r="E191" s="410"/>
      <c r="F191" s="410"/>
      <c r="G191" s="410"/>
      <c r="H191" s="3"/>
      <c r="I191" s="3"/>
      <c r="J191" s="3"/>
      <c r="K191" s="3"/>
      <c r="L191" s="3"/>
      <c r="M191" s="26">
        <f>M169</f>
        <v>11745113</v>
      </c>
      <c r="N191" s="17"/>
      <c r="O191" s="3"/>
      <c r="P191" s="2"/>
    </row>
    <row r="192" spans="2:18" ht="15" thickBot="1" x14ac:dyDescent="0.4">
      <c r="B192" s="3"/>
      <c r="C192" s="410" t="s">
        <v>677</v>
      </c>
      <c r="D192" s="410"/>
      <c r="E192" s="410"/>
      <c r="F192" s="410"/>
      <c r="G192" s="410"/>
      <c r="H192" s="3"/>
      <c r="I192" s="3"/>
      <c r="J192" s="3"/>
      <c r="K192" s="3"/>
      <c r="L192" s="3"/>
      <c r="M192" s="26">
        <f>N186</f>
        <v>1444702</v>
      </c>
      <c r="N192" s="17"/>
      <c r="O192" s="3"/>
      <c r="P192" s="2"/>
    </row>
    <row r="193" spans="1:16" ht="15.5" thickTop="1" thickBot="1" x14ac:dyDescent="0.4">
      <c r="B193" s="3"/>
      <c r="C193" s="837" t="s">
        <v>685</v>
      </c>
      <c r="D193" s="410"/>
      <c r="E193" s="410"/>
      <c r="F193" s="410"/>
      <c r="G193" s="410"/>
      <c r="H193" s="3"/>
      <c r="I193" s="3"/>
      <c r="J193" s="3"/>
      <c r="K193" s="3"/>
      <c r="L193" s="3"/>
      <c r="M193" s="925">
        <f>M191+M192</f>
        <v>13189815</v>
      </c>
      <c r="N193" s="17"/>
      <c r="O193" s="3"/>
      <c r="P193" s="2"/>
    </row>
    <row r="194" spans="1:16" ht="15" thickTop="1" x14ac:dyDescent="0.35">
      <c r="B194" s="3"/>
      <c r="C194" s="410"/>
      <c r="D194" s="410"/>
      <c r="E194" s="410"/>
      <c r="F194" s="410"/>
      <c r="G194" s="410"/>
      <c r="H194" s="3"/>
      <c r="I194" s="3"/>
      <c r="J194" s="3"/>
      <c r="K194" s="3"/>
      <c r="L194" s="3"/>
      <c r="M194" s="3"/>
      <c r="N194" s="17"/>
      <c r="O194" s="3"/>
      <c r="P194" s="2"/>
    </row>
    <row r="195" spans="1:16" ht="15" thickBot="1" x14ac:dyDescent="0.4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7"/>
      <c r="O195" s="3"/>
      <c r="P195" s="2"/>
    </row>
    <row r="196" spans="1:16" x14ac:dyDescent="0.35">
      <c r="B196" s="3"/>
      <c r="C196" s="815" t="str">
        <f>$A$4</f>
        <v>SC12 Rate II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1" t="s">
        <v>6</v>
      </c>
      <c r="N196" s="2"/>
      <c r="O196" s="2"/>
      <c r="P196" s="2"/>
    </row>
    <row r="197" spans="1:16" x14ac:dyDescent="0.35">
      <c r="B197" s="3"/>
      <c r="C197" s="11" t="s">
        <v>5</v>
      </c>
      <c r="D197" s="1305">
        <f>L4</f>
        <v>2020</v>
      </c>
      <c r="E197" s="1305"/>
      <c r="F197" s="1305"/>
      <c r="G197" s="10"/>
      <c r="H197" s="10"/>
      <c r="I197" s="10"/>
      <c r="J197" s="10"/>
      <c r="K197" s="10"/>
      <c r="L197" s="10"/>
      <c r="M197" s="13"/>
      <c r="N197" s="2"/>
      <c r="O197" s="2"/>
      <c r="P197" s="2"/>
    </row>
    <row r="198" spans="1:16" x14ac:dyDescent="0.35">
      <c r="B198" s="3"/>
      <c r="C198" s="699" t="s">
        <v>679</v>
      </c>
      <c r="D198" s="19"/>
      <c r="E198" s="19"/>
      <c r="F198" s="19"/>
      <c r="G198" s="10"/>
      <c r="H198" s="10"/>
      <c r="I198" s="10"/>
      <c r="J198" s="10"/>
      <c r="K198" s="10"/>
      <c r="L198" s="10"/>
      <c r="M198" s="12">
        <f>M193</f>
        <v>13189815</v>
      </c>
      <c r="N198" s="2"/>
      <c r="O198" s="2"/>
      <c r="P198" s="2"/>
    </row>
    <row r="199" spans="1:16" x14ac:dyDescent="0.35">
      <c r="B199" s="3"/>
      <c r="C199" s="20"/>
      <c r="D199" s="19"/>
      <c r="E199" s="19"/>
      <c r="F199" s="19"/>
      <c r="G199" s="10"/>
      <c r="H199" s="10"/>
      <c r="I199" s="10"/>
      <c r="J199" s="10"/>
      <c r="K199" s="10"/>
      <c r="L199" s="10"/>
      <c r="M199" s="18"/>
      <c r="N199" s="2"/>
      <c r="O199" s="2"/>
      <c r="P199" s="2"/>
    </row>
    <row r="200" spans="1:16" hidden="1" x14ac:dyDescent="0.35">
      <c r="B200" s="3"/>
      <c r="C200" s="20"/>
      <c r="D200" s="19"/>
      <c r="E200" s="19"/>
      <c r="F200" s="19"/>
      <c r="G200" s="10"/>
      <c r="H200" s="10"/>
      <c r="I200" s="10"/>
      <c r="J200" s="10"/>
      <c r="K200" s="10"/>
      <c r="L200" s="10"/>
      <c r="M200" s="188"/>
      <c r="N200" s="2"/>
      <c r="O200" s="2"/>
      <c r="P200" s="2"/>
    </row>
    <row r="201" spans="1:16" x14ac:dyDescent="0.35">
      <c r="B201" s="3"/>
      <c r="C201" s="11" t="s">
        <v>679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2">
        <f>M198+M199+M200</f>
        <v>13189815</v>
      </c>
      <c r="N201" s="2"/>
      <c r="O201" s="2"/>
      <c r="P201" s="2"/>
    </row>
    <row r="202" spans="1:16" x14ac:dyDescent="0.35">
      <c r="B202" s="3"/>
      <c r="C202" s="11"/>
      <c r="D202" s="10"/>
      <c r="E202" s="10"/>
      <c r="F202" s="10"/>
      <c r="G202" s="10"/>
      <c r="H202" s="10"/>
      <c r="I202" s="10"/>
      <c r="J202" s="10"/>
      <c r="K202" s="10"/>
      <c r="L202" s="10"/>
      <c r="M202" s="13"/>
      <c r="N202" s="2"/>
      <c r="O202" s="2"/>
      <c r="P202" s="2"/>
    </row>
    <row r="203" spans="1:16" x14ac:dyDescent="0.35">
      <c r="B203" s="3"/>
      <c r="C203" s="11"/>
      <c r="D203" s="10" t="s">
        <v>2</v>
      </c>
      <c r="E203" s="10"/>
      <c r="F203" s="10"/>
      <c r="G203" s="10"/>
      <c r="H203" s="10"/>
      <c r="I203" s="10"/>
      <c r="J203" s="10"/>
      <c r="K203" s="10"/>
      <c r="L203" s="10"/>
      <c r="M203" s="924">
        <f>L22</f>
        <v>13189403</v>
      </c>
      <c r="N203" s="2"/>
      <c r="O203" s="2"/>
      <c r="P203" s="2"/>
    </row>
    <row r="204" spans="1:16" x14ac:dyDescent="0.35">
      <c r="B204" s="3"/>
      <c r="C204" s="11"/>
      <c r="D204" s="10" t="s">
        <v>1</v>
      </c>
      <c r="E204" s="10"/>
      <c r="F204" s="10"/>
      <c r="G204" s="10"/>
      <c r="H204" s="10"/>
      <c r="I204" s="10"/>
      <c r="J204" s="10"/>
      <c r="K204" s="10"/>
      <c r="L204" s="10"/>
      <c r="M204" s="12">
        <f>M201-M203</f>
        <v>412</v>
      </c>
      <c r="N204" s="2"/>
      <c r="O204" s="2"/>
      <c r="P204" s="2"/>
    </row>
    <row r="205" spans="1:16" x14ac:dyDescent="0.35">
      <c r="B205" s="3"/>
      <c r="C205" s="11"/>
      <c r="D205" s="10" t="s">
        <v>0</v>
      </c>
      <c r="E205" s="10"/>
      <c r="F205" s="10"/>
      <c r="G205" s="10"/>
      <c r="H205" s="10"/>
      <c r="I205" s="10"/>
      <c r="J205" s="10"/>
      <c r="K205" s="10"/>
      <c r="L205" s="10"/>
      <c r="M205" s="9">
        <f>M201/M203-1</f>
        <v>3.1237198529820986E-5</v>
      </c>
      <c r="N205" s="2"/>
      <c r="O205" s="2"/>
      <c r="P205" s="2"/>
    </row>
    <row r="206" spans="1:16" ht="15" thickBot="1" x14ac:dyDescent="0.4">
      <c r="B206" s="3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5"/>
      <c r="N206" s="2"/>
      <c r="O206" s="2"/>
      <c r="P206" s="2"/>
    </row>
    <row r="207" spans="1:16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7"/>
      <c r="O207" s="1151"/>
      <c r="P207" s="2"/>
    </row>
    <row r="208" spans="1:16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"/>
    </row>
    <row r="209" spans="1:16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"/>
    </row>
    <row r="210" spans="1:16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2"/>
    </row>
    <row r="211" spans="1:16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2"/>
    </row>
  </sheetData>
  <mergeCells count="15">
    <mergeCell ref="H83:J83"/>
    <mergeCell ref="H180:J180"/>
    <mergeCell ref="D197:F197"/>
    <mergeCell ref="H103:J103"/>
    <mergeCell ref="L103:N103"/>
    <mergeCell ref="L110:N110"/>
    <mergeCell ref="H140:J140"/>
    <mergeCell ref="M140:O140"/>
    <mergeCell ref="H173:J173"/>
    <mergeCell ref="N83:Q83"/>
    <mergeCell ref="H41:J41"/>
    <mergeCell ref="L41:N41"/>
    <mergeCell ref="L48:N48"/>
    <mergeCell ref="D80:F80"/>
    <mergeCell ref="N82:Q82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2" manualBreakCount="2">
    <brk id="78" max="16383" man="1"/>
    <brk id="146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B229"/>
  <sheetViews>
    <sheetView topLeftCell="A112" workbookViewId="0">
      <selection activeCell="A112" sqref="A1:XFD1048576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1796875" customWidth="1"/>
    <col min="12" max="12" width="17.453125" customWidth="1"/>
    <col min="13" max="13" width="15.453125" customWidth="1"/>
    <col min="14" max="14" width="13.54296875" customWidth="1"/>
    <col min="15" max="15" width="12.453125" customWidth="1"/>
    <col min="16" max="16" width="13.1796875" style="1" customWidth="1"/>
    <col min="17" max="17" width="8.81640625" customWidth="1"/>
    <col min="18" max="18" width="10.26953125" customWidth="1"/>
    <col min="19" max="19" width="10.54296875" customWidth="1"/>
    <col min="20" max="20" width="9.26953125" customWidth="1"/>
    <col min="21" max="21" width="11.453125" customWidth="1"/>
    <col min="22" max="22" width="11.7265625" customWidth="1"/>
    <col min="23" max="23" width="17.453125" customWidth="1"/>
    <col min="24" max="24" width="16.81640625" customWidth="1"/>
    <col min="25" max="28" width="11.54296875" customWidth="1"/>
  </cols>
  <sheetData>
    <row r="1" spans="1:28" ht="18.5" x14ac:dyDescent="0.45">
      <c r="A1" s="447" t="s">
        <v>837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  <c r="J1" s="372"/>
    </row>
    <row r="3" spans="1:28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SC13 Rate II</v>
      </c>
      <c r="Q3" s="3"/>
      <c r="S3" s="3"/>
    </row>
    <row r="4" spans="1:28" outlineLevel="1" x14ac:dyDescent="0.35">
      <c r="A4" s="864" t="s">
        <v>714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8" outlineLevel="1" x14ac:dyDescent="0.35">
      <c r="C5" s="3"/>
      <c r="D5" s="3"/>
      <c r="E5" s="3"/>
      <c r="F5" s="3"/>
      <c r="G5" s="3"/>
      <c r="J5" s="180"/>
      <c r="K5" s="180"/>
      <c r="L5" s="180"/>
      <c r="M5" s="3"/>
      <c r="P5" s="2"/>
      <c r="Q5" s="3"/>
      <c r="R5" s="3"/>
      <c r="S5" s="30" t="s">
        <v>25</v>
      </c>
      <c r="U5" s="30" t="s">
        <v>12</v>
      </c>
    </row>
    <row r="6" spans="1:28" outlineLevel="1" x14ac:dyDescent="0.35">
      <c r="A6" s="180"/>
      <c r="B6" s="180"/>
      <c r="C6" s="180"/>
      <c r="D6" s="180"/>
      <c r="E6" s="180"/>
      <c r="F6" s="3"/>
      <c r="G6" s="490" t="str">
        <f>'12A.)TODL_RateDesignSummary'!D132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386">
        <f>'[1]D2.)BillingDeterminants(TOD)'!$D$142+'[1]D2.)BillingDeterminants(TOD)'!$D$159</f>
        <v>0</v>
      </c>
      <c r="T6" s="164" t="s">
        <v>444</v>
      </c>
      <c r="U6" s="386">
        <f>'[1]D2.)BillingDeterminants(TOD)'!$D$149+'[1]D2.)BillingDeterminants(TOD)'!$D$166</f>
        <v>0</v>
      </c>
      <c r="W6" s="464"/>
      <c r="X6" s="1126" t="s">
        <v>2208</v>
      </c>
      <c r="Y6" s="1127" t="s">
        <v>114</v>
      </c>
      <c r="Z6" s="1127" t="s">
        <v>113</v>
      </c>
      <c r="AA6" s="1127" t="s">
        <v>112</v>
      </c>
      <c r="AB6" s="1128" t="s">
        <v>111</v>
      </c>
    </row>
    <row r="7" spans="1:28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SC13 Rate II</v>
      </c>
      <c r="M7" s="3"/>
      <c r="P7" s="170" t="s">
        <v>114</v>
      </c>
      <c r="Q7" s="159" t="s">
        <v>641</v>
      </c>
      <c r="R7" s="158" t="s">
        <v>888</v>
      </c>
      <c r="S7" s="387">
        <f>'[1]D2.)BillingDeterminants(TOD)'!$D$144+'[1]D2.)BillingDeterminants(TOD)'!$D$161</f>
        <v>0</v>
      </c>
      <c r="T7" s="159" t="s">
        <v>445</v>
      </c>
      <c r="U7" s="387">
        <f>'[1]D2.)BillingDeterminants(TOD)'!$D$151+'[1]D2.)BillingDeterminants(TOD)'!$D$168</f>
        <v>0</v>
      </c>
      <c r="W7" s="1125" t="s">
        <v>2209</v>
      </c>
      <c r="X7" s="1162">
        <f>'[2]3C.)HY_Metering PxOut'!$B$59</f>
        <v>12</v>
      </c>
      <c r="Y7" s="1131">
        <f>ROUND($X7*$Q$9/($Q$9+$Q$14+$Q$19+$Q$24),0)</f>
        <v>0</v>
      </c>
      <c r="Z7" s="1131">
        <f>X7-Y7-AA7-AB7</f>
        <v>0</v>
      </c>
      <c r="AA7" s="1131">
        <f>ROUND($X7*$Q$19/($Q$9+$Q$14+$Q$19+$Q$24),0)</f>
        <v>4</v>
      </c>
      <c r="AB7" s="1132">
        <f>ROUND($X7*$Q$24/($Q$9+$Q$14+$Q$19+$Q$24),0)</f>
        <v>8</v>
      </c>
    </row>
    <row r="8" spans="1:28" ht="15.5" outlineLevel="1" thickTop="1" thickBot="1" x14ac:dyDescent="0.4">
      <c r="A8" s="3" t="s">
        <v>927</v>
      </c>
      <c r="B8" s="3"/>
      <c r="C8" s="3"/>
      <c r="D8" s="3"/>
      <c r="E8" s="3"/>
      <c r="F8" s="3"/>
      <c r="G8" s="309">
        <f>'12A.)TODL_RateDesignSummary'!D134</f>
        <v>0</v>
      </c>
      <c r="H8" s="177">
        <f>J98</f>
        <v>0</v>
      </c>
      <c r="I8" s="3"/>
      <c r="J8" s="33"/>
      <c r="K8" s="17"/>
      <c r="L8" s="688"/>
      <c r="M8" s="3"/>
      <c r="P8" s="168" t="s">
        <v>114</v>
      </c>
      <c r="Q8" s="154" t="s">
        <v>642</v>
      </c>
      <c r="R8" s="176" t="s">
        <v>645</v>
      </c>
      <c r="S8" s="172">
        <f>'[1]D2.)BillingDeterminants(TOD)'!$D$146+'[1]D2.)BillingDeterminants(TOD)'!$D$163</f>
        <v>0</v>
      </c>
      <c r="T8" s="453"/>
      <c r="U8" s="452"/>
    </row>
    <row r="9" spans="1:28" ht="15.5" outlineLevel="1" thickTop="1" thickBot="1" x14ac:dyDescent="0.4">
      <c r="A9" s="3" t="s">
        <v>928</v>
      </c>
      <c r="B9" s="3"/>
      <c r="C9" s="3"/>
      <c r="D9" s="3"/>
      <c r="E9" s="3"/>
      <c r="F9" s="3"/>
      <c r="G9" s="310">
        <f>'12A.)TODL_RateDesignSummary'!D135</f>
        <v>8.08</v>
      </c>
      <c r="H9" s="169">
        <f t="shared" ref="H9:H10" si="0">J99</f>
        <v>8.2899999999999991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464" t="s">
        <v>2207</v>
      </c>
      <c r="Q9" s="1134"/>
      <c r="S9" s="151">
        <f>SUM(S6:S8)</f>
        <v>0</v>
      </c>
      <c r="U9" s="151">
        <f>SUM(U6:U8)</f>
        <v>0</v>
      </c>
      <c r="W9" s="406"/>
      <c r="X9" s="1009">
        <f>X7+X8-Q9-Q14-Q19-Q24</f>
        <v>0</v>
      </c>
      <c r="Y9" s="406"/>
      <c r="Z9" s="406"/>
      <c r="AA9" s="406"/>
      <c r="AB9" s="406"/>
    </row>
    <row r="10" spans="1:28" ht="15" outlineLevel="1" thickTop="1" x14ac:dyDescent="0.35">
      <c r="A10" s="3" t="s">
        <v>929</v>
      </c>
      <c r="B10" s="3"/>
      <c r="C10" s="3"/>
      <c r="D10" s="3"/>
      <c r="E10" s="3"/>
      <c r="F10" s="3"/>
      <c r="G10" s="310">
        <f>'12A.)TODL_RateDesignSummary'!D136</f>
        <v>0</v>
      </c>
      <c r="H10" s="169">
        <f t="shared" si="0"/>
        <v>0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</row>
    <row r="11" spans="1:28" outlineLevel="1" x14ac:dyDescent="0.35">
      <c r="A11" s="3" t="s">
        <v>930</v>
      </c>
      <c r="B11" s="3"/>
      <c r="C11" s="3"/>
      <c r="D11" s="3"/>
      <c r="E11" s="3"/>
      <c r="F11" s="3"/>
      <c r="G11" s="310">
        <f>'12A.)TODL_RateDesignSummary'!D137</f>
        <v>5.87</v>
      </c>
      <c r="H11" s="169">
        <f>H98</f>
        <v>6.02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735">
        <f>'[1]D2.)BillingDeterminants(TOD)'!$E$149+'[1]D2.)BillingDeterminants(TOD)'!$E$166</f>
        <v>0</v>
      </c>
    </row>
    <row r="12" spans="1:28" outlineLevel="1" x14ac:dyDescent="0.35">
      <c r="A12" s="3" t="s">
        <v>931</v>
      </c>
      <c r="B12" s="3"/>
      <c r="C12" s="3"/>
      <c r="D12" s="3"/>
      <c r="E12" s="3"/>
      <c r="F12" s="3"/>
      <c r="G12" s="310">
        <f>'12A.)TODL_RateDesignSummary'!D138</f>
        <v>13.129999999999999</v>
      </c>
      <c r="H12" s="169">
        <f t="shared" ref="H12:H13" si="1">H99</f>
        <v>13.469999999999999</v>
      </c>
      <c r="I12" s="3"/>
      <c r="P12" s="160" t="s">
        <v>113</v>
      </c>
      <c r="Q12" s="157" t="str">
        <f>Q$7</f>
        <v>D2</v>
      </c>
      <c r="R12" s="157" t="str">
        <f>R$7</f>
        <v>8-10</v>
      </c>
      <c r="S12" s="733">
        <f>'[1]D2.)BillingDeterminants(TOD)'!$E$144+'[1]D2.)BillingDeterminants(TOD)'!$E$161</f>
        <v>0</v>
      </c>
      <c r="T12" s="159" t="str">
        <f>T$7</f>
        <v>Off Peak</v>
      </c>
      <c r="U12" s="733">
        <f>'[1]D2.)BillingDeterminants(TOD)'!$E$151+'[1]D2.)BillingDeterminants(TOD)'!$E$168</f>
        <v>0</v>
      </c>
    </row>
    <row r="13" spans="1:28" ht="15" outlineLevel="1" thickBot="1" x14ac:dyDescent="0.4">
      <c r="A13" s="3" t="s">
        <v>926</v>
      </c>
      <c r="B13" s="3"/>
      <c r="C13" s="3"/>
      <c r="D13" s="3"/>
      <c r="E13" s="3"/>
      <c r="F13" s="3"/>
      <c r="G13" s="310">
        <f>'12A.)TODL_RateDesignSummary'!D139</f>
        <v>0</v>
      </c>
      <c r="H13" s="169">
        <f t="shared" si="1"/>
        <v>0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734">
        <f>'[1]D2.)BillingDeterminants(TOD)'!$E$146+'[1]D2.)BillingDeterminants(TOD)'!$E$163</f>
        <v>0</v>
      </c>
      <c r="T13" s="453"/>
      <c r="U13" s="452"/>
    </row>
    <row r="14" spans="1:28" ht="15.5" outlineLevel="1" thickTop="1" thickBot="1" x14ac:dyDescent="0.4">
      <c r="A14" t="s">
        <v>647</v>
      </c>
      <c r="F14" s="3"/>
      <c r="G14" s="310">
        <f>'12A.)TODL_RateDesignSummary'!D140</f>
        <v>7.9000000000000008E-3</v>
      </c>
      <c r="H14" s="169">
        <f>H155</f>
        <v>7.9000000000000008E-3</v>
      </c>
      <c r="I14" s="3"/>
      <c r="J14" s="33" t="s">
        <v>2041</v>
      </c>
      <c r="K14" s="17"/>
      <c r="L14" s="690">
        <f>'[2]6A.)RateChange'!BF62</f>
        <v>2.408331E-2</v>
      </c>
      <c r="P14" s="464" t="s">
        <v>2207</v>
      </c>
      <c r="Q14" s="1134"/>
      <c r="R14" s="3"/>
      <c r="S14" s="151">
        <f>SUM(S11:S13)</f>
        <v>0</v>
      </c>
      <c r="U14" s="151">
        <f>SUM(U11:U13)</f>
        <v>0</v>
      </c>
    </row>
    <row r="15" spans="1:28" ht="15" outlineLevel="1" thickTop="1" x14ac:dyDescent="0.35">
      <c r="A15" t="s">
        <v>648</v>
      </c>
      <c r="F15" s="3"/>
      <c r="G15" s="310">
        <f>'12A.)TODL_RateDesignSummary'!D141</f>
        <v>7.9000000000000008E-3</v>
      </c>
      <c r="H15" s="169">
        <f>H156</f>
        <v>7.9000000000000008E-3</v>
      </c>
      <c r="I15" s="3"/>
    </row>
    <row r="16" spans="1:28" outlineLevel="1" x14ac:dyDescent="0.35">
      <c r="A16" t="s">
        <v>649</v>
      </c>
      <c r="F16" s="3"/>
      <c r="G16" s="310">
        <f>'12A.)TODL_RateDesignSummary'!D142</f>
        <v>7.9000000000000008E-3</v>
      </c>
      <c r="H16" s="169">
        <f>J155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735">
        <f>'[1]D2.)BillingDeterminants(TOD)'!$D$143+'[1]D2.)BillingDeterminants(TOD)'!$D$160</f>
        <v>37300</v>
      </c>
      <c r="T16" s="164" t="str">
        <f>T$6</f>
        <v>on Peak</v>
      </c>
      <c r="U16" s="735">
        <f>'[1]D2.)BillingDeterminants(TOD)'!$D$150+'[1]D2.)BillingDeterminants(TOD)'!$D$167</f>
        <v>2922041</v>
      </c>
    </row>
    <row r="17" spans="1:21" outlineLevel="1" x14ac:dyDescent="0.35">
      <c r="A17" t="s">
        <v>650</v>
      </c>
      <c r="F17" s="3"/>
      <c r="G17" s="310">
        <f>'12A.)TODL_RateDesignSummary'!D143</f>
        <v>7.9000000000000008E-3</v>
      </c>
      <c r="H17" s="169">
        <f>J156</f>
        <v>7.9000000000000008E-3</v>
      </c>
      <c r="I17" s="3"/>
      <c r="J17" s="33" t="s">
        <v>133</v>
      </c>
      <c r="L17" s="245">
        <f>'[2]6B.)RateChgAllocation'!$N$62</f>
        <v>56943</v>
      </c>
      <c r="M17" s="701">
        <f>ROUND(L17/ROUND(L18/M18,5),0)</f>
        <v>56313</v>
      </c>
      <c r="P17" s="170" t="s">
        <v>112</v>
      </c>
      <c r="Q17" s="157" t="str">
        <f>Q$7</f>
        <v>D2</v>
      </c>
      <c r="R17" s="157" t="str">
        <f>R$7</f>
        <v>8-10</v>
      </c>
      <c r="S17" s="733">
        <f>'[1]D2.)BillingDeterminants(TOD)'!$D$145+'[1]D2.)BillingDeterminants(TOD)'!$D$162</f>
        <v>39440</v>
      </c>
      <c r="T17" s="159" t="str">
        <f>T$7</f>
        <v>Off Peak</v>
      </c>
      <c r="U17" s="733">
        <f>'[1]D2.)BillingDeterminants(TOD)'!$D$152+'[1]D2.)BillingDeterminants(TOD)'!$D$169</f>
        <v>3586859</v>
      </c>
    </row>
    <row r="18" spans="1:21" ht="15" outlineLevel="1" thickBot="1" x14ac:dyDescent="0.4">
      <c r="A18" t="s">
        <v>651</v>
      </c>
      <c r="F18" s="3"/>
      <c r="G18" s="310">
        <f>'12A.)TODL_RateDesignSummary'!D144</f>
        <v>7.9000000000000008E-3</v>
      </c>
      <c r="H18" s="169">
        <f>H14</f>
        <v>7.9000000000000008E-3</v>
      </c>
      <c r="I18" s="3"/>
      <c r="J18" s="33" t="s">
        <v>131</v>
      </c>
      <c r="L18" s="701">
        <f>'[2]4D-6.)HY_TODLRatePxOut(SC13)'!$Y$44</f>
        <v>1837240</v>
      </c>
      <c r="M18" s="245">
        <f>'[2]4D-6.)HY_TODLRatePxOut(SC13)'!$W$44</f>
        <v>1816932</v>
      </c>
      <c r="P18" s="168" t="s">
        <v>112</v>
      </c>
      <c r="Q18" s="154" t="str">
        <f>Q8</f>
        <v>D3</v>
      </c>
      <c r="R18" s="154" t="str">
        <f>R8</f>
        <v>All Day</v>
      </c>
      <c r="S18" s="153"/>
      <c r="T18" s="453"/>
      <c r="U18" s="452"/>
    </row>
    <row r="19" spans="1:21" ht="15.5" outlineLevel="1" thickTop="1" thickBot="1" x14ac:dyDescent="0.4">
      <c r="A19" t="s">
        <v>652</v>
      </c>
      <c r="F19" s="3"/>
      <c r="G19" s="310">
        <f>'12A.)TODL_RateDesignSummary'!D145</f>
        <v>7.9000000000000008E-3</v>
      </c>
      <c r="H19" s="169">
        <f t="shared" ref="H19:H21" si="2">H15</f>
        <v>7.9000000000000008E-3</v>
      </c>
      <c r="I19" s="3"/>
      <c r="J19" s="33" t="s">
        <v>123</v>
      </c>
      <c r="L19" s="245">
        <f>'[2]6B.)RateChgAllocation'!$M$62</f>
        <v>0</v>
      </c>
      <c r="M19" s="245">
        <f>ROUND(L19/ROUND(L18/M18,5),0)</f>
        <v>0</v>
      </c>
      <c r="P19" s="1158" t="s">
        <v>2207</v>
      </c>
      <c r="Q19" s="1161">
        <f>'[1]B1.)HYAdjSalesDatabase'!$T$264</f>
        <v>4</v>
      </c>
      <c r="S19" s="151">
        <f>SUM(S16:S18)</f>
        <v>76740</v>
      </c>
      <c r="U19" s="151">
        <f>SUM(U16:U18)</f>
        <v>6508900</v>
      </c>
    </row>
    <row r="20" spans="1:21" ht="15" outlineLevel="1" thickTop="1" x14ac:dyDescent="0.35">
      <c r="A20" t="s">
        <v>653</v>
      </c>
      <c r="F20" s="3"/>
      <c r="G20" s="310">
        <f>'12A.)TODL_RateDesignSummary'!D146</f>
        <v>7.9000000000000008E-3</v>
      </c>
      <c r="H20" s="169">
        <f t="shared" si="2"/>
        <v>7.9000000000000008E-3</v>
      </c>
      <c r="I20" s="3"/>
      <c r="J20" s="33" t="s">
        <v>129</v>
      </c>
      <c r="L20" s="701">
        <f>'[2]4D-6.)HY_TODLRatePxOut(SC13)'!$Y$80</f>
        <v>184466</v>
      </c>
      <c r="M20" s="245">
        <f>'[2]4D-6.)HY_TODLRatePxOut(SC13)'!$W$80</f>
        <v>184466</v>
      </c>
    </row>
    <row r="21" spans="1:21" ht="15" outlineLevel="1" thickBot="1" x14ac:dyDescent="0.4">
      <c r="A21" t="s">
        <v>654</v>
      </c>
      <c r="F21" s="3"/>
      <c r="G21" s="311">
        <f>'12A.)TODL_RateDesignSummary'!D147</f>
        <v>7.9000000000000008E-3</v>
      </c>
      <c r="H21" s="167">
        <f t="shared" si="2"/>
        <v>7.9000000000000008E-3</v>
      </c>
      <c r="I21" s="3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735">
        <f>'[1]D2.)BillingDeterminants(TOD)'!$E$150+'[1]D2.)BillingDeterminants(TOD)'!$E$167</f>
        <v>7883342</v>
      </c>
    </row>
    <row r="22" spans="1:21" ht="15.5" outlineLevel="1" thickTop="1" thickBot="1" x14ac:dyDescent="0.4">
      <c r="J22" s="33" t="str">
        <f>CONCATENATE(A4," - T&amp;D Target:")</f>
        <v>SC13 Rate II - T&amp;D Target:</v>
      </c>
      <c r="L22" s="701">
        <f>'[2]6A.)RateChange'!$BN$62</f>
        <v>2421360.2195303999</v>
      </c>
      <c r="P22" s="160" t="s">
        <v>111</v>
      </c>
      <c r="Q22" s="157" t="str">
        <f>Q$7</f>
        <v>D2</v>
      </c>
      <c r="R22" s="157" t="str">
        <f>R$7</f>
        <v>8-10</v>
      </c>
      <c r="S22" s="733">
        <f>'[1]D2.)BillingDeterminants(TOD)'!$E$145+'[1]D2.)BillingDeterminants(TOD)'!$E$162</f>
        <v>133680</v>
      </c>
      <c r="T22" s="159" t="str">
        <f>T$7</f>
        <v>Off Peak</v>
      </c>
      <c r="U22" s="733">
        <f>'[1]D2.)BillingDeterminants(TOD)'!$E$152+'[1]D2.)BillingDeterminants(TOD)'!$E$169</f>
        <v>8957958</v>
      </c>
    </row>
    <row r="23" spans="1:21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153"/>
      <c r="T23" s="453"/>
      <c r="U23" s="452"/>
    </row>
    <row r="24" spans="1:21" ht="15.5" outlineLevel="1" thickTop="1" thickBot="1" x14ac:dyDescent="0.4">
      <c r="A24" s="1174" t="s">
        <v>2229</v>
      </c>
      <c r="B24" s="1175"/>
      <c r="C24" s="1176"/>
      <c r="H24" s="1170">
        <f>'7C.)CustCharge_DemandClasses'!$H$15</f>
        <v>143.09</v>
      </c>
      <c r="J24" s="474" t="s">
        <v>698</v>
      </c>
      <c r="L24" s="397"/>
      <c r="M24" s="465"/>
      <c r="P24" s="1158" t="s">
        <v>2207</v>
      </c>
      <c r="Q24" s="1161">
        <f>'[1]B1.)HYAdjSalesDatabase'!$U$264</f>
        <v>8</v>
      </c>
      <c r="S24" s="151">
        <f>SUM(S21:S23)</f>
        <v>133680</v>
      </c>
      <c r="U24" s="151">
        <f>SUM(U21:U23)</f>
        <v>16841300</v>
      </c>
    </row>
    <row r="25" spans="1:21" ht="15.5" outlineLevel="1" thickTop="1" thickBot="1" x14ac:dyDescent="0.4">
      <c r="J25" s="474" t="s">
        <v>697</v>
      </c>
      <c r="L25" s="397"/>
      <c r="M25" s="465"/>
      <c r="S25" s="150"/>
    </row>
    <row r="26" spans="1:21" ht="15.5" outlineLevel="1" thickTop="1" thickBot="1" x14ac:dyDescent="0.4">
      <c r="J26" s="33" t="s">
        <v>699</v>
      </c>
      <c r="L26" s="701">
        <f>'[1]F3.)Standby'!$E$31</f>
        <v>342711.21953040012</v>
      </c>
      <c r="M26" s="465"/>
      <c r="R26" t="s">
        <v>205</v>
      </c>
      <c r="S26" s="151">
        <f>S9+S14+S19+S24</f>
        <v>210420</v>
      </c>
      <c r="U26" s="151">
        <f>U9+U14+U19+U24</f>
        <v>23350200</v>
      </c>
    </row>
    <row r="27" spans="1:21" ht="15" outlineLevel="1" thickTop="1" x14ac:dyDescent="0.35"/>
    <row r="28" spans="1:21" s="148" customFormat="1" outlineLevel="1" x14ac:dyDescent="0.35"/>
    <row r="29" spans="1:21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58"/>
      <c r="M29" s="1169" t="s">
        <v>2240</v>
      </c>
    </row>
    <row r="30" spans="1:21" x14ac:dyDescent="0.35">
      <c r="A30" s="407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143.09</v>
      </c>
    </row>
    <row r="31" spans="1:21" x14ac:dyDescent="0.35">
      <c r="A31" s="406"/>
      <c r="B31" s="41" t="str">
        <f>$A$4</f>
        <v>SC13 Rate II</v>
      </c>
      <c r="C31" s="133" t="s">
        <v>662</v>
      </c>
      <c r="D31" s="133"/>
      <c r="E31" s="133"/>
      <c r="F31" s="133"/>
      <c r="H31" s="1149" t="s">
        <v>2226</v>
      </c>
      <c r="I31" s="1149" t="s">
        <v>2227</v>
      </c>
      <c r="L31" s="1158"/>
      <c r="M31" s="1158"/>
      <c r="P31"/>
    </row>
    <row r="32" spans="1:21" x14ac:dyDescent="0.35">
      <c r="A32" s="406"/>
      <c r="C32" s="142" t="s">
        <v>97</v>
      </c>
      <c r="H32" s="130">
        <f>M17</f>
        <v>56313</v>
      </c>
      <c r="I32" s="1156">
        <f>H32-M38</f>
        <v>54596</v>
      </c>
      <c r="J32" s="892" t="s">
        <v>79</v>
      </c>
      <c r="L32" s="1165" t="s">
        <v>2221</v>
      </c>
      <c r="M32" s="1159">
        <f>Y7</f>
        <v>0</v>
      </c>
      <c r="P32"/>
    </row>
    <row r="33" spans="1:16" x14ac:dyDescent="0.35">
      <c r="A33" s="406"/>
      <c r="I33" s="130"/>
      <c r="L33" s="1165" t="s">
        <v>2222</v>
      </c>
      <c r="M33" s="1159">
        <f>Z7</f>
        <v>0</v>
      </c>
      <c r="P33"/>
    </row>
    <row r="34" spans="1:16" x14ac:dyDescent="0.35">
      <c r="A34" s="406"/>
      <c r="C34" t="s">
        <v>696</v>
      </c>
      <c r="H34" s="690">
        <f>L14</f>
        <v>2.408331E-2</v>
      </c>
      <c r="J34" s="892" t="s">
        <v>78</v>
      </c>
      <c r="L34" s="1158"/>
      <c r="M34" s="1158"/>
      <c r="P34"/>
    </row>
    <row r="35" spans="1:16" x14ac:dyDescent="0.35">
      <c r="A35" s="406"/>
      <c r="H35" s="467"/>
      <c r="J35" s="136"/>
      <c r="L35" s="1165" t="s">
        <v>2223</v>
      </c>
      <c r="M35" s="1159">
        <f>AA7</f>
        <v>4</v>
      </c>
      <c r="P35"/>
    </row>
    <row r="36" spans="1:16" x14ac:dyDescent="0.35">
      <c r="A36" s="406"/>
      <c r="C36" t="s">
        <v>703</v>
      </c>
      <c r="G36" s="135"/>
      <c r="H36" s="135" t="s">
        <v>702</v>
      </c>
      <c r="I36" s="130"/>
      <c r="J36" s="136"/>
      <c r="L36" s="1165" t="s">
        <v>2224</v>
      </c>
      <c r="M36" s="1159">
        <f>AB7</f>
        <v>8</v>
      </c>
      <c r="P36"/>
    </row>
    <row r="37" spans="1:16" x14ac:dyDescent="0.35">
      <c r="A37" s="406"/>
      <c r="C37" t="s">
        <v>704</v>
      </c>
      <c r="G37" s="819">
        <f>L24</f>
        <v>0</v>
      </c>
      <c r="H37" s="819">
        <f>ROUND(G37*H$34,0)</f>
        <v>0</v>
      </c>
      <c r="I37" s="130"/>
      <c r="J37" s="892" t="s">
        <v>1878</v>
      </c>
      <c r="L37" s="1158"/>
      <c r="M37" s="1158"/>
      <c r="P37"/>
    </row>
    <row r="38" spans="1:16" x14ac:dyDescent="0.35">
      <c r="A38" s="406"/>
      <c r="C38" t="s">
        <v>705</v>
      </c>
      <c r="G38" s="819">
        <f>L25</f>
        <v>0</v>
      </c>
      <c r="H38" s="819">
        <f>ROUND(G38*H$34,0)</f>
        <v>0</v>
      </c>
      <c r="I38" s="130"/>
      <c r="J38" s="892" t="s">
        <v>1879</v>
      </c>
      <c r="L38" s="1165" t="s">
        <v>2225</v>
      </c>
      <c r="M38" s="1160">
        <f>ROUND((M32+M33+M35+M36)*M30,0)</f>
        <v>1717</v>
      </c>
      <c r="P38"/>
    </row>
    <row r="39" spans="1:16" x14ac:dyDescent="0.35">
      <c r="A39" s="406"/>
      <c r="C39" t="s">
        <v>706</v>
      </c>
      <c r="G39" s="819">
        <f>L26</f>
        <v>342711.21953040012</v>
      </c>
      <c r="H39" s="903">
        <f>ROUND(G39*H$34,0)</f>
        <v>8254</v>
      </c>
      <c r="J39" s="892" t="s">
        <v>1880</v>
      </c>
      <c r="P39"/>
    </row>
    <row r="40" spans="1:16" x14ac:dyDescent="0.35">
      <c r="A40" s="406"/>
      <c r="G40" s="130"/>
      <c r="H40" s="130">
        <f>SUM(H37:H39)</f>
        <v>8254</v>
      </c>
      <c r="I40" s="130"/>
      <c r="J40" s="136" t="s">
        <v>1881</v>
      </c>
      <c r="P40"/>
    </row>
    <row r="41" spans="1:16" x14ac:dyDescent="0.35">
      <c r="A41" s="406"/>
      <c r="C41" s="466" t="s">
        <v>701</v>
      </c>
      <c r="H41" s="990">
        <f>ROUND(L18/M18,5)</f>
        <v>1.01118</v>
      </c>
      <c r="J41" s="136" t="s">
        <v>1778</v>
      </c>
      <c r="P41"/>
    </row>
    <row r="42" spans="1:16" x14ac:dyDescent="0.35">
      <c r="A42" s="406"/>
      <c r="C42" t="s">
        <v>707</v>
      </c>
      <c r="G42" s="130"/>
      <c r="H42" s="130"/>
      <c r="I42" s="379">
        <f>ROUND(H40/H41,0)</f>
        <v>8163</v>
      </c>
      <c r="J42" s="136" t="s">
        <v>1882</v>
      </c>
      <c r="P42"/>
    </row>
    <row r="43" spans="1:16" x14ac:dyDescent="0.35">
      <c r="A43" s="406"/>
      <c r="C43" t="s">
        <v>97</v>
      </c>
      <c r="G43" s="130"/>
      <c r="H43" s="130"/>
      <c r="I43" s="130">
        <f>I32-I42</f>
        <v>46433</v>
      </c>
      <c r="J43" s="136" t="s">
        <v>1883</v>
      </c>
      <c r="P43"/>
    </row>
    <row r="44" spans="1:16" x14ac:dyDescent="0.35">
      <c r="A44" s="406"/>
      <c r="G44" s="130"/>
      <c r="H44" s="130"/>
      <c r="I44" s="130"/>
      <c r="J44" s="136"/>
      <c r="P44"/>
    </row>
    <row r="45" spans="1:16" x14ac:dyDescent="0.35">
      <c r="A45" s="406"/>
      <c r="C45" t="s">
        <v>708</v>
      </c>
      <c r="I45" s="130">
        <f>M18</f>
        <v>1816932</v>
      </c>
      <c r="J45" s="136" t="s">
        <v>1111</v>
      </c>
      <c r="P45"/>
    </row>
    <row r="46" spans="1:16" ht="15" thickBot="1" x14ac:dyDescent="0.4">
      <c r="A46" s="406"/>
      <c r="I46" s="130"/>
      <c r="J46" s="136"/>
      <c r="P46"/>
    </row>
    <row r="47" spans="1:16" ht="15.5" thickTop="1" thickBot="1" x14ac:dyDescent="0.4">
      <c r="A47" s="406"/>
      <c r="C47" t="s">
        <v>657</v>
      </c>
      <c r="I47" s="991">
        <f>I43+I45</f>
        <v>1863365</v>
      </c>
      <c r="J47" s="136" t="s">
        <v>1300</v>
      </c>
      <c r="P47"/>
    </row>
    <row r="48" spans="1:16" ht="15" thickTop="1" x14ac:dyDescent="0.35">
      <c r="A48" s="406"/>
      <c r="I48" s="345"/>
      <c r="J48" s="136"/>
      <c r="P48"/>
    </row>
    <row r="49" spans="1:16" x14ac:dyDescent="0.35">
      <c r="A49" s="406"/>
      <c r="C49" s="75" t="s">
        <v>658</v>
      </c>
      <c r="D49" s="75"/>
      <c r="E49" s="75"/>
      <c r="F49" s="75"/>
      <c r="I49" s="964">
        <f>ROUND(I43/I45,8)</f>
        <v>2.5555720000000001E-2</v>
      </c>
      <c r="J49" s="136" t="s">
        <v>1884</v>
      </c>
      <c r="P49"/>
    </row>
    <row r="50" spans="1:16" x14ac:dyDescent="0.35">
      <c r="A50" s="406"/>
      <c r="P50"/>
    </row>
    <row r="51" spans="1:16" x14ac:dyDescent="0.35">
      <c r="A51" s="406"/>
      <c r="I51" s="424"/>
      <c r="P51"/>
    </row>
    <row r="52" spans="1:16" x14ac:dyDescent="0.35">
      <c r="A52" s="858" t="s">
        <v>666</v>
      </c>
      <c r="I52" s="424"/>
      <c r="P52"/>
    </row>
    <row r="53" spans="1:16" ht="15" thickBot="1" x14ac:dyDescent="0.4">
      <c r="A53" s="406"/>
      <c r="P53"/>
    </row>
    <row r="54" spans="1:16" ht="15.5" thickTop="1" thickBot="1" x14ac:dyDescent="0.4">
      <c r="B54" s="41" t="str">
        <f>$A$4</f>
        <v>SC13 Rate II</v>
      </c>
      <c r="C54" s="3"/>
      <c r="D54" s="3"/>
      <c r="E54" s="3"/>
      <c r="F54" s="3"/>
      <c r="G54" s="3"/>
      <c r="H54" s="1316" t="s">
        <v>82</v>
      </c>
      <c r="I54" s="1317"/>
      <c r="J54" s="1318"/>
      <c r="K54" s="3"/>
      <c r="L54" s="1307" t="s">
        <v>81</v>
      </c>
      <c r="M54" s="1308"/>
      <c r="N54" s="1309"/>
    </row>
    <row r="55" spans="1:16" ht="15" thickTop="1" x14ac:dyDescent="0.35">
      <c r="B55" s="3"/>
      <c r="C55" s="3"/>
      <c r="E55" s="30" t="s">
        <v>80</v>
      </c>
      <c r="F55" s="3"/>
      <c r="G55" s="3"/>
      <c r="H55" s="30" t="s">
        <v>42</v>
      </c>
      <c r="I55" s="30"/>
      <c r="J55" s="30" t="s">
        <v>40</v>
      </c>
      <c r="K55" s="3"/>
      <c r="L55" s="30" t="s">
        <v>42</v>
      </c>
      <c r="M55" s="86"/>
      <c r="N55" s="30" t="s">
        <v>40</v>
      </c>
    </row>
    <row r="56" spans="1:16" x14ac:dyDescent="0.35">
      <c r="B56" s="3" t="s">
        <v>656</v>
      </c>
      <c r="C56" s="3"/>
      <c r="D56" s="121" t="str">
        <f>Q6</f>
        <v>D1</v>
      </c>
      <c r="E56" s="122"/>
      <c r="F56" s="121" t="str">
        <f>R6</f>
        <v>8-6</v>
      </c>
      <c r="G56" s="123"/>
      <c r="H56" s="35">
        <f>G11</f>
        <v>5.87</v>
      </c>
      <c r="I56" s="136" t="s">
        <v>165</v>
      </c>
      <c r="J56" s="35">
        <f>G8</f>
        <v>0</v>
      </c>
      <c r="K56" s="3"/>
      <c r="L56" s="27">
        <f>H56-$J$57</f>
        <v>-2.21</v>
      </c>
      <c r="M56" s="136" t="s">
        <v>1885</v>
      </c>
      <c r="N56" s="3"/>
    </row>
    <row r="57" spans="1:16" x14ac:dyDescent="0.35">
      <c r="B57" s="3"/>
      <c r="C57" s="3"/>
      <c r="D57" s="121" t="str">
        <f>Q7</f>
        <v>D2</v>
      </c>
      <c r="E57" s="122"/>
      <c r="F57" s="121" t="str">
        <f>R7</f>
        <v>8-10</v>
      </c>
      <c r="G57" s="36"/>
      <c r="H57" s="35">
        <f>G12</f>
        <v>13.129999999999999</v>
      </c>
      <c r="I57" s="136" t="s">
        <v>166</v>
      </c>
      <c r="J57" s="35">
        <f>G9</f>
        <v>8.08</v>
      </c>
      <c r="K57" s="136" t="s">
        <v>101</v>
      </c>
      <c r="L57" s="27">
        <f>H57-$J$57</f>
        <v>5.0499999999999989</v>
      </c>
      <c r="M57" s="136" t="s">
        <v>1886</v>
      </c>
      <c r="N57" s="112"/>
      <c r="O57" s="136" t="s">
        <v>1556</v>
      </c>
    </row>
    <row r="58" spans="1:16" x14ac:dyDescent="0.35">
      <c r="B58" s="3"/>
      <c r="C58" s="3"/>
      <c r="D58" s="121" t="str">
        <f>Q8</f>
        <v>D3</v>
      </c>
      <c r="E58" s="122"/>
      <c r="F58" s="121" t="str">
        <f>R8</f>
        <v>All Day</v>
      </c>
      <c r="G58" s="36"/>
      <c r="H58" s="35">
        <f>G13</f>
        <v>0</v>
      </c>
      <c r="I58" s="136" t="s">
        <v>138</v>
      </c>
      <c r="J58" s="35">
        <f>G10</f>
        <v>0</v>
      </c>
      <c r="K58" s="136" t="s">
        <v>100</v>
      </c>
      <c r="L58" s="27">
        <f>H58-$J$57</f>
        <v>-8.08</v>
      </c>
      <c r="M58" s="136" t="s">
        <v>1887</v>
      </c>
      <c r="N58" s="27">
        <f>J58-$J$57</f>
        <v>-8.08</v>
      </c>
      <c r="O58" s="136" t="s">
        <v>1888</v>
      </c>
    </row>
    <row r="59" spans="1:16" x14ac:dyDescent="0.35">
      <c r="B59" s="3"/>
      <c r="C59" s="3"/>
      <c r="D59" s="2"/>
      <c r="E59" s="122"/>
      <c r="F59" s="122"/>
      <c r="G59" s="36"/>
      <c r="H59" s="120"/>
      <c r="I59" s="120"/>
      <c r="J59" s="120"/>
      <c r="K59" s="3"/>
      <c r="L59" s="27"/>
      <c r="N59" s="61"/>
    </row>
    <row r="60" spans="1:16" ht="15" thickBot="1" x14ac:dyDescent="0.4">
      <c r="K60" s="100" t="s">
        <v>688</v>
      </c>
      <c r="L60" s="906">
        <f>I49</f>
        <v>2.5555720000000001E-2</v>
      </c>
      <c r="M60" s="136" t="s">
        <v>1263</v>
      </c>
    </row>
    <row r="61" spans="1:16" ht="15.5" thickTop="1" thickBot="1" x14ac:dyDescent="0.4">
      <c r="B61" s="119" t="s">
        <v>77</v>
      </c>
      <c r="L61" s="1307" t="s">
        <v>76</v>
      </c>
      <c r="M61" s="1308"/>
      <c r="N61" s="1309"/>
    </row>
    <row r="62" spans="1:16" ht="15.5" thickTop="1" thickBot="1" x14ac:dyDescent="0.4">
      <c r="C62" s="41" t="str">
        <f>B54</f>
        <v>SC13 Rate II</v>
      </c>
      <c r="D62" s="41" t="str">
        <f>$B$56</f>
        <v>(HT &amp; LT)</v>
      </c>
      <c r="H62" s="118" t="s">
        <v>42</v>
      </c>
      <c r="I62" s="118" t="s">
        <v>40</v>
      </c>
      <c r="L62" s="30" t="s">
        <v>42</v>
      </c>
      <c r="M62" s="86"/>
      <c r="N62" s="30" t="s">
        <v>40</v>
      </c>
    </row>
    <row r="63" spans="1:16" x14ac:dyDescent="0.35">
      <c r="C63" s="121" t="str">
        <f>D56</f>
        <v>D1</v>
      </c>
      <c r="D63" s="121" t="str">
        <f>F56</f>
        <v>8-6</v>
      </c>
      <c r="H63" s="117" t="str">
        <f>CONCATENATE("X + ",L63)</f>
        <v>X + -2.27</v>
      </c>
      <c r="I63" s="457"/>
      <c r="L63" s="27">
        <f>ROUND(L56*(1+$L$60),2)</f>
        <v>-2.27</v>
      </c>
      <c r="M63" s="136" t="s">
        <v>1889</v>
      </c>
    </row>
    <row r="64" spans="1:16" x14ac:dyDescent="0.35">
      <c r="C64" s="121" t="str">
        <f>D57</f>
        <v>D2</v>
      </c>
      <c r="D64" s="121" t="str">
        <f>F57</f>
        <v>8-10</v>
      </c>
      <c r="H64" s="114" t="str">
        <f>CONCATENATE("X + ",L64)</f>
        <v>X + 5.18</v>
      </c>
      <c r="I64" s="115" t="s">
        <v>32</v>
      </c>
      <c r="L64" s="27">
        <f>ROUND(L57*(1+$L$60),2)</f>
        <v>5.18</v>
      </c>
      <c r="M64" s="136" t="s">
        <v>1890</v>
      </c>
      <c r="N64" s="112"/>
    </row>
    <row r="65" spans="1:21" s="1" customFormat="1" ht="15" thickBot="1" x14ac:dyDescent="0.4">
      <c r="A65"/>
      <c r="C65" s="121" t="str">
        <f>D58</f>
        <v>D3</v>
      </c>
      <c r="D65" s="121" t="str">
        <f>F58</f>
        <v>All Day</v>
      </c>
      <c r="E65"/>
      <c r="F65"/>
      <c r="H65" s="111" t="str">
        <f>CONCATENATE("X + ",L65)</f>
        <v>X + -8.29</v>
      </c>
      <c r="I65" s="110" t="str">
        <f>CONCATENATE("X + ",N65)</f>
        <v>X + -8.29</v>
      </c>
      <c r="J65"/>
      <c r="K65"/>
      <c r="L65" s="27">
        <f>ROUND(L58*(1+$L$60),2)</f>
        <v>-8.2899999999999991</v>
      </c>
      <c r="M65" s="136" t="s">
        <v>1891</v>
      </c>
      <c r="N65" s="27">
        <f>ROUND(N58*(1+$L$60),2)</f>
        <v>-8.2899999999999991</v>
      </c>
      <c r="O65" s="136" t="s">
        <v>1892</v>
      </c>
      <c r="Q65"/>
      <c r="R65"/>
      <c r="S65"/>
      <c r="T65"/>
      <c r="U65"/>
    </row>
    <row r="66" spans="1:21" s="1" customFormat="1" x14ac:dyDescent="0.35">
      <c r="A66"/>
      <c r="B66"/>
      <c r="C66"/>
      <c r="D66"/>
      <c r="E66"/>
      <c r="F66"/>
      <c r="G66"/>
      <c r="H66"/>
      <c r="I66"/>
      <c r="J66"/>
      <c r="K66"/>
      <c r="L66"/>
      <c r="N66"/>
      <c r="O66"/>
      <c r="Q66"/>
      <c r="R66"/>
      <c r="S66"/>
      <c r="T66"/>
      <c r="U66"/>
    </row>
    <row r="67" spans="1:21" s="1" customForma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Q67"/>
      <c r="R67"/>
      <c r="S67"/>
      <c r="T67"/>
      <c r="U67"/>
    </row>
    <row r="68" spans="1:21" s="1" customFormat="1" x14ac:dyDescent="0.35">
      <c r="A68"/>
      <c r="B68" s="334" t="s">
        <v>70</v>
      </c>
      <c r="C68"/>
      <c r="D68"/>
      <c r="E68"/>
      <c r="F68"/>
      <c r="G68"/>
      <c r="H68"/>
      <c r="I68"/>
      <c r="J68"/>
      <c r="K68"/>
      <c r="L68"/>
      <c r="M68"/>
      <c r="N68"/>
      <c r="O68"/>
      <c r="Q68"/>
      <c r="R68"/>
      <c r="S68"/>
      <c r="T68"/>
      <c r="U68"/>
    </row>
    <row r="69" spans="1:21" s="1" customFormat="1" x14ac:dyDescent="0.35">
      <c r="A69"/>
      <c r="B69" s="41" t="str">
        <f>$A$4</f>
        <v>SC13 Rate II</v>
      </c>
      <c r="C69"/>
      <c r="D69"/>
      <c r="E69"/>
      <c r="F69"/>
      <c r="G69"/>
      <c r="H69"/>
      <c r="I69"/>
      <c r="J69"/>
      <c r="K69"/>
      <c r="L69"/>
      <c r="M69"/>
      <c r="N69"/>
      <c r="O69"/>
      <c r="Q69"/>
      <c r="R69"/>
      <c r="S69"/>
      <c r="T69"/>
      <c r="U69"/>
    </row>
    <row r="70" spans="1:21" s="1" customFormat="1" ht="15" thickBot="1" x14ac:dyDescent="0.4">
      <c r="A70"/>
      <c r="B70" s="70" t="s">
        <v>69</v>
      </c>
      <c r="C70" s="70"/>
      <c r="D70" s="70"/>
      <c r="E70" s="3"/>
      <c r="F70" s="3"/>
      <c r="G70" s="3"/>
      <c r="H70"/>
      <c r="I70" s="69" t="s">
        <v>25</v>
      </c>
      <c r="J70" s="3"/>
      <c r="K70" s="3"/>
      <c r="L70"/>
      <c r="M70"/>
      <c r="N70"/>
      <c r="O70"/>
      <c r="Q70"/>
      <c r="R70"/>
      <c r="S70"/>
      <c r="T70"/>
      <c r="U70"/>
    </row>
    <row r="71" spans="1:21" s="1" customFormat="1" x14ac:dyDescent="0.35">
      <c r="A71"/>
      <c r="B71" s="3"/>
      <c r="C71" s="392" t="str">
        <f>CONCATENATE(D56,": ",F56)</f>
        <v>D1: 8-6</v>
      </c>
      <c r="D71" s="70"/>
      <c r="E71" s="3" t="s">
        <v>42</v>
      </c>
      <c r="F71" s="3"/>
      <c r="I71" s="72">
        <f>S6+S16</f>
        <v>37300</v>
      </c>
      <c r="J71" s="36"/>
      <c r="K71" s="74" t="str">
        <f>CONCATENATE("[",H63,"]")</f>
        <v>[X + -2.27]</v>
      </c>
      <c r="L71" s="61" t="s">
        <v>1560</v>
      </c>
      <c r="M71"/>
      <c r="N71"/>
      <c r="O71"/>
      <c r="Q71"/>
      <c r="R71"/>
      <c r="S71"/>
      <c r="T71"/>
      <c r="U71"/>
    </row>
    <row r="72" spans="1:21" s="1" customFormat="1" x14ac:dyDescent="0.35">
      <c r="A72"/>
      <c r="B72" s="3"/>
      <c r="C72" s="464"/>
      <c r="D72" s="3"/>
      <c r="E72" s="3" t="s">
        <v>40</v>
      </c>
      <c r="F72" s="3"/>
      <c r="I72" s="458">
        <f>S11+S21</f>
        <v>0</v>
      </c>
      <c r="J72" s="36" t="s">
        <v>39</v>
      </c>
      <c r="K72" s="456"/>
      <c r="L72"/>
      <c r="M72"/>
      <c r="N72"/>
      <c r="O72"/>
      <c r="Q72"/>
      <c r="R72"/>
      <c r="S72"/>
      <c r="T72"/>
      <c r="U72"/>
    </row>
    <row r="73" spans="1:21" s="1" customFormat="1" x14ac:dyDescent="0.35">
      <c r="A73"/>
      <c r="B73" s="3"/>
      <c r="C73" s="392" t="str">
        <f>CONCATENATE(D57,": ",F57)</f>
        <v>D2: 8-10</v>
      </c>
      <c r="D73" s="3"/>
      <c r="E73" s="3" t="s">
        <v>42</v>
      </c>
      <c r="F73" s="3"/>
      <c r="I73" s="72">
        <f>S7+S17</f>
        <v>39440</v>
      </c>
      <c r="J73" s="36"/>
      <c r="K73" s="73" t="str">
        <f>CONCATENATE("[",H64,"]")</f>
        <v>[X + 5.18]</v>
      </c>
      <c r="L73" s="61" t="s">
        <v>1557</v>
      </c>
      <c r="M73"/>
      <c r="N73"/>
      <c r="O73"/>
      <c r="Q73"/>
      <c r="R73"/>
      <c r="S73"/>
      <c r="T73"/>
      <c r="U73"/>
    </row>
    <row r="74" spans="1:21" s="1" customFormat="1" x14ac:dyDescent="0.35">
      <c r="A74"/>
      <c r="B74" s="3"/>
      <c r="C74" s="464"/>
      <c r="D74" s="3"/>
      <c r="E74" s="3" t="s">
        <v>40</v>
      </c>
      <c r="F74" s="3"/>
      <c r="H74"/>
      <c r="I74" s="366">
        <f>S12+S22</f>
        <v>133680</v>
      </c>
      <c r="J74" s="36" t="s">
        <v>39</v>
      </c>
      <c r="K74" s="73" t="str">
        <f>CONCATENATE("[",I64,"]")</f>
        <v>[X]</v>
      </c>
      <c r="L74" s="61" t="s">
        <v>1642</v>
      </c>
      <c r="M74"/>
      <c r="N74"/>
      <c r="O74"/>
      <c r="Q74"/>
      <c r="R74"/>
      <c r="S74"/>
      <c r="T74"/>
      <c r="U74"/>
    </row>
    <row r="75" spans="1:21" s="1" customFormat="1" x14ac:dyDescent="0.35">
      <c r="A75"/>
      <c r="B75" s="3"/>
      <c r="C75" s="392" t="str">
        <f>CONCATENATE(D58,": ",F58)</f>
        <v>D3: All Day</v>
      </c>
      <c r="D75" s="3"/>
      <c r="E75" s="3" t="s">
        <v>42</v>
      </c>
      <c r="F75" s="3"/>
      <c r="H75"/>
      <c r="I75" s="72">
        <f>S8+S18</f>
        <v>0</v>
      </c>
      <c r="J75" s="36" t="s">
        <v>39</v>
      </c>
      <c r="K75" s="73" t="str">
        <f>CONCATENATE("[",H65,"]")</f>
        <v>[X + -8.29]</v>
      </c>
      <c r="L75" s="61" t="s">
        <v>1893</v>
      </c>
      <c r="M75"/>
      <c r="N75"/>
      <c r="O75"/>
      <c r="Q75"/>
      <c r="R75"/>
      <c r="S75"/>
      <c r="T75"/>
      <c r="U75"/>
    </row>
    <row r="76" spans="1:21" s="1" customFormat="1" ht="15" thickBot="1" x14ac:dyDescent="0.4">
      <c r="A76"/>
      <c r="B76" s="3"/>
      <c r="C76" s="410"/>
      <c r="D76" s="3"/>
      <c r="E76" s="3" t="s">
        <v>40</v>
      </c>
      <c r="F76" s="3"/>
      <c r="H76"/>
      <c r="I76" s="553">
        <f>S13+S23</f>
        <v>0</v>
      </c>
      <c r="J76" s="36" t="s">
        <v>39</v>
      </c>
      <c r="K76" s="71" t="str">
        <f>CONCATENATE("[",I65,"]")</f>
        <v>[X + -8.29]</v>
      </c>
      <c r="L76" s="61" t="s">
        <v>1894</v>
      </c>
      <c r="M76"/>
      <c r="N76"/>
      <c r="O76"/>
      <c r="Q76"/>
      <c r="R76"/>
      <c r="S76"/>
      <c r="T76"/>
      <c r="U76"/>
    </row>
    <row r="77" spans="1:21" s="1" customFormat="1" x14ac:dyDescent="0.35">
      <c r="A77"/>
      <c r="B77" s="3"/>
      <c r="C77" s="3"/>
      <c r="D77" s="3"/>
      <c r="E77" s="3"/>
      <c r="F77" s="3"/>
      <c r="H77"/>
      <c r="I77" s="72">
        <f>SUM(I71:I76)</f>
        <v>210420</v>
      </c>
      <c r="J77" s="136" t="s">
        <v>1601</v>
      </c>
      <c r="K77"/>
      <c r="L77"/>
      <c r="M77"/>
      <c r="N77"/>
      <c r="O77"/>
      <c r="Q77"/>
      <c r="R77"/>
      <c r="S77"/>
      <c r="T77"/>
      <c r="U77"/>
    </row>
    <row r="78" spans="1:21" x14ac:dyDescent="0.35">
      <c r="B78" s="70" t="s">
        <v>660</v>
      </c>
    </row>
    <row r="79" spans="1:21" x14ac:dyDescent="0.35">
      <c r="B79" s="41" t="str">
        <f>$A$4</f>
        <v>SC13 Rate II</v>
      </c>
      <c r="C79" s="3" t="s">
        <v>656</v>
      </c>
      <c r="F79" s="3"/>
      <c r="G79" s="3"/>
      <c r="H79" s="3"/>
      <c r="I79" s="69" t="s">
        <v>25</v>
      </c>
      <c r="J79" s="3"/>
      <c r="K79" s="106"/>
      <c r="L79" s="3"/>
      <c r="M79" s="3"/>
      <c r="N79" s="17"/>
    </row>
    <row r="80" spans="1:21" x14ac:dyDescent="0.35">
      <c r="C80" s="3" t="str">
        <f>C71</f>
        <v>D1: 8-6</v>
      </c>
      <c r="D80" s="3" t="str">
        <f t="shared" ref="D80:D85" si="3">E71</f>
        <v>Summer</v>
      </c>
      <c r="F80" s="3"/>
      <c r="G80" s="3"/>
      <c r="H80" s="3"/>
      <c r="I80" s="105">
        <f t="shared" ref="I80:I85" si="4">I71</f>
        <v>37300</v>
      </c>
      <c r="J80" s="65" t="s">
        <v>63</v>
      </c>
      <c r="K80" s="103">
        <f>ROUND(I80*L63,0)</f>
        <v>-84671</v>
      </c>
      <c r="L80" s="3" t="s">
        <v>62</v>
      </c>
      <c r="M80" s="61" t="s">
        <v>1566</v>
      </c>
      <c r="N80" s="17"/>
    </row>
    <row r="81" spans="1:21" x14ac:dyDescent="0.35">
      <c r="C81" s="3"/>
      <c r="D81" s="3" t="str">
        <f t="shared" si="3"/>
        <v>Winter</v>
      </c>
      <c r="F81" s="3"/>
      <c r="G81" s="3"/>
      <c r="H81" s="3"/>
      <c r="I81" s="105">
        <f t="shared" si="4"/>
        <v>0</v>
      </c>
      <c r="J81" s="65" t="s">
        <v>63</v>
      </c>
      <c r="K81" s="103">
        <f>ROUND(I81*N63,0)</f>
        <v>0</v>
      </c>
      <c r="L81" s="3" t="s">
        <v>62</v>
      </c>
      <c r="M81" s="61"/>
      <c r="N81" s="17"/>
    </row>
    <row r="82" spans="1:21" x14ac:dyDescent="0.35">
      <c r="C82" s="3" t="str">
        <f>C73</f>
        <v>D2: 8-10</v>
      </c>
      <c r="D82" s="3" t="str">
        <f t="shared" si="3"/>
        <v>Summer</v>
      </c>
      <c r="F82" s="3"/>
      <c r="G82" s="3"/>
      <c r="H82" s="3"/>
      <c r="I82" s="105">
        <f t="shared" si="4"/>
        <v>39440</v>
      </c>
      <c r="J82" s="65" t="s">
        <v>63</v>
      </c>
      <c r="K82" s="103">
        <f>ROUND(I82*L64,0)</f>
        <v>204299</v>
      </c>
      <c r="L82" s="3" t="s">
        <v>62</v>
      </c>
      <c r="M82" s="61" t="s">
        <v>1561</v>
      </c>
      <c r="N82" s="17"/>
    </row>
    <row r="83" spans="1:21" x14ac:dyDescent="0.35">
      <c r="C83" s="3"/>
      <c r="D83" s="3" t="str">
        <f t="shared" si="3"/>
        <v>Winter</v>
      </c>
      <c r="F83" s="3"/>
      <c r="G83" s="3"/>
      <c r="H83" s="3"/>
      <c r="I83" s="105">
        <f t="shared" si="4"/>
        <v>133680</v>
      </c>
      <c r="J83" s="65" t="s">
        <v>63</v>
      </c>
      <c r="K83" s="134">
        <f>ROUND(I83*N64,0)</f>
        <v>0</v>
      </c>
      <c r="L83" s="3" t="s">
        <v>62</v>
      </c>
      <c r="M83" s="61" t="s">
        <v>1828</v>
      </c>
      <c r="N83" s="17"/>
    </row>
    <row r="84" spans="1:21" x14ac:dyDescent="0.35">
      <c r="C84" s="3" t="str">
        <f>C75</f>
        <v>D3: All Day</v>
      </c>
      <c r="D84" s="3" t="str">
        <f t="shared" si="3"/>
        <v>Summer</v>
      </c>
      <c r="F84" s="3"/>
      <c r="G84" s="3"/>
      <c r="H84" s="3"/>
      <c r="I84" s="105">
        <f t="shared" si="4"/>
        <v>0</v>
      </c>
      <c r="J84" s="65" t="s">
        <v>63</v>
      </c>
      <c r="K84" s="103">
        <f>ROUND(I84*L65,0)</f>
        <v>0</v>
      </c>
      <c r="L84" s="3" t="s">
        <v>62</v>
      </c>
      <c r="M84" s="61" t="s">
        <v>1562</v>
      </c>
      <c r="N84" s="17"/>
    </row>
    <row r="85" spans="1:21" x14ac:dyDescent="0.35">
      <c r="C85" s="3"/>
      <c r="D85" s="3" t="str">
        <f t="shared" si="3"/>
        <v>Winter</v>
      </c>
      <c r="F85" s="3"/>
      <c r="G85" s="3"/>
      <c r="H85" s="3"/>
      <c r="I85" s="351">
        <f t="shared" si="4"/>
        <v>0</v>
      </c>
      <c r="J85" s="104" t="s">
        <v>63</v>
      </c>
      <c r="K85" s="977">
        <f>ROUND(I85*N65,0)</f>
        <v>0</v>
      </c>
      <c r="L85" s="44" t="s">
        <v>62</v>
      </c>
      <c r="M85" s="61" t="s">
        <v>1895</v>
      </c>
      <c r="N85" s="17"/>
    </row>
    <row r="86" spans="1:21" x14ac:dyDescent="0.35">
      <c r="C86" s="3" t="s">
        <v>659</v>
      </c>
      <c r="F86" s="66"/>
      <c r="G86" s="66">
        <f>I47</f>
        <v>1863365</v>
      </c>
      <c r="H86" s="63" t="s">
        <v>31</v>
      </c>
      <c r="I86" s="28">
        <f>SUM(I80:I85)</f>
        <v>210420</v>
      </c>
      <c r="J86" s="65" t="s">
        <v>63</v>
      </c>
      <c r="K86" s="103">
        <f>SUM(K80:K85)</f>
        <v>119628</v>
      </c>
      <c r="L86" s="3" t="s">
        <v>1974</v>
      </c>
      <c r="M86" s="61" t="s">
        <v>1724</v>
      </c>
      <c r="N86" s="17"/>
    </row>
    <row r="87" spans="1:21" x14ac:dyDescent="0.35">
      <c r="F87" s="3"/>
      <c r="G87" s="3"/>
      <c r="H87" s="3"/>
      <c r="I87" s="3"/>
      <c r="J87" s="3"/>
      <c r="K87" s="3"/>
      <c r="L87" s="3"/>
      <c r="M87" s="61" t="s">
        <v>1976</v>
      </c>
      <c r="N87" s="17"/>
    </row>
    <row r="88" spans="1:21" x14ac:dyDescent="0.35">
      <c r="F88" s="34"/>
      <c r="G88" s="34">
        <f>G86-K86</f>
        <v>1743737</v>
      </c>
      <c r="H88" s="63" t="s">
        <v>31</v>
      </c>
      <c r="I88" s="28">
        <f>I86</f>
        <v>210420</v>
      </c>
      <c r="J88" s="65" t="s">
        <v>32</v>
      </c>
      <c r="K88" s="3"/>
      <c r="L88" s="3"/>
      <c r="M88" s="61" t="s">
        <v>1977</v>
      </c>
      <c r="N88" s="17"/>
    </row>
    <row r="89" spans="1:21" ht="15" thickBot="1" x14ac:dyDescent="0.4">
      <c r="F89" s="3"/>
      <c r="G89" s="3"/>
      <c r="H89" s="3"/>
      <c r="I89" s="3"/>
      <c r="J89" s="3"/>
      <c r="K89" s="3"/>
      <c r="L89" s="3"/>
      <c r="M89" s="3"/>
      <c r="N89" s="17"/>
    </row>
    <row r="90" spans="1:21" s="1" customFormat="1" ht="15.5" thickTop="1" thickBot="1" x14ac:dyDescent="0.4">
      <c r="A90"/>
      <c r="B90"/>
      <c r="C90"/>
      <c r="D90"/>
      <c r="E90"/>
      <c r="F90" s="64"/>
      <c r="G90" s="64" t="s">
        <v>32</v>
      </c>
      <c r="H90" s="63" t="s">
        <v>31</v>
      </c>
      <c r="I90" s="102">
        <f>ROUND(G88/I88,2)</f>
        <v>8.2899999999999991</v>
      </c>
      <c r="J90" s="198" t="s">
        <v>1975</v>
      </c>
      <c r="K90" s="3"/>
      <c r="L90" s="3"/>
      <c r="M90" s="61" t="s">
        <v>1978</v>
      </c>
      <c r="N90" s="17"/>
      <c r="O90"/>
      <c r="Q90"/>
      <c r="R90"/>
      <c r="S90"/>
      <c r="T90"/>
      <c r="U90"/>
    </row>
    <row r="91" spans="1:21" ht="15" thickTop="1" x14ac:dyDescent="0.35">
      <c r="A91" s="406"/>
      <c r="B91" s="406"/>
      <c r="P91"/>
    </row>
    <row r="92" spans="1:21" s="1" customFormat="1" x14ac:dyDescent="0.35">
      <c r="A92" s="406"/>
      <c r="B92" s="334" t="str">
        <f>CONCATENATE($A$4," at Proposed Demand Rates")</f>
        <v>SC13 Rate II at Proposed Demand Rates</v>
      </c>
      <c r="C92"/>
      <c r="D92"/>
      <c r="E92"/>
      <c r="F92"/>
      <c r="G92"/>
      <c r="H92"/>
      <c r="I92"/>
      <c r="J92"/>
      <c r="K92"/>
      <c r="L92"/>
      <c r="M92"/>
      <c r="N92"/>
      <c r="O92"/>
      <c r="Q92"/>
      <c r="R92"/>
      <c r="S92"/>
      <c r="T92"/>
      <c r="U92"/>
    </row>
    <row r="93" spans="1:21" s="1" customFormat="1" x14ac:dyDescent="0.35">
      <c r="A93" s="406"/>
      <c r="B93" s="464"/>
      <c r="C93" s="3" t="s">
        <v>5</v>
      </c>
      <c r="D93" s="1319">
        <f>$L$4</f>
        <v>2020</v>
      </c>
      <c r="E93" s="1319"/>
      <c r="F93" s="1319"/>
      <c r="G93" s="3"/>
      <c r="H93" s="3"/>
      <c r="I93" s="3"/>
      <c r="J93" s="3"/>
      <c r="K93" s="3"/>
      <c r="L93" s="3"/>
      <c r="M93" s="3"/>
      <c r="Q93"/>
      <c r="R93"/>
      <c r="S93"/>
      <c r="T93"/>
      <c r="U93"/>
    </row>
    <row r="94" spans="1:21" s="1" customFormat="1" ht="15" thickBot="1" x14ac:dyDescent="0.4">
      <c r="A94" s="406"/>
      <c r="B94" s="40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/>
      <c r="Q94"/>
      <c r="R94"/>
      <c r="S94"/>
      <c r="T94"/>
      <c r="U94"/>
    </row>
    <row r="95" spans="1:21" s="1" customFormat="1" ht="15" thickBot="1" x14ac:dyDescent="0.4">
      <c r="A95" s="406"/>
      <c r="B95" s="406"/>
      <c r="C95" s="60"/>
      <c r="D95" s="59"/>
      <c r="E95" s="59"/>
      <c r="F95" s="59"/>
      <c r="G95" s="59"/>
      <c r="H95" s="59"/>
      <c r="I95" s="59"/>
      <c r="J95" s="59"/>
      <c r="K95" s="59"/>
      <c r="L95" s="98"/>
      <c r="M95" s="3"/>
      <c r="N95" s="1349" t="s">
        <v>661</v>
      </c>
      <c r="O95" s="1349"/>
      <c r="P95" s="1349"/>
      <c r="Q95" s="1349"/>
      <c r="R95"/>
      <c r="S95"/>
      <c r="T95"/>
      <c r="U95"/>
    </row>
    <row r="96" spans="1:21" s="1" customFormat="1" ht="15.5" thickTop="1" thickBot="1" x14ac:dyDescent="0.4">
      <c r="A96" s="406"/>
      <c r="B96" s="406"/>
      <c r="C96" s="461" t="str">
        <f>$A$4</f>
        <v>SC13 Rate II</v>
      </c>
      <c r="D96" s="44"/>
      <c r="E96" s="44"/>
      <c r="F96" s="44"/>
      <c r="G96" s="44"/>
      <c r="H96" s="1313" t="s">
        <v>58</v>
      </c>
      <c r="I96" s="1314"/>
      <c r="J96" s="1315"/>
      <c r="K96" s="44"/>
      <c r="L96" s="94"/>
      <c r="N96" s="1349" t="s">
        <v>57</v>
      </c>
      <c r="O96" s="1349"/>
      <c r="P96" s="1349"/>
      <c r="Q96" s="1349"/>
      <c r="R96"/>
      <c r="S96"/>
      <c r="T96"/>
      <c r="U96"/>
    </row>
    <row r="97" spans="1:21" s="1" customFormat="1" ht="15" thickTop="1" x14ac:dyDescent="0.35">
      <c r="A97" s="406"/>
      <c r="B97" s="406"/>
      <c r="C97" s="96" t="str">
        <f>$B$56</f>
        <v>(HT &amp; LT)</v>
      </c>
      <c r="D97" s="44"/>
      <c r="E97" s="44"/>
      <c r="F97" s="44"/>
      <c r="G97" s="44"/>
      <c r="H97" s="56" t="s">
        <v>10</v>
      </c>
      <c r="I97" s="44"/>
      <c r="J97" s="56" t="s">
        <v>7</v>
      </c>
      <c r="K97" s="44"/>
      <c r="L97" s="94"/>
      <c r="N97" s="36" t="s">
        <v>10</v>
      </c>
      <c r="P97" s="36" t="s">
        <v>7</v>
      </c>
      <c r="Q97"/>
      <c r="R97"/>
      <c r="S97"/>
      <c r="T97"/>
      <c r="U97"/>
    </row>
    <row r="98" spans="1:21" x14ac:dyDescent="0.35">
      <c r="A98" s="406"/>
      <c r="B98" s="406"/>
      <c r="C98" s="96"/>
      <c r="D98" s="56" t="str">
        <f>$C$63</f>
        <v>D1</v>
      </c>
      <c r="E98" s="56"/>
      <c r="F98" s="56" t="str">
        <f>$D$63</f>
        <v>8-6</v>
      </c>
      <c r="G98" s="44"/>
      <c r="H98" s="97">
        <f>$J$99+L63</f>
        <v>6.02</v>
      </c>
      <c r="I98" s="54" t="s">
        <v>1896</v>
      </c>
      <c r="J98" s="459"/>
      <c r="K98" s="54"/>
      <c r="L98" s="94"/>
      <c r="N98" s="460">
        <f>H98/H56-1</f>
        <v>2.5553662691652379E-2</v>
      </c>
      <c r="O98" s="54" t="s">
        <v>1901</v>
      </c>
      <c r="P98" s="460"/>
    </row>
    <row r="99" spans="1:21" x14ac:dyDescent="0.35">
      <c r="A99" s="406"/>
      <c r="B99" s="406"/>
      <c r="C99" s="96"/>
      <c r="D99" s="56" t="str">
        <f>$C$64</f>
        <v>D2</v>
      </c>
      <c r="E99" s="56"/>
      <c r="F99" s="56" t="str">
        <f>$D$64</f>
        <v>8-10</v>
      </c>
      <c r="G99" s="44"/>
      <c r="H99" s="97">
        <f>$J$99+L64</f>
        <v>13.469999999999999</v>
      </c>
      <c r="I99" s="54" t="s">
        <v>1897</v>
      </c>
      <c r="J99" s="95">
        <f>I90</f>
        <v>8.2899999999999991</v>
      </c>
      <c r="K99" s="54" t="s">
        <v>1899</v>
      </c>
      <c r="L99" s="94"/>
      <c r="N99" s="460">
        <f>H99/H57-1</f>
        <v>2.5894897182025867E-2</v>
      </c>
      <c r="O99" s="54" t="s">
        <v>1902</v>
      </c>
      <c r="P99" s="460">
        <f>J99/J57-1</f>
        <v>2.5990099009900902E-2</v>
      </c>
      <c r="Q99" s="54" t="s">
        <v>1904</v>
      </c>
    </row>
    <row r="100" spans="1:21" x14ac:dyDescent="0.35">
      <c r="A100" s="406"/>
      <c r="B100" s="406"/>
      <c r="C100" s="96"/>
      <c r="D100" s="56" t="str">
        <f>$C$65</f>
        <v>D3</v>
      </c>
      <c r="E100" s="56"/>
      <c r="F100" s="56" t="str">
        <f>$D$65</f>
        <v>All Day</v>
      </c>
      <c r="G100" s="44"/>
      <c r="H100" s="97">
        <f>IF(H58=0,0,$J$99+L65)</f>
        <v>0</v>
      </c>
      <c r="I100" s="54" t="s">
        <v>1898</v>
      </c>
      <c r="J100" s="97">
        <f>IF(J58=0,0,$J$99+N65)</f>
        <v>0</v>
      </c>
      <c r="K100" s="54" t="s">
        <v>1900</v>
      </c>
      <c r="L100" s="94"/>
      <c r="N100" s="460" t="str">
        <f>IF(ISNUMBER(H100/H58-1),H100/H58-1,"")</f>
        <v/>
      </c>
      <c r="O100" s="54" t="s">
        <v>1903</v>
      </c>
      <c r="Q100" s="54" t="s">
        <v>1905</v>
      </c>
    </row>
    <row r="101" spans="1:21" ht="15" thickBot="1" x14ac:dyDescent="0.4">
      <c r="A101" s="406"/>
      <c r="B101" s="406"/>
      <c r="C101" s="93"/>
      <c r="D101" s="46"/>
      <c r="E101" s="46"/>
      <c r="F101" s="46"/>
      <c r="G101" s="46"/>
      <c r="H101" s="46"/>
      <c r="I101" s="92"/>
      <c r="J101" s="46"/>
      <c r="K101" s="92"/>
      <c r="L101" s="91"/>
      <c r="M101" s="17"/>
    </row>
    <row r="102" spans="1:21" ht="15" thickBot="1" x14ac:dyDescent="0.4">
      <c r="A102" s="406"/>
      <c r="B102" s="406"/>
      <c r="D102" s="1152" t="s">
        <v>1174</v>
      </c>
      <c r="E102" s="1153"/>
      <c r="F102" s="1153"/>
      <c r="G102" s="1153"/>
      <c r="H102" s="1163">
        <f>H24</f>
        <v>143.09</v>
      </c>
      <c r="I102" s="1155" t="s">
        <v>2241</v>
      </c>
      <c r="J102" s="1163">
        <f>H102</f>
        <v>143.09</v>
      </c>
      <c r="K102" s="1155" t="s">
        <v>2242</v>
      </c>
      <c r="L102" s="1154"/>
    </row>
    <row r="103" spans="1:21" x14ac:dyDescent="0.35">
      <c r="A103" s="406"/>
      <c r="B103" s="406"/>
    </row>
    <row r="104" spans="1:21" x14ac:dyDescent="0.35">
      <c r="A104" s="858" t="s">
        <v>665</v>
      </c>
      <c r="B104" s="410"/>
      <c r="C104" s="3"/>
      <c r="D104" s="3"/>
      <c r="E104" s="3"/>
      <c r="F104" s="3"/>
      <c r="G104" s="3"/>
      <c r="H104" s="3"/>
      <c r="I104" s="3"/>
    </row>
    <row r="105" spans="1:21" x14ac:dyDescent="0.35">
      <c r="A105" s="858"/>
      <c r="B105" s="410"/>
      <c r="C105" s="3"/>
      <c r="D105" s="3"/>
      <c r="E105" s="3"/>
      <c r="F105" s="3"/>
      <c r="G105" s="3"/>
      <c r="H105" s="3"/>
      <c r="I105" s="3"/>
    </row>
    <row r="106" spans="1:21" x14ac:dyDescent="0.35">
      <c r="A106" s="334"/>
      <c r="B106" s="334" t="s">
        <v>664</v>
      </c>
      <c r="C106" s="3"/>
      <c r="D106" s="3"/>
      <c r="E106" s="3"/>
      <c r="F106" s="3"/>
      <c r="G106" s="3"/>
      <c r="H106" s="3"/>
      <c r="I106" s="3"/>
    </row>
    <row r="107" spans="1:21" x14ac:dyDescent="0.35">
      <c r="A107" s="42"/>
      <c r="B107" s="41" t="str">
        <f>$A$4</f>
        <v>SC13 Rate II</v>
      </c>
      <c r="C107" s="133" t="s">
        <v>669</v>
      </c>
      <c r="D107" s="133"/>
      <c r="E107" s="133"/>
      <c r="F107" s="133"/>
    </row>
    <row r="108" spans="1:21" x14ac:dyDescent="0.35">
      <c r="A108" s="42"/>
      <c r="B108" s="41"/>
      <c r="C108" t="s">
        <v>670</v>
      </c>
      <c r="I108" s="819">
        <f>M19</f>
        <v>0</v>
      </c>
      <c r="J108" s="54" t="s">
        <v>50</v>
      </c>
    </row>
    <row r="109" spans="1:21" ht="15" thickBot="1" x14ac:dyDescent="0.4">
      <c r="A109" s="42"/>
      <c r="B109" s="41"/>
      <c r="C109" t="s">
        <v>671</v>
      </c>
      <c r="I109" s="819">
        <f>M20</f>
        <v>184466</v>
      </c>
      <c r="J109" s="54" t="s">
        <v>49</v>
      </c>
    </row>
    <row r="110" spans="1:21" ht="15.5" thickTop="1" thickBot="1" x14ac:dyDescent="0.4">
      <c r="A110" s="334"/>
      <c r="B110" s="41"/>
      <c r="C110" t="s">
        <v>672</v>
      </c>
      <c r="I110" s="128">
        <f>I108+I109</f>
        <v>184466</v>
      </c>
      <c r="J110" s="54" t="s">
        <v>1906</v>
      </c>
    </row>
    <row r="111" spans="1:21" ht="15" thickTop="1" x14ac:dyDescent="0.35">
      <c r="A111" s="334"/>
      <c r="B111" s="41"/>
      <c r="I111" s="345"/>
    </row>
    <row r="112" spans="1:21" x14ac:dyDescent="0.35">
      <c r="A112" s="334"/>
      <c r="B112" s="41"/>
      <c r="C112" s="75" t="s">
        <v>681</v>
      </c>
      <c r="D112" s="75"/>
      <c r="E112" s="75"/>
      <c r="F112" s="75"/>
      <c r="I112" s="637">
        <f>ROUND(I108/I109,8)</f>
        <v>0</v>
      </c>
      <c r="J112" s="54" t="s">
        <v>1907</v>
      </c>
    </row>
    <row r="113" spans="1:17" x14ac:dyDescent="0.35">
      <c r="A113" s="334"/>
      <c r="B113" s="41"/>
      <c r="C113" s="3"/>
      <c r="D113" s="3"/>
      <c r="E113" s="3"/>
      <c r="F113" s="3"/>
      <c r="G113" s="3"/>
      <c r="H113" s="3"/>
      <c r="I113" s="3"/>
    </row>
    <row r="114" spans="1:17" x14ac:dyDescent="0.35">
      <c r="A114" s="407" t="s">
        <v>682</v>
      </c>
      <c r="P114"/>
    </row>
    <row r="115" spans="1:17" ht="15" thickBot="1" x14ac:dyDescent="0.4">
      <c r="A115" s="406"/>
      <c r="Q115" s="1"/>
    </row>
    <row r="116" spans="1:17" ht="15.5" thickTop="1" thickBot="1" x14ac:dyDescent="0.4">
      <c r="A116" s="406"/>
      <c r="B116" s="41" t="str">
        <f>$A$4</f>
        <v>SC13 Rate II</v>
      </c>
      <c r="C116" s="3"/>
      <c r="D116" s="3"/>
      <c r="E116" s="3"/>
      <c r="F116" s="3"/>
      <c r="G116" s="3"/>
      <c r="H116" s="1316" t="s">
        <v>680</v>
      </c>
      <c r="I116" s="1317"/>
      <c r="J116" s="1318"/>
      <c r="K116" s="3"/>
      <c r="L116" s="1307" t="s">
        <v>81</v>
      </c>
      <c r="M116" s="1308"/>
      <c r="N116" s="1309"/>
      <c r="P116"/>
    </row>
    <row r="117" spans="1:17" ht="15" thickTop="1" x14ac:dyDescent="0.35">
      <c r="A117" s="406"/>
      <c r="B117" s="3"/>
      <c r="C117" s="3"/>
      <c r="E117" s="30" t="s">
        <v>80</v>
      </c>
      <c r="F117" s="3"/>
      <c r="G117" s="3"/>
      <c r="H117" s="30" t="s">
        <v>42</v>
      </c>
      <c r="I117" s="30"/>
      <c r="J117" s="30" t="s">
        <v>40</v>
      </c>
      <c r="K117" s="3"/>
      <c r="L117" s="30" t="s">
        <v>42</v>
      </c>
      <c r="M117" s="86"/>
      <c r="N117" s="30" t="s">
        <v>40</v>
      </c>
      <c r="P117"/>
    </row>
    <row r="118" spans="1:17" x14ac:dyDescent="0.35">
      <c r="A118" s="406"/>
      <c r="E118" s="123"/>
      <c r="F118" s="121" t="s">
        <v>1393</v>
      </c>
      <c r="G118" s="123"/>
      <c r="H118" s="348">
        <f>G14</f>
        <v>7.9000000000000008E-3</v>
      </c>
      <c r="I118" s="54" t="s">
        <v>53</v>
      </c>
      <c r="J118" s="348">
        <f>G16</f>
        <v>7.9000000000000008E-3</v>
      </c>
      <c r="K118" s="54" t="s">
        <v>30</v>
      </c>
      <c r="L118" s="27">
        <f>H118-$J$119</f>
        <v>0</v>
      </c>
      <c r="M118" s="54" t="s">
        <v>1908</v>
      </c>
      <c r="N118" s="27">
        <f>J118-$J$119</f>
        <v>0</v>
      </c>
      <c r="O118" s="61" t="s">
        <v>1910</v>
      </c>
      <c r="P118"/>
    </row>
    <row r="119" spans="1:17" x14ac:dyDescent="0.35">
      <c r="B119" s="3"/>
      <c r="C119" s="3"/>
      <c r="D119" s="3"/>
      <c r="E119" s="123"/>
      <c r="F119" s="121" t="s">
        <v>445</v>
      </c>
      <c r="G119" s="36"/>
      <c r="H119" s="348">
        <f>G15</f>
        <v>7.9000000000000008E-3</v>
      </c>
      <c r="I119" s="54" t="s">
        <v>1127</v>
      </c>
      <c r="J119" s="348">
        <f>G17</f>
        <v>7.9000000000000008E-3</v>
      </c>
      <c r="K119" s="54" t="s">
        <v>1790</v>
      </c>
      <c r="L119" s="27">
        <f>H119-$J$119</f>
        <v>0</v>
      </c>
      <c r="M119" s="61" t="s">
        <v>1909</v>
      </c>
      <c r="N119" s="112"/>
      <c r="O119" s="61" t="s">
        <v>1911</v>
      </c>
      <c r="P119"/>
    </row>
    <row r="120" spans="1:17" x14ac:dyDescent="0.35">
      <c r="B120" s="3"/>
      <c r="C120" s="3"/>
      <c r="D120" s="3"/>
      <c r="E120" s="3"/>
      <c r="F120" s="3"/>
      <c r="G120" s="36"/>
      <c r="P120"/>
    </row>
    <row r="121" spans="1:17" x14ac:dyDescent="0.35">
      <c r="B121" s="3"/>
      <c r="E121" s="123"/>
      <c r="F121" s="123"/>
      <c r="G121" s="36"/>
      <c r="I121" s="120"/>
      <c r="J121" s="120"/>
      <c r="K121" s="3"/>
      <c r="L121" s="27"/>
      <c r="M121" s="61"/>
      <c r="N121" s="61"/>
      <c r="P121"/>
    </row>
    <row r="122" spans="1:17" ht="15" thickBot="1" x14ac:dyDescent="0.4">
      <c r="K122" s="100" t="s">
        <v>683</v>
      </c>
      <c r="L122" s="906">
        <f>I112</f>
        <v>0</v>
      </c>
      <c r="M122" s="54" t="s">
        <v>47</v>
      </c>
      <c r="P122"/>
    </row>
    <row r="123" spans="1:17" ht="15.5" thickTop="1" thickBot="1" x14ac:dyDescent="0.4">
      <c r="D123" s="1"/>
      <c r="E123" s="1"/>
      <c r="F123" s="1"/>
      <c r="L123" s="1307" t="s">
        <v>76</v>
      </c>
      <c r="M123" s="1308"/>
      <c r="N123" s="1309"/>
      <c r="P123"/>
    </row>
    <row r="124" spans="1:17" ht="15.5" thickTop="1" thickBot="1" x14ac:dyDescent="0.4">
      <c r="C124" s="70" t="s">
        <v>77</v>
      </c>
      <c r="D124" s="1"/>
      <c r="E124" s="1"/>
      <c r="F124" s="1"/>
      <c r="G124" s="118" t="s">
        <v>42</v>
      </c>
      <c r="H124" s="118" t="s">
        <v>40</v>
      </c>
      <c r="L124" s="30" t="s">
        <v>42</v>
      </c>
      <c r="M124" s="86"/>
      <c r="N124" s="30" t="s">
        <v>40</v>
      </c>
      <c r="P124"/>
    </row>
    <row r="125" spans="1:17" x14ac:dyDescent="0.35">
      <c r="D125" s="121"/>
      <c r="E125" s="122"/>
      <c r="F125" s="121" t="str">
        <f>F118</f>
        <v>On Peak</v>
      </c>
      <c r="G125" s="117" t="str">
        <f>CONCATENATE("X + ",L125)</f>
        <v>X + 0</v>
      </c>
      <c r="H125" s="116" t="str">
        <f>CONCATENATE("X + ",N125)</f>
        <v>X + 0</v>
      </c>
      <c r="L125" s="907">
        <f>ROUND(L118*(1+$L$122),4)</f>
        <v>0</v>
      </c>
      <c r="M125" s="61" t="s">
        <v>1914</v>
      </c>
      <c r="N125" s="223">
        <f>ROUND(N118*(1+$L$122),4)</f>
        <v>0</v>
      </c>
      <c r="O125" s="61" t="s">
        <v>1912</v>
      </c>
      <c r="P125"/>
    </row>
    <row r="126" spans="1:17" ht="15" thickBot="1" x14ac:dyDescent="0.4">
      <c r="C126" s="3"/>
      <c r="D126" s="2"/>
      <c r="E126" s="122"/>
      <c r="F126" s="121" t="str">
        <f>F119</f>
        <v>Off Peak</v>
      </c>
      <c r="G126" s="111" t="str">
        <f>CONCATENATE("X + ",L126)</f>
        <v>X + 0</v>
      </c>
      <c r="H126" s="350" t="s">
        <v>32</v>
      </c>
      <c r="L126" s="223">
        <f>ROUND(L119*(1+$L$122),4)</f>
        <v>0</v>
      </c>
      <c r="M126" s="61" t="s">
        <v>1915</v>
      </c>
      <c r="N126" s="223">
        <f>ROUND(N119*(1+$L$122),4)</f>
        <v>0</v>
      </c>
      <c r="O126" s="61" t="s">
        <v>1913</v>
      </c>
      <c r="P126"/>
    </row>
    <row r="127" spans="1:17" x14ac:dyDescent="0.35">
      <c r="D127" s="1"/>
      <c r="E127" s="1"/>
      <c r="F127" s="1"/>
      <c r="P127"/>
    </row>
    <row r="128" spans="1:17" x14ac:dyDescent="0.35">
      <c r="B128" s="406"/>
      <c r="D128" s="1"/>
      <c r="E128" s="1"/>
      <c r="F128" s="1"/>
      <c r="P128"/>
    </row>
    <row r="129" spans="2:17" x14ac:dyDescent="0.35">
      <c r="B129" s="334" t="s">
        <v>46</v>
      </c>
      <c r="P129"/>
    </row>
    <row r="130" spans="2:17" x14ac:dyDescent="0.35">
      <c r="B130" s="41" t="str">
        <f>$A$4</f>
        <v>SC13 Rate II</v>
      </c>
      <c r="P130"/>
    </row>
    <row r="131" spans="2:17" ht="15" thickBot="1" x14ac:dyDescent="0.4">
      <c r="B131" s="70" t="s">
        <v>414</v>
      </c>
      <c r="C131" s="70"/>
      <c r="D131" s="70"/>
      <c r="E131" s="3"/>
      <c r="F131" s="3"/>
      <c r="I131" s="69" t="s">
        <v>44</v>
      </c>
      <c r="J131" s="3"/>
      <c r="K131" s="3"/>
      <c r="P131"/>
    </row>
    <row r="132" spans="2:17" x14ac:dyDescent="0.35">
      <c r="B132" s="3"/>
      <c r="C132" s="3" t="s">
        <v>42</v>
      </c>
      <c r="D132" s="108" t="str">
        <f>CONCATENATE(D118,E118,F118," kWh")</f>
        <v>On Peak kWh</v>
      </c>
      <c r="I132" s="72">
        <f>U6+U16</f>
        <v>2922041</v>
      </c>
      <c r="J132" s="36" t="s">
        <v>39</v>
      </c>
      <c r="K132" s="74" t="str">
        <f>CONCATENATE("[",G125,"]")</f>
        <v>[X + 0]</v>
      </c>
      <c r="L132" s="61" t="s">
        <v>1917</v>
      </c>
      <c r="P132"/>
    </row>
    <row r="133" spans="2:17" x14ac:dyDescent="0.35">
      <c r="B133" s="3"/>
      <c r="C133" s="3" t="s">
        <v>42</v>
      </c>
      <c r="D133" s="108" t="str">
        <f>CONCATENATE(D119,E119,F119," kWh")</f>
        <v>Off Peak kWh</v>
      </c>
      <c r="I133" s="72">
        <f>U7+U17</f>
        <v>3586859</v>
      </c>
      <c r="J133" s="36" t="s">
        <v>39</v>
      </c>
      <c r="K133" s="107" t="str">
        <f>CONCATENATE("[",G126,"]")</f>
        <v>[X + 0]</v>
      </c>
      <c r="L133" s="61" t="s">
        <v>1918</v>
      </c>
      <c r="P133"/>
    </row>
    <row r="134" spans="2:17" x14ac:dyDescent="0.35">
      <c r="B134" s="3"/>
      <c r="C134" s="3" t="s">
        <v>40</v>
      </c>
      <c r="D134" s="3" t="str">
        <f>D132</f>
        <v>On Peak kWh</v>
      </c>
      <c r="I134" s="72">
        <f>U11+U21</f>
        <v>7883342</v>
      </c>
      <c r="J134" s="36" t="s">
        <v>39</v>
      </c>
      <c r="K134" s="73" t="str">
        <f>CONCATENATE("[",H125,"]")</f>
        <v>[X + 0]</v>
      </c>
      <c r="L134" s="61" t="s">
        <v>1919</v>
      </c>
      <c r="P134"/>
    </row>
    <row r="135" spans="2:17" ht="15" thickBot="1" x14ac:dyDescent="0.4">
      <c r="B135" s="3"/>
      <c r="C135" s="3" t="s">
        <v>40</v>
      </c>
      <c r="D135" s="3" t="str">
        <f>D133</f>
        <v>Off Peak kWh</v>
      </c>
      <c r="I135" s="67">
        <f>U12+U22</f>
        <v>8957958</v>
      </c>
      <c r="J135" s="36" t="s">
        <v>39</v>
      </c>
      <c r="K135" s="71" t="str">
        <f>CONCATENATE("[",H126,"]")</f>
        <v>[X]</v>
      </c>
      <c r="L135" s="61" t="s">
        <v>1920</v>
      </c>
      <c r="P135"/>
    </row>
    <row r="136" spans="2:17" x14ac:dyDescent="0.35">
      <c r="I136" s="366">
        <f>SUM(I132:I135)</f>
        <v>23350200</v>
      </c>
      <c r="J136" s="61" t="s">
        <v>1141</v>
      </c>
      <c r="Q136" s="1"/>
    </row>
    <row r="137" spans="2:17" x14ac:dyDescent="0.35">
      <c r="Q137" s="1"/>
    </row>
    <row r="138" spans="2:17" x14ac:dyDescent="0.35">
      <c r="B138" s="70" t="s">
        <v>472</v>
      </c>
      <c r="P138"/>
    </row>
    <row r="139" spans="2:17" x14ac:dyDescent="0.35">
      <c r="B139" s="41" t="str">
        <f>$A$4</f>
        <v>SC13 Rate II</v>
      </c>
      <c r="F139" s="3"/>
      <c r="G139" s="3"/>
      <c r="H139" s="3"/>
      <c r="I139" s="69" t="s">
        <v>44</v>
      </c>
      <c r="J139" s="3"/>
      <c r="K139" s="106"/>
      <c r="L139" s="3"/>
      <c r="M139" s="3"/>
      <c r="N139" s="17"/>
      <c r="P139"/>
    </row>
    <row r="140" spans="2:17" x14ac:dyDescent="0.35">
      <c r="C140" s="3" t="s">
        <v>42</v>
      </c>
      <c r="D140" s="392" t="str">
        <f>D132</f>
        <v>On Peak kWh</v>
      </c>
      <c r="H140" s="3"/>
      <c r="I140" s="105">
        <f>I132</f>
        <v>2922041</v>
      </c>
      <c r="J140" s="65" t="s">
        <v>63</v>
      </c>
      <c r="K140" s="26">
        <f>ROUND(I140*L125,0)</f>
        <v>0</v>
      </c>
      <c r="L140" s="3" t="s">
        <v>62</v>
      </c>
      <c r="M140" s="61" t="s">
        <v>1921</v>
      </c>
      <c r="N140" s="17"/>
      <c r="P140"/>
    </row>
    <row r="141" spans="2:17" x14ac:dyDescent="0.35">
      <c r="C141" s="3" t="s">
        <v>42</v>
      </c>
      <c r="D141" s="392" t="str">
        <f>D133</f>
        <v>Off Peak kWh</v>
      </c>
      <c r="H141" s="3"/>
      <c r="I141" s="105">
        <f>I133</f>
        <v>3586859</v>
      </c>
      <c r="J141" s="65" t="s">
        <v>63</v>
      </c>
      <c r="K141" s="26">
        <f>ROUND(I141*L126,0)</f>
        <v>0</v>
      </c>
      <c r="L141" s="3" t="s">
        <v>62</v>
      </c>
      <c r="M141" s="61" t="s">
        <v>1922</v>
      </c>
      <c r="N141" s="17"/>
      <c r="P141"/>
    </row>
    <row r="142" spans="2:17" x14ac:dyDescent="0.35">
      <c r="C142" s="3" t="s">
        <v>40</v>
      </c>
      <c r="D142" s="392" t="str">
        <f>D134</f>
        <v>On Peak kWh</v>
      </c>
      <c r="H142" s="3"/>
      <c r="I142" s="105">
        <f>I134</f>
        <v>7883342</v>
      </c>
      <c r="J142" s="65" t="s">
        <v>63</v>
      </c>
      <c r="K142" s="26">
        <f>ROUND(I142*N125,0)</f>
        <v>0</v>
      </c>
      <c r="L142" s="3" t="s">
        <v>62</v>
      </c>
      <c r="M142" s="61" t="s">
        <v>1923</v>
      </c>
      <c r="N142" s="17"/>
      <c r="P142"/>
    </row>
    <row r="143" spans="2:17" x14ac:dyDescent="0.35">
      <c r="C143" s="3" t="s">
        <v>40</v>
      </c>
      <c r="D143" s="392" t="str">
        <f>D135</f>
        <v>Off Peak kWh</v>
      </c>
      <c r="H143" s="3"/>
      <c r="I143" s="351">
        <f>I135</f>
        <v>8957958</v>
      </c>
      <c r="J143" s="65" t="s">
        <v>63</v>
      </c>
      <c r="K143" s="37">
        <f>ROUND(I143*N126,0)</f>
        <v>0</v>
      </c>
      <c r="L143" s="3" t="s">
        <v>62</v>
      </c>
      <c r="M143" s="61" t="s">
        <v>1924</v>
      </c>
      <c r="N143" s="17"/>
      <c r="P143"/>
    </row>
    <row r="144" spans="2:17" x14ac:dyDescent="0.35">
      <c r="C144" s="3"/>
      <c r="F144" s="66"/>
      <c r="G144" s="908">
        <f>I110</f>
        <v>184466</v>
      </c>
      <c r="H144" s="63" t="s">
        <v>31</v>
      </c>
      <c r="I144" s="28">
        <f>SUM(I140:I143)</f>
        <v>23350200</v>
      </c>
      <c r="J144" s="65" t="s">
        <v>63</v>
      </c>
      <c r="K144" s="103">
        <f>SUM(K140:K143)</f>
        <v>0</v>
      </c>
      <c r="L144" s="3" t="s">
        <v>1926</v>
      </c>
      <c r="M144" s="61" t="s">
        <v>1925</v>
      </c>
      <c r="N144" s="17"/>
      <c r="P144"/>
    </row>
    <row r="145" spans="1:16" x14ac:dyDescent="0.35">
      <c r="F145" s="3"/>
      <c r="G145" s="3"/>
      <c r="H145" s="3"/>
      <c r="I145" s="3"/>
      <c r="J145" s="3"/>
      <c r="K145" s="3"/>
      <c r="L145" s="3"/>
      <c r="M145" s="61" t="s">
        <v>1989</v>
      </c>
      <c r="N145" s="17"/>
      <c r="P145"/>
    </row>
    <row r="146" spans="1:16" x14ac:dyDescent="0.35">
      <c r="F146" s="34"/>
      <c r="G146" s="34">
        <f>G144-K144</f>
        <v>184466</v>
      </c>
      <c r="H146" s="63" t="s">
        <v>31</v>
      </c>
      <c r="I146" s="28">
        <f>I144</f>
        <v>23350200</v>
      </c>
      <c r="J146" s="65" t="s">
        <v>32</v>
      </c>
      <c r="K146" s="3"/>
      <c r="L146" s="3"/>
      <c r="M146" s="61" t="s">
        <v>1990</v>
      </c>
      <c r="N146" s="17"/>
      <c r="P146"/>
    </row>
    <row r="147" spans="1:16" ht="15" thickBot="1" x14ac:dyDescent="0.4">
      <c r="F147" s="3"/>
      <c r="G147" s="3"/>
      <c r="H147" s="3"/>
      <c r="I147" s="3"/>
      <c r="J147" s="3"/>
      <c r="K147" s="34"/>
      <c r="L147" s="34"/>
      <c r="M147" s="34"/>
      <c r="N147" s="17"/>
      <c r="P147"/>
    </row>
    <row r="148" spans="1:16" ht="15.5" thickTop="1" thickBot="1" x14ac:dyDescent="0.4">
      <c r="F148" s="64"/>
      <c r="G148" s="101" t="s">
        <v>32</v>
      </c>
      <c r="H148" s="63" t="s">
        <v>31</v>
      </c>
      <c r="I148" s="983">
        <f>ROUND(G146/I146,4)</f>
        <v>7.9000000000000008E-3</v>
      </c>
      <c r="J148" s="61" t="s">
        <v>1916</v>
      </c>
      <c r="K148" s="143"/>
      <c r="L148" s="34"/>
      <c r="M148" s="61" t="s">
        <v>1991</v>
      </c>
      <c r="N148" s="17"/>
      <c r="P148"/>
    </row>
    <row r="149" spans="1:16" ht="15" thickTop="1" x14ac:dyDescent="0.35">
      <c r="A149" s="42"/>
      <c r="B149" s="41"/>
      <c r="C149" s="3"/>
      <c r="D149" s="3"/>
      <c r="E149" s="3"/>
      <c r="F149" s="3"/>
      <c r="G149" s="3"/>
      <c r="H149" s="3"/>
      <c r="I149" s="3"/>
    </row>
    <row r="150" spans="1:16" x14ac:dyDescent="0.35">
      <c r="B150" s="334" t="str">
        <f>CONCATENATE($A$4," at Proposed Energy Rates")</f>
        <v>SC13 Rate II at Proposed Energy Rates</v>
      </c>
      <c r="P150"/>
    </row>
    <row r="151" spans="1:16" ht="15" thickBot="1" x14ac:dyDescent="0.4">
      <c r="B151" s="42"/>
      <c r="P151"/>
    </row>
    <row r="152" spans="1:16" ht="15" thickBot="1" x14ac:dyDescent="0.4">
      <c r="C152" s="60" t="s">
        <v>5</v>
      </c>
      <c r="D152" s="982">
        <f>$L$4</f>
        <v>2020</v>
      </c>
      <c r="E152" s="58"/>
      <c r="F152" s="58"/>
      <c r="G152" s="59"/>
      <c r="H152" s="59"/>
      <c r="I152" s="59"/>
      <c r="J152" s="59"/>
      <c r="K152" s="98"/>
      <c r="L152" s="3"/>
      <c r="M152" s="3"/>
      <c r="N152" s="17"/>
      <c r="O152" s="3"/>
      <c r="P152"/>
    </row>
    <row r="153" spans="1:16" ht="15.5" thickTop="1" thickBot="1" x14ac:dyDescent="0.4">
      <c r="C153" s="96"/>
      <c r="D153" s="44"/>
      <c r="E153" s="44"/>
      <c r="F153" s="44"/>
      <c r="G153" s="44"/>
      <c r="H153" s="1313" t="s">
        <v>668</v>
      </c>
      <c r="I153" s="1314"/>
      <c r="J153" s="1315"/>
      <c r="K153" s="94"/>
      <c r="L153" s="3"/>
      <c r="M153" s="1307" t="s">
        <v>471</v>
      </c>
      <c r="N153" s="1308"/>
      <c r="O153" s="1309"/>
      <c r="P153"/>
    </row>
    <row r="154" spans="1:16" ht="15" thickTop="1" x14ac:dyDescent="0.35">
      <c r="C154" s="96"/>
      <c r="D154" s="44"/>
      <c r="E154" s="44"/>
      <c r="F154" s="44"/>
      <c r="G154" s="44"/>
      <c r="H154" s="56" t="s">
        <v>10</v>
      </c>
      <c r="I154" s="44"/>
      <c r="J154" s="56" t="s">
        <v>7</v>
      </c>
      <c r="K154" s="94"/>
      <c r="L154" s="3"/>
      <c r="M154" s="56" t="s">
        <v>10</v>
      </c>
      <c r="N154" s="44"/>
      <c r="O154" s="56" t="s">
        <v>7</v>
      </c>
      <c r="P154"/>
    </row>
    <row r="155" spans="1:16" x14ac:dyDescent="0.35">
      <c r="C155" s="96"/>
      <c r="D155" s="355"/>
      <c r="E155" s="356"/>
      <c r="F155" s="355" t="str">
        <f>$F$125</f>
        <v>On Peak</v>
      </c>
      <c r="G155" s="44"/>
      <c r="H155" s="357">
        <f>$I$148+L125</f>
        <v>7.9000000000000008E-3</v>
      </c>
      <c r="I155" s="358" t="s">
        <v>1999</v>
      </c>
      <c r="J155" s="357">
        <f>$I$148+N125</f>
        <v>7.9000000000000008E-3</v>
      </c>
      <c r="K155" s="359" t="s">
        <v>2001</v>
      </c>
      <c r="L155" s="3"/>
      <c r="M155" s="81">
        <f>ROUND(H155/H118-1,4)</f>
        <v>0</v>
      </c>
      <c r="N155" s="358" t="s">
        <v>1993</v>
      </c>
      <c r="O155" s="81">
        <f>ROUND(J155/J118-1,4)</f>
        <v>0</v>
      </c>
      <c r="P155" s="358" t="s">
        <v>1995</v>
      </c>
    </row>
    <row r="156" spans="1:16" x14ac:dyDescent="0.35">
      <c r="C156" s="96"/>
      <c r="D156" s="360"/>
      <c r="E156" s="356"/>
      <c r="F156" s="355" t="str">
        <f>$F$126</f>
        <v>Off Peak</v>
      </c>
      <c r="G156" s="44"/>
      <c r="H156" s="357">
        <f>$I$148+L126</f>
        <v>7.9000000000000008E-3</v>
      </c>
      <c r="I156" s="358" t="s">
        <v>2000</v>
      </c>
      <c r="J156" s="357">
        <f>$I$148+N126</f>
        <v>7.9000000000000008E-3</v>
      </c>
      <c r="K156" s="359" t="s">
        <v>2002</v>
      </c>
      <c r="L156" s="3"/>
      <c r="M156" s="81">
        <f>ROUND(H156/H119-1,4)</f>
        <v>0</v>
      </c>
      <c r="N156" s="358" t="s">
        <v>1994</v>
      </c>
      <c r="O156" s="81">
        <f>ROUND(J156/J119-1,4)</f>
        <v>0</v>
      </c>
      <c r="P156" s="358" t="s">
        <v>1996</v>
      </c>
    </row>
    <row r="157" spans="1:16" ht="15" thickBot="1" x14ac:dyDescent="0.4">
      <c r="C157" s="93"/>
      <c r="D157" s="46"/>
      <c r="E157" s="46"/>
      <c r="F157" s="46"/>
      <c r="G157" s="46"/>
      <c r="H157" s="46"/>
      <c r="I157" s="46"/>
      <c r="J157" s="46"/>
      <c r="K157" s="91"/>
      <c r="L157" s="3"/>
      <c r="M157" s="81"/>
      <c r="N157" s="3"/>
      <c r="O157" s="81"/>
      <c r="P157"/>
    </row>
    <row r="158" spans="1:16" x14ac:dyDescent="0.35">
      <c r="A158" s="42"/>
      <c r="B158" s="41"/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41"/>
      <c r="C159" s="3"/>
      <c r="D159" s="3"/>
      <c r="E159" s="3"/>
      <c r="F159" s="3"/>
      <c r="G159" s="3"/>
      <c r="H159" s="3"/>
      <c r="I159" s="3"/>
    </row>
    <row r="160" spans="1:16" x14ac:dyDescent="0.35">
      <c r="A160" s="334" t="s">
        <v>1873</v>
      </c>
      <c r="B160" s="410"/>
      <c r="C160" s="410"/>
      <c r="D160" s="410"/>
      <c r="E160" s="410"/>
      <c r="F160" s="410"/>
      <c r="G160" s="410"/>
      <c r="H160" s="3"/>
      <c r="I160" s="3"/>
      <c r="P160"/>
    </row>
    <row r="161" spans="1:16" x14ac:dyDescent="0.35">
      <c r="A161" s="334"/>
      <c r="B161" s="410"/>
      <c r="C161" s="410"/>
      <c r="D161" s="410"/>
      <c r="E161" s="410"/>
      <c r="F161" s="410"/>
      <c r="G161" s="3"/>
      <c r="H161" s="3"/>
      <c r="I161" s="3"/>
      <c r="P161"/>
    </row>
    <row r="162" spans="1:16" x14ac:dyDescent="0.35">
      <c r="A162" s="410"/>
      <c r="B162" s="334" t="str">
        <f>CONCATENATE($A$4," at Proposed Demand Rates")</f>
        <v>SC13 Rate II at Proposed Demand Rates</v>
      </c>
      <c r="C162" s="410"/>
      <c r="L162" s="3"/>
      <c r="M162" s="462" t="s">
        <v>10</v>
      </c>
      <c r="N162" s="3"/>
      <c r="O162" s="3"/>
      <c r="P162" s="2"/>
    </row>
    <row r="163" spans="1:16" x14ac:dyDescent="0.35">
      <c r="A163" s="410"/>
      <c r="B163" s="410"/>
      <c r="C163" s="410"/>
      <c r="D163" s="410"/>
      <c r="E163" s="410"/>
      <c r="F163" s="410"/>
      <c r="G163" s="392"/>
      <c r="H163" s="834" t="s">
        <v>26</v>
      </c>
      <c r="I163" s="30" t="s">
        <v>25</v>
      </c>
      <c r="J163" s="3"/>
      <c r="K163" s="30" t="s">
        <v>11</v>
      </c>
      <c r="L163" s="3"/>
      <c r="M163" s="30" t="s">
        <v>6</v>
      </c>
      <c r="N163" s="3"/>
      <c r="O163" s="3"/>
      <c r="P163" s="2"/>
    </row>
    <row r="164" spans="1:16" x14ac:dyDescent="0.35">
      <c r="B164" s="3" t="s">
        <v>656</v>
      </c>
      <c r="C164" s="31" t="s">
        <v>667</v>
      </c>
      <c r="D164" s="1158" t="s">
        <v>1174</v>
      </c>
      <c r="E164" s="1158"/>
      <c r="F164" s="410"/>
      <c r="G164" s="1133" t="s">
        <v>2211</v>
      </c>
      <c r="H164" s="1159">
        <f>$Y$7+$AA$7</f>
        <v>4</v>
      </c>
      <c r="I164" s="3"/>
      <c r="K164" s="1157">
        <f>H102</f>
        <v>143.09</v>
      </c>
      <c r="L164" s="3"/>
      <c r="M164" s="1164">
        <f>ROUND(H164*K164,0)</f>
        <v>572</v>
      </c>
      <c r="N164" s="3"/>
      <c r="O164" s="3"/>
      <c r="P164" s="2"/>
    </row>
    <row r="165" spans="1:16" x14ac:dyDescent="0.35">
      <c r="B165" s="3"/>
      <c r="C165" s="3" t="s">
        <v>42</v>
      </c>
      <c r="D165" s="56" t="str">
        <f>$C$63</f>
        <v>D1</v>
      </c>
      <c r="E165" s="36"/>
      <c r="F165" s="56" t="str">
        <f>$D$63</f>
        <v>8-6</v>
      </c>
      <c r="G165" s="3"/>
      <c r="H165" s="3"/>
      <c r="I165" s="29">
        <f>I71</f>
        <v>37300</v>
      </c>
      <c r="J165" s="3"/>
      <c r="K165" s="35">
        <f>H98</f>
        <v>6.02</v>
      </c>
      <c r="L165" s="3"/>
      <c r="M165" s="26">
        <f>ROUND(K165*I165,0)</f>
        <v>224546</v>
      </c>
      <c r="N165" s="3"/>
      <c r="O165" s="3"/>
      <c r="P165" s="2"/>
    </row>
    <row r="166" spans="1:16" x14ac:dyDescent="0.35">
      <c r="B166" s="3"/>
      <c r="C166" s="3"/>
      <c r="D166" s="56" t="str">
        <f>$C$64</f>
        <v>D2</v>
      </c>
      <c r="E166" s="36"/>
      <c r="F166" s="56" t="str">
        <f>$D$64</f>
        <v>8-10</v>
      </c>
      <c r="G166" s="3"/>
      <c r="H166" s="3"/>
      <c r="I166" s="29">
        <f>I73</f>
        <v>39440</v>
      </c>
      <c r="J166" s="3"/>
      <c r="K166" s="35">
        <f>H99</f>
        <v>13.469999999999999</v>
      </c>
      <c r="L166" s="3"/>
      <c r="M166" s="26">
        <f>ROUND(K166*I166,0)</f>
        <v>531257</v>
      </c>
      <c r="N166" s="3"/>
      <c r="O166" s="3"/>
      <c r="P166" s="2"/>
    </row>
    <row r="167" spans="1:16" x14ac:dyDescent="0.35">
      <c r="B167" s="3"/>
      <c r="C167" s="3"/>
      <c r="D167" s="56" t="str">
        <f>$C$65</f>
        <v>D3</v>
      </c>
      <c r="E167" s="36"/>
      <c r="F167" s="56" t="str">
        <f>$D$65</f>
        <v>All Day</v>
      </c>
      <c r="G167" s="3"/>
      <c r="H167" s="3"/>
      <c r="I167" s="38">
        <f>I75</f>
        <v>0</v>
      </c>
      <c r="J167" s="3"/>
      <c r="K167" s="35">
        <f>H100</f>
        <v>0</v>
      </c>
      <c r="L167" s="3"/>
      <c r="M167" s="37">
        <f>ROUND(K167*I167,0)</f>
        <v>0</v>
      </c>
      <c r="N167" s="3"/>
      <c r="O167" s="3"/>
      <c r="P167" s="2"/>
    </row>
    <row r="168" spans="1:16" x14ac:dyDescent="0.35">
      <c r="B168" s="3"/>
      <c r="C168" s="3"/>
      <c r="D168" s="36"/>
      <c r="E168" s="36"/>
      <c r="F168" s="36"/>
      <c r="G168" s="3"/>
      <c r="H168" s="3"/>
      <c r="I168" s="28">
        <f>I165+I166+I167</f>
        <v>76740</v>
      </c>
      <c r="J168" s="3"/>
      <c r="K168" s="35"/>
      <c r="L168" s="3"/>
      <c r="M168" s="832">
        <f>M164+M165+M166+M167</f>
        <v>756375</v>
      </c>
      <c r="N168" s="34"/>
      <c r="O168" s="36" t="s">
        <v>10</v>
      </c>
      <c r="P168" s="2"/>
    </row>
    <row r="169" spans="1:16" x14ac:dyDescent="0.35">
      <c r="B169" s="3"/>
      <c r="C169" s="3"/>
      <c r="D169" s="36"/>
      <c r="E169" s="36"/>
      <c r="F169" s="36"/>
      <c r="G169" s="28"/>
      <c r="H169" s="3"/>
      <c r="I169" s="28"/>
      <c r="J169" s="3"/>
      <c r="K169" s="35"/>
      <c r="L169" s="33" t="s">
        <v>22</v>
      </c>
      <c r="M169" s="34">
        <f>ROUND(M168*(O169-1),0)</f>
        <v>9016</v>
      </c>
      <c r="N169" s="33" t="s">
        <v>23</v>
      </c>
      <c r="O169" s="40">
        <f>L10</f>
        <v>1.0119199999999999</v>
      </c>
      <c r="P169" s="2"/>
    </row>
    <row r="170" spans="1:16" x14ac:dyDescent="0.35">
      <c r="B170" s="3"/>
      <c r="C170" s="3"/>
      <c r="D170" s="36"/>
      <c r="E170" s="36"/>
      <c r="F170" s="36"/>
      <c r="G170" s="28"/>
      <c r="H170" s="3"/>
      <c r="I170" s="28"/>
      <c r="J170" s="3"/>
      <c r="K170" s="35"/>
      <c r="L170" s="33" t="s">
        <v>21</v>
      </c>
      <c r="M170" s="32">
        <f>M168+M169</f>
        <v>765391</v>
      </c>
      <c r="N170" s="8"/>
      <c r="O170" s="3"/>
      <c r="P170" s="2"/>
    </row>
    <row r="171" spans="1:16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</row>
    <row r="172" spans="1:16" x14ac:dyDescent="0.35">
      <c r="B172" s="3"/>
      <c r="C172" s="3"/>
      <c r="L172" s="3"/>
      <c r="M172" s="462" t="s">
        <v>7</v>
      </c>
      <c r="N172" s="3"/>
      <c r="O172" s="3"/>
      <c r="P172" s="2"/>
    </row>
    <row r="173" spans="1:16" x14ac:dyDescent="0.35">
      <c r="B173" s="3"/>
      <c r="C173" s="3"/>
      <c r="D173" s="3"/>
      <c r="E173" s="3"/>
      <c r="F173" s="3"/>
      <c r="G173" s="392"/>
      <c r="H173" s="834" t="s">
        <v>26</v>
      </c>
      <c r="I173" s="30" t="s">
        <v>25</v>
      </c>
      <c r="J173" s="3"/>
      <c r="K173" s="30" t="s">
        <v>11</v>
      </c>
      <c r="L173" s="3"/>
      <c r="M173" s="30" t="s">
        <v>6</v>
      </c>
      <c r="N173" s="3"/>
      <c r="O173" s="3"/>
      <c r="P173" s="2"/>
    </row>
    <row r="174" spans="1:16" x14ac:dyDescent="0.35">
      <c r="B174" s="3"/>
      <c r="C174" s="3"/>
      <c r="D174" s="1158" t="s">
        <v>1174</v>
      </c>
      <c r="E174" s="1158"/>
      <c r="F174" s="3"/>
      <c r="G174" s="1133" t="s">
        <v>2211</v>
      </c>
      <c r="H174" s="1159">
        <f>$Z$7+$AB$7</f>
        <v>8</v>
      </c>
      <c r="I174" s="3"/>
      <c r="J174" s="3"/>
      <c r="K174" s="1157">
        <f>J102</f>
        <v>143.09</v>
      </c>
      <c r="L174" s="3"/>
      <c r="M174" s="1164">
        <f>ROUND(H174*K174,0)</f>
        <v>1145</v>
      </c>
      <c r="N174" s="3"/>
      <c r="O174" s="3"/>
      <c r="P174" s="2"/>
    </row>
    <row r="175" spans="1:16" x14ac:dyDescent="0.35">
      <c r="B175" s="3"/>
      <c r="C175" s="3" t="s">
        <v>40</v>
      </c>
      <c r="D175" s="56" t="str">
        <f>$C$63</f>
        <v>D1</v>
      </c>
      <c r="E175" s="36"/>
      <c r="F175" s="56" t="str">
        <f>$D$63</f>
        <v>8-6</v>
      </c>
      <c r="G175" s="3"/>
      <c r="H175" s="3"/>
      <c r="I175" s="29">
        <f>I72</f>
        <v>0</v>
      </c>
      <c r="J175" s="3"/>
      <c r="K175" s="35">
        <f>J98</f>
        <v>0</v>
      </c>
      <c r="L175" s="3"/>
      <c r="M175" s="26">
        <f>ROUND(K175*I175,0)</f>
        <v>0</v>
      </c>
      <c r="N175" s="3"/>
      <c r="O175" s="3"/>
      <c r="P175" s="2"/>
    </row>
    <row r="176" spans="1:16" x14ac:dyDescent="0.35">
      <c r="B176" s="3"/>
      <c r="C176" s="3"/>
      <c r="D176" s="56" t="str">
        <f>$C$64</f>
        <v>D2</v>
      </c>
      <c r="E176" s="36"/>
      <c r="F176" s="56" t="str">
        <f>$D$64</f>
        <v>8-10</v>
      </c>
      <c r="G176" s="3"/>
      <c r="H176" s="3"/>
      <c r="I176" s="29">
        <f>I74</f>
        <v>133680</v>
      </c>
      <c r="J176" s="3"/>
      <c r="K176" s="35">
        <f>J99</f>
        <v>8.2899999999999991</v>
      </c>
      <c r="L176" s="3"/>
      <c r="M176" s="26">
        <f>ROUND(K176*I176,0)</f>
        <v>1108207</v>
      </c>
      <c r="N176" s="3"/>
      <c r="O176" s="3"/>
      <c r="P176" s="2"/>
    </row>
    <row r="177" spans="1:17" x14ac:dyDescent="0.35">
      <c r="B177" s="3"/>
      <c r="C177" s="3"/>
      <c r="D177" s="56" t="str">
        <f>$C$65</f>
        <v>D3</v>
      </c>
      <c r="E177" s="36"/>
      <c r="F177" s="56" t="str">
        <f>$D$65</f>
        <v>All Day</v>
      </c>
      <c r="G177" s="3"/>
      <c r="H177" s="3"/>
      <c r="I177" s="38">
        <f>I76</f>
        <v>0</v>
      </c>
      <c r="J177" s="3"/>
      <c r="K177" s="35">
        <f>J100</f>
        <v>0</v>
      </c>
      <c r="L177" s="3"/>
      <c r="M177" s="37">
        <f>ROUND(K177*I177,0)</f>
        <v>0</v>
      </c>
      <c r="N177" s="3"/>
      <c r="O177" s="3"/>
      <c r="P177" s="2"/>
    </row>
    <row r="178" spans="1:17" x14ac:dyDescent="0.35">
      <c r="B178" s="3"/>
      <c r="C178" s="3"/>
      <c r="D178" s="36"/>
      <c r="E178" s="36"/>
      <c r="F178" s="36"/>
      <c r="G178" s="3"/>
      <c r="H178" s="3"/>
      <c r="I178" s="28">
        <f>I175+I176+I177</f>
        <v>133680</v>
      </c>
      <c r="J178" s="3"/>
      <c r="K178" s="35"/>
      <c r="L178" s="3"/>
      <c r="M178" s="832">
        <f>M174+M175+M176+M177</f>
        <v>1109352</v>
      </c>
      <c r="N178" s="3"/>
      <c r="O178" s="36" t="s">
        <v>7</v>
      </c>
      <c r="P178" s="2"/>
    </row>
    <row r="179" spans="1:17" x14ac:dyDescent="0.35">
      <c r="B179" s="3"/>
      <c r="C179" s="3"/>
      <c r="D179" s="36"/>
      <c r="E179" s="36"/>
      <c r="F179" s="36"/>
      <c r="G179" s="3"/>
      <c r="H179" s="3"/>
      <c r="I179" s="28"/>
      <c r="J179" s="3"/>
      <c r="K179" s="35"/>
      <c r="L179" s="33" t="s">
        <v>22</v>
      </c>
      <c r="M179" s="34">
        <f>ROUND(M178*(O179-1),0)</f>
        <v>11837</v>
      </c>
      <c r="N179" s="33" t="s">
        <v>23</v>
      </c>
      <c r="O179" s="40">
        <f>L11</f>
        <v>1.01067</v>
      </c>
      <c r="P179" s="2"/>
    </row>
    <row r="180" spans="1:17" x14ac:dyDescent="0.35">
      <c r="B180" s="3"/>
      <c r="C180" s="3"/>
      <c r="D180" s="36"/>
      <c r="E180" s="36"/>
      <c r="F180" s="36"/>
      <c r="G180" s="28"/>
      <c r="H180" s="3"/>
      <c r="I180" s="28"/>
      <c r="J180" s="3"/>
      <c r="K180" s="35"/>
      <c r="L180" s="33" t="s">
        <v>21</v>
      </c>
      <c r="M180" s="32">
        <f>M178+M179</f>
        <v>1121189</v>
      </c>
      <c r="N180" s="8"/>
      <c r="O180" s="3"/>
      <c r="P180" s="2"/>
    </row>
    <row r="181" spans="1:17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"/>
    </row>
    <row r="182" spans="1:17" x14ac:dyDescent="0.35">
      <c r="A182" s="406"/>
      <c r="B182" s="410"/>
      <c r="C182" s="837" t="str">
        <f>CONCATENATE($A$4," - Annual Demand Revenue Price-Out at Proposed Rates - Incl. EDB:")</f>
        <v>SC13 Rate II - Annual Demand Revenue Price-Out at Proposed Rates - Incl. EDB:</v>
      </c>
      <c r="D182" s="410"/>
      <c r="E182" s="410"/>
      <c r="F182" s="410"/>
      <c r="G182" s="410"/>
      <c r="H182" s="3"/>
      <c r="I182" s="3"/>
      <c r="J182" s="3"/>
      <c r="K182" s="3"/>
      <c r="L182" s="3"/>
      <c r="M182" s="32">
        <f>M170+M180</f>
        <v>1886580</v>
      </c>
      <c r="N182" s="468"/>
      <c r="O182" s="3"/>
      <c r="P182" s="2"/>
    </row>
    <row r="183" spans="1:17" x14ac:dyDescent="0.35">
      <c r="A183" s="406"/>
      <c r="B183" s="410"/>
      <c r="C183" s="410"/>
      <c r="D183" s="410"/>
      <c r="E183" s="410"/>
      <c r="F183" s="410"/>
      <c r="G183" s="410"/>
      <c r="H183" s="3"/>
      <c r="I183" s="3"/>
      <c r="J183" s="3"/>
      <c r="K183" s="3"/>
      <c r="L183" s="3"/>
      <c r="M183" s="26"/>
      <c r="N183" s="17"/>
      <c r="O183" s="3"/>
      <c r="P183" s="2"/>
    </row>
    <row r="184" spans="1:17" x14ac:dyDescent="0.35">
      <c r="A184" s="406"/>
      <c r="B184" s="410"/>
      <c r="C184" s="410"/>
      <c r="D184" s="410"/>
      <c r="E184" s="410"/>
      <c r="F184" s="410"/>
      <c r="G184" s="410"/>
      <c r="H184" s="3"/>
      <c r="I184" s="3"/>
      <c r="J184" s="3"/>
      <c r="K184" s="3"/>
      <c r="L184" s="3"/>
      <c r="M184" s="26"/>
      <c r="N184" s="17"/>
      <c r="O184" s="3"/>
      <c r="P184" s="2"/>
    </row>
    <row r="185" spans="1:17" ht="15" thickBot="1" x14ac:dyDescent="0.4">
      <c r="A185" s="334"/>
      <c r="B185" s="334" t="str">
        <f>CONCATENATE($A$4," at Proposed Energy Rates")</f>
        <v>SC13 Rate II at Proposed Energy Rates</v>
      </c>
      <c r="C185" s="410"/>
      <c r="D185" s="410"/>
      <c r="E185" s="410"/>
      <c r="F185" s="410"/>
      <c r="G185" s="410"/>
      <c r="H185" s="3"/>
      <c r="I185" s="3"/>
      <c r="K185" s="367" t="s">
        <v>426</v>
      </c>
      <c r="L185" s="368">
        <f>$L$10</f>
        <v>1.0119199999999999</v>
      </c>
      <c r="N185" s="344" t="str">
        <f>$A$4</f>
        <v>SC13 Rate II</v>
      </c>
      <c r="P185"/>
      <c r="Q185" s="1"/>
    </row>
    <row r="186" spans="1:17" ht="15.5" thickTop="1" thickBot="1" x14ac:dyDescent="0.4">
      <c r="A186" s="406"/>
      <c r="B186" s="407"/>
      <c r="C186" s="406"/>
      <c r="D186" s="406"/>
      <c r="E186" s="406"/>
      <c r="F186" s="406"/>
      <c r="G186" s="406"/>
      <c r="H186" s="1307" t="s">
        <v>417</v>
      </c>
      <c r="I186" s="1308"/>
      <c r="J186" s="1309"/>
      <c r="L186" s="463" t="s">
        <v>475</v>
      </c>
      <c r="N186" s="369" t="s">
        <v>42</v>
      </c>
      <c r="P186"/>
      <c r="Q186" s="1"/>
    </row>
    <row r="187" spans="1:17" ht="15" thickTop="1" x14ac:dyDescent="0.35">
      <c r="A187" s="406"/>
      <c r="B187" s="410"/>
      <c r="C187" s="406"/>
      <c r="D187" s="406"/>
      <c r="E187" s="406"/>
      <c r="F187" s="406"/>
      <c r="G187" s="406"/>
      <c r="H187" s="30" t="s">
        <v>416</v>
      </c>
      <c r="I187" s="30" t="s">
        <v>674</v>
      </c>
      <c r="J187" s="36" t="s">
        <v>676</v>
      </c>
      <c r="L187" s="30" t="s">
        <v>425</v>
      </c>
      <c r="N187" s="36" t="s">
        <v>675</v>
      </c>
      <c r="P187"/>
      <c r="Q187" s="1"/>
    </row>
    <row r="188" spans="1:17" x14ac:dyDescent="0.35">
      <c r="A188" s="406"/>
      <c r="B188" s="407" t="s">
        <v>42</v>
      </c>
      <c r="C188" s="978" t="str">
        <f>$F$125</f>
        <v>On Peak</v>
      </c>
      <c r="D188" s="979"/>
      <c r="E188" s="980"/>
      <c r="F188" s="406"/>
      <c r="G188" s="406"/>
      <c r="H188" s="223">
        <f>H155</f>
        <v>7.9000000000000008E-3</v>
      </c>
      <c r="I188" s="105">
        <f>I140</f>
        <v>2922041</v>
      </c>
      <c r="J188" s="26">
        <f>ROUND(H188*I188,0)</f>
        <v>23084</v>
      </c>
      <c r="L188" s="397"/>
      <c r="N188" s="26">
        <f>J188+L188</f>
        <v>23084</v>
      </c>
      <c r="P188"/>
      <c r="Q188" s="1"/>
    </row>
    <row r="189" spans="1:17" x14ac:dyDescent="0.35">
      <c r="A189" s="406"/>
      <c r="B189" s="406"/>
      <c r="C189" s="978" t="str">
        <f>$F$126</f>
        <v>Off Peak</v>
      </c>
      <c r="D189" s="272"/>
      <c r="E189" s="980"/>
      <c r="F189" s="406"/>
      <c r="G189" s="406"/>
      <c r="H189" s="223">
        <f>H156</f>
        <v>7.9000000000000008E-3</v>
      </c>
      <c r="I189" s="105">
        <f>I141</f>
        <v>3586859</v>
      </c>
      <c r="J189" s="26">
        <f>ROUND(H189*I189,0)</f>
        <v>28336</v>
      </c>
      <c r="L189" s="397"/>
      <c r="N189" s="26">
        <f>J189+L189</f>
        <v>28336</v>
      </c>
      <c r="P189"/>
      <c r="Q189" s="1"/>
    </row>
    <row r="190" spans="1:17" x14ac:dyDescent="0.35">
      <c r="A190" s="406"/>
      <c r="B190" s="406"/>
      <c r="C190" s="410" t="s">
        <v>420</v>
      </c>
      <c r="D190" s="410"/>
      <c r="E190" s="410"/>
      <c r="F190" s="410"/>
      <c r="G190" s="406"/>
      <c r="H190" s="223"/>
      <c r="I190" s="223"/>
      <c r="J190" s="32">
        <f>SUM(J188:J189)</f>
        <v>51420</v>
      </c>
      <c r="L190" s="32">
        <f>SUM(L188:L189)</f>
        <v>0</v>
      </c>
      <c r="N190" s="32">
        <f>SUM(N188:N189)</f>
        <v>51420</v>
      </c>
      <c r="P190"/>
      <c r="Q190" s="1"/>
    </row>
    <row r="191" spans="1:17" s="1" customFormat="1" x14ac:dyDescent="0.35">
      <c r="A191" s="464"/>
      <c r="B191" s="464"/>
      <c r="C191" s="392"/>
      <c r="D191" s="979"/>
      <c r="E191" s="979"/>
      <c r="F191" s="981"/>
      <c r="G191" s="464"/>
      <c r="H191" s="223"/>
      <c r="I191" s="362"/>
      <c r="J191" s="395"/>
      <c r="K191"/>
    </row>
    <row r="192" spans="1:17" s="1" customFormat="1" ht="15" thickBot="1" x14ac:dyDescent="0.4">
      <c r="A192" s="464"/>
      <c r="B192" s="464"/>
      <c r="C192" s="392"/>
      <c r="D192" s="979"/>
      <c r="E192" s="979"/>
      <c r="F192" s="981"/>
      <c r="G192" s="464"/>
      <c r="H192" s="223"/>
      <c r="I192" s="362"/>
      <c r="J192" s="223"/>
      <c r="K192"/>
      <c r="L192" s="368">
        <f>$L$11</f>
        <v>1.01067</v>
      </c>
    </row>
    <row r="193" spans="1:18" s="1" customFormat="1" ht="15.5" thickTop="1" thickBot="1" x14ac:dyDescent="0.4">
      <c r="A193" s="464"/>
      <c r="B193" s="464"/>
      <c r="C193" s="392"/>
      <c r="D193" s="979"/>
      <c r="E193" s="979"/>
      <c r="F193" s="981"/>
      <c r="G193" s="464"/>
      <c r="H193" s="1307" t="s">
        <v>417</v>
      </c>
      <c r="I193" s="1308"/>
      <c r="J193" s="1309"/>
      <c r="K193"/>
      <c r="L193" s="463" t="s">
        <v>475</v>
      </c>
      <c r="N193" s="369" t="s">
        <v>40</v>
      </c>
    </row>
    <row r="194" spans="1:18" s="1" customFormat="1" ht="15" thickTop="1" x14ac:dyDescent="0.35">
      <c r="A194" s="464"/>
      <c r="B194" s="464"/>
      <c r="C194" s="392"/>
      <c r="D194" s="979"/>
      <c r="E194" s="979"/>
      <c r="F194" s="981"/>
      <c r="G194" s="464"/>
      <c r="H194" s="30" t="s">
        <v>416</v>
      </c>
      <c r="I194" s="30" t="s">
        <v>674</v>
      </c>
      <c r="J194" s="36" t="s">
        <v>676</v>
      </c>
      <c r="K194"/>
      <c r="L194" s="30" t="s">
        <v>425</v>
      </c>
      <c r="N194" s="36" t="s">
        <v>675</v>
      </c>
    </row>
    <row r="195" spans="1:18" s="1" customFormat="1" x14ac:dyDescent="0.35">
      <c r="A195" s="464"/>
      <c r="B195" s="407" t="s">
        <v>40</v>
      </c>
      <c r="C195" s="978" t="str">
        <f>$F$125</f>
        <v>On Peak</v>
      </c>
      <c r="D195" s="979"/>
      <c r="E195" s="980"/>
      <c r="F195" s="464"/>
      <c r="G195" s="464"/>
      <c r="H195" s="223">
        <f>J155</f>
        <v>7.9000000000000008E-3</v>
      </c>
      <c r="I195" s="105">
        <f>I142</f>
        <v>7883342</v>
      </c>
      <c r="J195" s="26">
        <f>ROUND(H195*I195,0)</f>
        <v>62278</v>
      </c>
      <c r="K195"/>
      <c r="L195" s="397"/>
      <c r="N195" s="26">
        <f>J195+L195</f>
        <v>62278</v>
      </c>
    </row>
    <row r="196" spans="1:18" s="1" customFormat="1" x14ac:dyDescent="0.35">
      <c r="A196" s="464"/>
      <c r="B196" s="406"/>
      <c r="C196" s="978" t="str">
        <f>$F$126</f>
        <v>Off Peak</v>
      </c>
      <c r="D196" s="272"/>
      <c r="E196" s="980"/>
      <c r="F196" s="464"/>
      <c r="G196" s="464"/>
      <c r="H196" s="223">
        <f>J156</f>
        <v>7.9000000000000008E-3</v>
      </c>
      <c r="I196" s="105">
        <f>I143</f>
        <v>8957958</v>
      </c>
      <c r="J196" s="26">
        <f>ROUND(H196*I196,0)</f>
        <v>70768</v>
      </c>
      <c r="K196"/>
      <c r="L196" s="397"/>
      <c r="N196" s="26">
        <f>J196+L196</f>
        <v>70768</v>
      </c>
    </row>
    <row r="197" spans="1:18" s="1" customFormat="1" x14ac:dyDescent="0.35">
      <c r="A197" s="464"/>
      <c r="B197" s="406"/>
      <c r="C197" s="410" t="s">
        <v>421</v>
      </c>
      <c r="D197" s="410"/>
      <c r="E197" s="410"/>
      <c r="F197" s="410"/>
      <c r="G197" s="464"/>
      <c r="H197" s="223"/>
      <c r="I197" s="223"/>
      <c r="J197" s="32">
        <f>SUM(J195:J196)</f>
        <v>133046</v>
      </c>
      <c r="K197"/>
      <c r="L197" s="32">
        <f>SUM(L195:L196)</f>
        <v>0</v>
      </c>
      <c r="N197" s="32">
        <f>SUM(N195:N196)</f>
        <v>133046</v>
      </c>
    </row>
    <row r="198" spans="1:18" s="1" customFormat="1" ht="15" thickBot="1" x14ac:dyDescent="0.4">
      <c r="A198" s="464"/>
      <c r="B198" s="464"/>
      <c r="C198" s="392"/>
      <c r="D198" s="979"/>
      <c r="E198" s="979"/>
      <c r="F198" s="981"/>
      <c r="G198" s="464"/>
      <c r="H198" s="223"/>
      <c r="I198" s="362"/>
      <c r="J198" s="395"/>
      <c r="K198"/>
      <c r="N198" s="223"/>
    </row>
    <row r="199" spans="1:18" s="1" customFormat="1" ht="15.5" thickTop="1" thickBot="1" x14ac:dyDescent="0.4">
      <c r="A199" s="464"/>
      <c r="B199" s="464"/>
      <c r="C199" s="837" t="str">
        <f>CONCATENATE($A$4," - Annual Energy Revenue Price-Out at Proposed Rates:")</f>
        <v>SC13 Rate II - Annual Energy Revenue Price-Out at Proposed Rates:</v>
      </c>
      <c r="D199" s="979"/>
      <c r="E199" s="979"/>
      <c r="F199" s="981"/>
      <c r="G199" s="464"/>
      <c r="H199" s="223"/>
      <c r="I199" s="222" t="s">
        <v>427</v>
      </c>
      <c r="J199" s="243">
        <f>J190+J197</f>
        <v>184466</v>
      </c>
      <c r="K199" s="222" t="s">
        <v>428</v>
      </c>
      <c r="L199" s="243">
        <f>L190+L197</f>
        <v>0</v>
      </c>
      <c r="N199" s="243">
        <f>N190+N197</f>
        <v>184466</v>
      </c>
      <c r="O199" s="374"/>
    </row>
    <row r="200" spans="1:18" s="1" customFormat="1" ht="15" thickTop="1" x14ac:dyDescent="0.35">
      <c r="A200" s="464"/>
      <c r="B200" s="464"/>
      <c r="C200" s="837"/>
      <c r="D200" s="979"/>
      <c r="E200" s="979"/>
      <c r="F200" s="981"/>
      <c r="G200" s="464"/>
      <c r="H200" s="223"/>
      <c r="I200" s="222"/>
      <c r="J200" s="396"/>
      <c r="K200" s="362"/>
      <c r="L200" s="363"/>
      <c r="M200" s="364"/>
      <c r="N200" s="222"/>
      <c r="O200" s="26"/>
      <c r="Q200" s="26"/>
      <c r="R200" s="374"/>
    </row>
    <row r="201" spans="1:18" s="1" customFormat="1" x14ac:dyDescent="0.35">
      <c r="A201" s="464"/>
      <c r="B201" s="464"/>
      <c r="C201" s="837"/>
      <c r="D201" s="979"/>
      <c r="E201" s="979"/>
      <c r="F201" s="981"/>
      <c r="G201" s="464"/>
      <c r="H201" s="223"/>
      <c r="I201" s="222"/>
      <c r="J201" s="396"/>
      <c r="K201" s="362"/>
      <c r="L201" s="363"/>
      <c r="M201" s="364"/>
      <c r="N201" s="222"/>
      <c r="O201" s="26"/>
      <c r="Q201" s="26"/>
      <c r="R201" s="374"/>
    </row>
    <row r="202" spans="1:18" x14ac:dyDescent="0.35">
      <c r="B202" s="3"/>
      <c r="C202" s="70" t="s">
        <v>684</v>
      </c>
      <c r="D202" s="3"/>
      <c r="E202" s="3"/>
      <c r="F202" s="3"/>
      <c r="G202" s="3"/>
      <c r="H202" s="3"/>
      <c r="I202" s="3"/>
      <c r="J202" s="3"/>
      <c r="K202" s="3"/>
      <c r="L202" s="3"/>
      <c r="M202" s="26"/>
      <c r="N202" s="17"/>
      <c r="O202" s="3"/>
      <c r="P202" s="2"/>
    </row>
    <row r="203" spans="1:18" x14ac:dyDescent="0.35">
      <c r="B203" s="3"/>
      <c r="C203" s="41" t="str">
        <f>$A$4</f>
        <v>SC13 Rate II</v>
      </c>
      <c r="D203" s="3"/>
      <c r="E203" s="3"/>
      <c r="F203" s="3"/>
      <c r="G203" s="3"/>
      <c r="H203" s="3"/>
      <c r="I203" s="3"/>
      <c r="J203" s="3"/>
      <c r="K203" s="3"/>
      <c r="L203" s="3"/>
      <c r="M203" s="26"/>
      <c r="N203" s="17"/>
      <c r="O203" s="3"/>
      <c r="P203" s="2"/>
    </row>
    <row r="204" spans="1:18" x14ac:dyDescent="0.35">
      <c r="B204" s="3"/>
      <c r="C204" s="3" t="s">
        <v>678</v>
      </c>
      <c r="D204" s="3"/>
      <c r="E204" s="3"/>
      <c r="F204" s="3"/>
      <c r="G204" s="3"/>
      <c r="H204" s="3"/>
      <c r="I204" s="3"/>
      <c r="J204" s="3"/>
      <c r="K204" s="3"/>
      <c r="L204" s="3"/>
      <c r="M204" s="26">
        <f>M182</f>
        <v>1886580</v>
      </c>
      <c r="N204" s="17"/>
      <c r="O204" s="3"/>
      <c r="P204" s="2"/>
    </row>
    <row r="205" spans="1:18" x14ac:dyDescent="0.35">
      <c r="B205" s="3"/>
      <c r="C205" s="407" t="s">
        <v>700</v>
      </c>
      <c r="D205" s="406" t="s">
        <v>1155</v>
      </c>
      <c r="E205" s="410"/>
      <c r="F205" s="410"/>
      <c r="G205" s="410"/>
      <c r="H205" s="410"/>
      <c r="I205" s="3"/>
      <c r="J205" s="3"/>
      <c r="K205" s="3"/>
      <c r="M205" s="34">
        <f>G39+H39</f>
        <v>350965.21953040012</v>
      </c>
      <c r="N205" s="17"/>
      <c r="O205" s="3"/>
      <c r="P205" s="2"/>
    </row>
    <row r="206" spans="1:18" x14ac:dyDescent="0.35">
      <c r="B206" s="3"/>
      <c r="C206" s="407"/>
      <c r="D206" s="410"/>
      <c r="E206" s="410"/>
      <c r="F206" s="410"/>
      <c r="G206" s="410"/>
      <c r="H206" s="410"/>
      <c r="I206" s="3"/>
      <c r="J206" s="3"/>
      <c r="K206" s="3"/>
      <c r="L206" s="3"/>
      <c r="M206" s="37"/>
      <c r="N206" s="17"/>
      <c r="O206" s="3"/>
      <c r="P206" s="2"/>
    </row>
    <row r="207" spans="1:18" x14ac:dyDescent="0.35">
      <c r="B207" s="3"/>
      <c r="C207" s="410" t="s">
        <v>678</v>
      </c>
      <c r="D207" s="410"/>
      <c r="E207" s="410"/>
      <c r="F207" s="410"/>
      <c r="G207" s="410"/>
      <c r="H207" s="410"/>
      <c r="I207" s="3"/>
      <c r="J207" s="3"/>
      <c r="K207" s="3"/>
      <c r="L207" s="3"/>
      <c r="M207" s="26">
        <f>M204+M205</f>
        <v>2237545.2195303999</v>
      </c>
      <c r="N207" s="17"/>
      <c r="O207" s="3"/>
      <c r="P207" s="2"/>
    </row>
    <row r="208" spans="1:18" ht="15" thickBot="1" x14ac:dyDescent="0.4">
      <c r="B208" s="3"/>
      <c r="C208" s="410" t="s">
        <v>677</v>
      </c>
      <c r="D208" s="410"/>
      <c r="E208" s="410"/>
      <c r="F208" s="410"/>
      <c r="G208" s="410"/>
      <c r="H208" s="410"/>
      <c r="I208" s="3"/>
      <c r="J208" s="3"/>
      <c r="K208" s="3"/>
      <c r="L208" s="3"/>
      <c r="M208" s="26">
        <f>N199</f>
        <v>184466</v>
      </c>
      <c r="N208" s="17"/>
      <c r="O208" s="3"/>
      <c r="P208" s="2"/>
    </row>
    <row r="209" spans="2:16" ht="15.5" thickTop="1" thickBot="1" x14ac:dyDescent="0.4">
      <c r="B209" s="3"/>
      <c r="C209" s="837" t="s">
        <v>685</v>
      </c>
      <c r="D209" s="410"/>
      <c r="E209" s="410"/>
      <c r="F209" s="410"/>
      <c r="G209" s="410"/>
      <c r="H209" s="410"/>
      <c r="I209" s="3"/>
      <c r="J209" s="3"/>
      <c r="K209" s="3"/>
      <c r="L209" s="3"/>
      <c r="M209" s="925">
        <f>M207+M208</f>
        <v>2422011.2195303999</v>
      </c>
      <c r="N209" s="17"/>
      <c r="O209" s="3"/>
      <c r="P209" s="2"/>
    </row>
    <row r="210" spans="2:16" ht="15" thickTop="1" x14ac:dyDescent="0.35">
      <c r="B210" s="3"/>
      <c r="C210" s="410"/>
      <c r="D210" s="410"/>
      <c r="E210" s="410"/>
      <c r="F210" s="410"/>
      <c r="G210" s="410"/>
      <c r="H210" s="410"/>
      <c r="I210" s="3"/>
      <c r="J210" s="3"/>
      <c r="K210" s="3"/>
      <c r="L210" s="3"/>
      <c r="M210" s="3"/>
      <c r="N210" s="17"/>
      <c r="O210" s="3"/>
      <c r="P210" s="2"/>
    </row>
    <row r="211" spans="2:16" ht="15" thickBot="1" x14ac:dyDescent="0.4">
      <c r="B211" s="3"/>
      <c r="C211" s="410"/>
      <c r="D211" s="410"/>
      <c r="E211" s="410"/>
      <c r="F211" s="410"/>
      <c r="G211" s="410"/>
      <c r="H211" s="410"/>
      <c r="I211" s="3"/>
      <c r="J211" s="3"/>
      <c r="K211" s="3"/>
      <c r="L211" s="3"/>
      <c r="M211" s="3"/>
      <c r="N211" s="2"/>
      <c r="O211" s="2"/>
      <c r="P211" s="2"/>
    </row>
    <row r="212" spans="2:16" x14ac:dyDescent="0.35">
      <c r="B212" s="3"/>
      <c r="C212" s="815" t="str">
        <f>$A$4</f>
        <v>SC13 Rate II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1" t="s">
        <v>6</v>
      </c>
      <c r="N212" s="2"/>
      <c r="O212" s="2"/>
      <c r="P212" s="2"/>
    </row>
    <row r="213" spans="2:16" x14ac:dyDescent="0.35">
      <c r="B213" s="3"/>
      <c r="C213" s="11" t="s">
        <v>5</v>
      </c>
      <c r="D213" s="1305">
        <f>L4</f>
        <v>2020</v>
      </c>
      <c r="E213" s="1305"/>
      <c r="F213" s="1305"/>
      <c r="G213" s="10"/>
      <c r="H213" s="10"/>
      <c r="I213" s="10"/>
      <c r="J213" s="10"/>
      <c r="K213" s="10"/>
      <c r="L213" s="10"/>
      <c r="M213" s="13"/>
      <c r="N213" s="2"/>
      <c r="O213" s="2"/>
      <c r="P213" s="2"/>
    </row>
    <row r="214" spans="2:16" x14ac:dyDescent="0.35">
      <c r="B214" s="3"/>
      <c r="C214" s="699" t="s">
        <v>679</v>
      </c>
      <c r="D214" s="19"/>
      <c r="E214" s="19"/>
      <c r="F214" s="19"/>
      <c r="G214" s="10"/>
      <c r="H214" s="10"/>
      <c r="I214" s="10"/>
      <c r="J214" s="10"/>
      <c r="K214" s="10"/>
      <c r="L214" s="10"/>
      <c r="M214" s="12">
        <f>M209</f>
        <v>2422011.2195303999</v>
      </c>
      <c r="N214" s="2"/>
      <c r="O214" s="2"/>
      <c r="P214" s="2"/>
    </row>
    <row r="215" spans="2:16" x14ac:dyDescent="0.35">
      <c r="B215" s="3"/>
      <c r="C215" s="20"/>
      <c r="D215" s="475"/>
      <c r="E215" s="16"/>
      <c r="F215" s="16"/>
      <c r="G215" s="15"/>
      <c r="I215" s="10"/>
      <c r="J215" s="10"/>
      <c r="K215" s="10"/>
      <c r="L215" s="605"/>
      <c r="M215" s="470"/>
      <c r="N215" s="2"/>
      <c r="O215" s="2"/>
      <c r="P215" s="2"/>
    </row>
    <row r="216" spans="2:16" x14ac:dyDescent="0.35">
      <c r="B216" s="3"/>
      <c r="C216" s="20"/>
      <c r="D216" s="475"/>
      <c r="E216" s="16"/>
      <c r="F216" s="16"/>
      <c r="G216" s="15"/>
      <c r="I216" s="10"/>
      <c r="J216" s="10"/>
      <c r="K216" s="10"/>
      <c r="L216" s="605"/>
      <c r="M216" s="470"/>
      <c r="N216" s="2"/>
      <c r="O216" s="2"/>
      <c r="P216" s="2"/>
    </row>
    <row r="217" spans="2:16" x14ac:dyDescent="0.35">
      <c r="B217" s="3"/>
      <c r="C217" s="20"/>
      <c r="D217" s="368"/>
      <c r="E217" s="19"/>
      <c r="F217" s="19"/>
      <c r="G217" s="10"/>
      <c r="I217" s="10"/>
      <c r="J217" s="10"/>
      <c r="K217" s="10"/>
      <c r="L217" s="605"/>
      <c r="M217" s="470"/>
      <c r="N217" s="2"/>
      <c r="O217" s="2"/>
      <c r="P217" s="2"/>
    </row>
    <row r="218" spans="2:16" x14ac:dyDescent="0.35">
      <c r="B218" s="3"/>
      <c r="C218" s="20"/>
      <c r="D218" s="368"/>
      <c r="E218" s="19"/>
      <c r="F218" s="19"/>
      <c r="G218" s="10"/>
      <c r="I218" s="10"/>
      <c r="J218" s="10"/>
      <c r="K218" s="10"/>
      <c r="L218" s="469"/>
      <c r="M218" s="471">
        <f>SUM(L215:L217)</f>
        <v>0</v>
      </c>
      <c r="N218" s="2"/>
      <c r="O218" s="2"/>
      <c r="P218" s="2"/>
    </row>
    <row r="219" spans="2:16" x14ac:dyDescent="0.35">
      <c r="B219" s="3"/>
      <c r="C219" s="11" t="s">
        <v>679</v>
      </c>
      <c r="D219" s="10"/>
      <c r="E219" s="10"/>
      <c r="F219" s="10"/>
      <c r="G219" s="10"/>
      <c r="I219" s="10"/>
      <c r="J219" s="10"/>
      <c r="K219" s="10"/>
      <c r="L219" s="10"/>
      <c r="M219" s="12">
        <f>M214+M218</f>
        <v>2422011.2195303999</v>
      </c>
      <c r="N219" s="2"/>
      <c r="O219" s="2"/>
      <c r="P219" s="2"/>
    </row>
    <row r="220" spans="2:16" x14ac:dyDescent="0.35">
      <c r="B220" s="3"/>
      <c r="C220" s="11"/>
      <c r="D220" s="10"/>
      <c r="E220" s="10"/>
      <c r="F220" s="10"/>
      <c r="G220" s="10"/>
      <c r="H220" s="10"/>
      <c r="I220" s="10"/>
      <c r="J220" s="10"/>
      <c r="K220" s="10"/>
      <c r="L220" s="10"/>
      <c r="M220" s="13"/>
      <c r="N220" s="2"/>
      <c r="O220" s="2"/>
      <c r="P220" s="2"/>
    </row>
    <row r="221" spans="2:16" x14ac:dyDescent="0.35">
      <c r="B221" s="3"/>
      <c r="C221" s="11"/>
      <c r="D221" s="10" t="s">
        <v>2</v>
      </c>
      <c r="E221" s="10"/>
      <c r="F221" s="10"/>
      <c r="G221" s="10"/>
      <c r="H221" s="10"/>
      <c r="I221" s="10"/>
      <c r="J221" s="10"/>
      <c r="K221" s="10"/>
      <c r="L221" s="10"/>
      <c r="M221" s="924">
        <f>L22</f>
        <v>2421360.2195303999</v>
      </c>
      <c r="N221" s="2"/>
      <c r="O221" s="2"/>
      <c r="P221" s="2"/>
    </row>
    <row r="222" spans="2:16" x14ac:dyDescent="0.35">
      <c r="B222" s="3"/>
      <c r="C222" s="11"/>
      <c r="D222" s="10" t="s">
        <v>1</v>
      </c>
      <c r="E222" s="10"/>
      <c r="F222" s="10"/>
      <c r="G222" s="10"/>
      <c r="H222" s="10"/>
      <c r="I222" s="10"/>
      <c r="J222" s="10"/>
      <c r="K222" s="10"/>
      <c r="L222" s="10"/>
      <c r="M222" s="12">
        <f>M219-M221</f>
        <v>651</v>
      </c>
      <c r="N222" s="2"/>
      <c r="O222" s="2"/>
      <c r="P222" s="2"/>
    </row>
    <row r="223" spans="2:16" x14ac:dyDescent="0.35">
      <c r="B223" s="3"/>
      <c r="C223" s="11"/>
      <c r="D223" s="10" t="s">
        <v>0</v>
      </c>
      <c r="E223" s="10"/>
      <c r="F223" s="10"/>
      <c r="G223" s="10"/>
      <c r="H223" s="10"/>
      <c r="I223" s="10"/>
      <c r="J223" s="10"/>
      <c r="K223" s="10"/>
      <c r="L223" s="10"/>
      <c r="M223" s="9">
        <f>M219/M221-1</f>
        <v>2.6885714680080497E-4</v>
      </c>
      <c r="N223" s="2"/>
      <c r="O223" s="2"/>
      <c r="P223" s="2"/>
    </row>
    <row r="224" spans="2:16" ht="15" thickBot="1" x14ac:dyDescent="0.4">
      <c r="B224" s="3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5"/>
      <c r="N224" s="2"/>
      <c r="O224" s="2"/>
      <c r="P224" s="2"/>
    </row>
    <row r="225" spans="1:16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"/>
    </row>
    <row r="226" spans="1:16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</row>
    <row r="227" spans="1:16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</row>
    <row r="228" spans="1:16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"/>
    </row>
    <row r="229" spans="1:16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</row>
  </sheetData>
  <mergeCells count="15">
    <mergeCell ref="H96:J96"/>
    <mergeCell ref="H193:J193"/>
    <mergeCell ref="D213:F213"/>
    <mergeCell ref="H116:J116"/>
    <mergeCell ref="L116:N116"/>
    <mergeCell ref="L123:N123"/>
    <mergeCell ref="H153:J153"/>
    <mergeCell ref="M153:O153"/>
    <mergeCell ref="H186:J186"/>
    <mergeCell ref="N96:Q96"/>
    <mergeCell ref="H54:J54"/>
    <mergeCell ref="L54:N54"/>
    <mergeCell ref="L61:N61"/>
    <mergeCell ref="D93:F93"/>
    <mergeCell ref="N95:Q95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67" max="16383" man="1"/>
    <brk id="128" max="16383" man="1"/>
    <brk id="201" max="16383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36"/>
  <dimension ref="A1:U229"/>
  <sheetViews>
    <sheetView workbookViewId="0">
      <selection activeCell="I8" sqref="I8"/>
    </sheetView>
  </sheetViews>
  <sheetFormatPr defaultRowHeight="14.5" outlineLevelRow="1" x14ac:dyDescent="0.35"/>
  <cols>
    <col min="1" max="1" width="7.453125" customWidth="1"/>
    <col min="2" max="2" width="12" customWidth="1"/>
    <col min="3" max="3" width="17.7265625" customWidth="1"/>
    <col min="4" max="4" width="10.453125" customWidth="1"/>
    <col min="5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7.54296875" customWidth="1"/>
    <col min="11" max="11" width="14.81640625" customWidth="1"/>
    <col min="12" max="12" width="17.453125" customWidth="1"/>
    <col min="13" max="13" width="14.81640625" customWidth="1"/>
    <col min="14" max="14" width="15.81640625" customWidth="1"/>
    <col min="15" max="15" width="13" customWidth="1"/>
    <col min="16" max="16" width="13" style="1" customWidth="1"/>
    <col min="17" max="17" width="7.54296875" customWidth="1"/>
    <col min="18" max="18" width="10.7265625" customWidth="1"/>
    <col min="19" max="19" width="11.26953125" customWidth="1"/>
    <col min="20" max="20" width="8.81640625" customWidth="1"/>
    <col min="21" max="21" width="10" customWidth="1"/>
    <col min="22" max="22" width="11.7265625" customWidth="1"/>
    <col min="23" max="23" width="17.453125" customWidth="1"/>
    <col min="24" max="24" width="16.81640625" customWidth="1"/>
  </cols>
  <sheetData>
    <row r="1" spans="1:21" ht="18.5" x14ac:dyDescent="0.45">
      <c r="A1" s="447" t="s">
        <v>838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3" spans="1:21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192" t="str">
        <f>$A$4</f>
        <v>NYPA Rate II</v>
      </c>
      <c r="Q3" s="283" t="s">
        <v>782</v>
      </c>
      <c r="S3" s="3"/>
    </row>
    <row r="4" spans="1:21" outlineLevel="1" x14ac:dyDescent="0.35">
      <c r="A4" s="864" t="s">
        <v>781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</row>
    <row r="5" spans="1:21" outlineLevel="1" x14ac:dyDescent="0.35">
      <c r="C5" s="3"/>
      <c r="D5" s="3"/>
      <c r="E5" s="3"/>
      <c r="F5" s="3"/>
      <c r="G5" s="3"/>
      <c r="J5" s="3"/>
      <c r="K5" s="3"/>
      <c r="L5" s="3"/>
      <c r="M5" s="3"/>
      <c r="P5" s="2"/>
      <c r="Q5" s="3"/>
      <c r="R5" s="3"/>
      <c r="S5" s="30" t="s">
        <v>25</v>
      </c>
      <c r="U5" s="30" t="s">
        <v>12</v>
      </c>
    </row>
    <row r="6" spans="1:21" outlineLevel="1" x14ac:dyDescent="0.35">
      <c r="A6" s="180"/>
      <c r="B6" s="180"/>
      <c r="C6" s="180"/>
      <c r="D6" s="180"/>
      <c r="E6" s="180"/>
      <c r="F6" s="180"/>
      <c r="G6" s="490" t="str">
        <f>'12A.)TODL_RateDesignSummary'!D163</f>
        <v>Current(RY1)</v>
      </c>
      <c r="H6" s="101" t="s">
        <v>521</v>
      </c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992" t="s">
        <v>643</v>
      </c>
      <c r="S6" s="386">
        <f>'[2]4D-7.)HY_TODLRatePxOut(NYPA)'!$H13+'[2]4D-8.)HY_TODLRatePxOut(KIAC)'!$H13</f>
        <v>1512915.5700000003</v>
      </c>
      <c r="T6" s="164" t="s">
        <v>1393</v>
      </c>
      <c r="U6" s="161"/>
    </row>
    <row r="7" spans="1:21" ht="15" outlineLevel="1" thickBot="1" x14ac:dyDescent="0.4">
      <c r="A7" s="3"/>
      <c r="B7" s="3"/>
      <c r="C7" s="3"/>
      <c r="D7" s="3"/>
      <c r="E7" s="3"/>
      <c r="F7" s="3"/>
      <c r="G7" s="101"/>
      <c r="J7" s="3"/>
      <c r="K7" s="17"/>
      <c r="L7" s="118" t="str">
        <f>A4</f>
        <v>NYPA Rate II</v>
      </c>
      <c r="M7" s="3"/>
      <c r="P7" s="170" t="s">
        <v>114</v>
      </c>
      <c r="Q7" s="159" t="s">
        <v>641</v>
      </c>
      <c r="R7" s="993" t="s">
        <v>888</v>
      </c>
      <c r="S7" s="387">
        <f>'[2]4D-7.)HY_TODLRatePxOut(NYPA)'!$H14+'[2]4D-8.)HY_TODLRatePxOut(KIAC)'!$H14</f>
        <v>1546332.9900000002</v>
      </c>
      <c r="T7" s="159" t="s">
        <v>445</v>
      </c>
      <c r="U7" s="156"/>
    </row>
    <row r="8" spans="1:21" ht="15.5" outlineLevel="1" thickTop="1" thickBot="1" x14ac:dyDescent="0.4">
      <c r="A8" s="3" t="s">
        <v>920</v>
      </c>
      <c r="B8" s="3"/>
      <c r="C8" s="3"/>
      <c r="D8" s="3"/>
      <c r="E8" s="3"/>
      <c r="F8" s="3"/>
      <c r="G8" s="309">
        <f>'12A.)TODL_RateDesignSummary'!D165</f>
        <v>0</v>
      </c>
      <c r="H8" s="177">
        <f>J98</f>
        <v>0</v>
      </c>
      <c r="J8" s="33"/>
      <c r="K8" s="17"/>
      <c r="L8" s="688"/>
      <c r="M8" s="3"/>
      <c r="P8" s="168" t="s">
        <v>114</v>
      </c>
      <c r="Q8" s="711" t="s">
        <v>642</v>
      </c>
      <c r="R8" s="994" t="s">
        <v>645</v>
      </c>
      <c r="S8" s="172">
        <f>'[2]4D-7.)HY_TODLRatePxOut(NYPA)'!$H15+'[2]4D-8.)HY_TODLRatePxOut(KIAC)'!$H15</f>
        <v>1548344.4000000001</v>
      </c>
      <c r="T8" s="168"/>
      <c r="U8" s="477"/>
    </row>
    <row r="9" spans="1:21" ht="15.5" outlineLevel="1" thickTop="1" thickBot="1" x14ac:dyDescent="0.4">
      <c r="A9" s="3" t="s">
        <v>921</v>
      </c>
      <c r="B9" s="3"/>
      <c r="C9" s="3"/>
      <c r="D9" s="3"/>
      <c r="E9" s="3"/>
      <c r="F9" s="3"/>
      <c r="G9" s="310">
        <f>'12A.)TODL_RateDesignSummary'!D166</f>
        <v>13.2</v>
      </c>
      <c r="H9" s="169">
        <f t="shared" ref="H9:H10" si="0">J99</f>
        <v>13.52</v>
      </c>
      <c r="J9" s="33" t="s">
        <v>139</v>
      </c>
      <c r="K9" s="17"/>
      <c r="L9" s="689">
        <f>HLOOKUP($L$6,'[1]A1.)RatesInput'!$D$63:$J$83,'[1]A1.)RatesInput'!$A$80,0)</f>
        <v>1.01108</v>
      </c>
      <c r="M9" s="173"/>
      <c r="Q9" s="1"/>
      <c r="R9" s="1"/>
      <c r="S9" s="717">
        <f>SUM(S6:S8)</f>
        <v>4607592.9600000009</v>
      </c>
      <c r="T9" s="1"/>
      <c r="U9" s="151">
        <f>SUM(U6:U8)</f>
        <v>0</v>
      </c>
    </row>
    <row r="10" spans="1:21" ht="15" outlineLevel="1" thickTop="1" x14ac:dyDescent="0.35">
      <c r="A10" s="3" t="s">
        <v>922</v>
      </c>
      <c r="B10" s="3"/>
      <c r="C10" s="3"/>
      <c r="D10" s="3"/>
      <c r="E10" s="3"/>
      <c r="F10" s="3"/>
      <c r="G10" s="310">
        <f>'12A.)TODL_RateDesignSummary'!D167</f>
        <v>4.7300000000000004</v>
      </c>
      <c r="H10" s="169">
        <f t="shared" si="0"/>
        <v>4.84</v>
      </c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Q10" s="1"/>
      <c r="R10" s="1"/>
      <c r="S10" s="1"/>
      <c r="T10" s="1"/>
    </row>
    <row r="11" spans="1:21" outlineLevel="1" x14ac:dyDescent="0.35">
      <c r="A11" s="3" t="s">
        <v>923</v>
      </c>
      <c r="B11" s="3"/>
      <c r="C11" s="3"/>
      <c r="D11" s="3"/>
      <c r="E11" s="3"/>
      <c r="F11" s="3"/>
      <c r="G11" s="310">
        <f>'12A.)TODL_RateDesignSummary'!D168</f>
        <v>7.4</v>
      </c>
      <c r="H11" s="169">
        <f>H98</f>
        <v>7.5799999999999992</v>
      </c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4" t="str">
        <f>Q$6</f>
        <v>D1</v>
      </c>
      <c r="R11" s="164" t="str">
        <f>R$6</f>
        <v>8-6</v>
      </c>
      <c r="S11" s="386">
        <f>'[2]4D-7.)HY_TODLRatePxOut(NYPA)'!$H7+'[2]4D-8.)HY_TODLRatePxOut(KIAC)'!$H7</f>
        <v>0</v>
      </c>
      <c r="T11" s="164" t="str">
        <f>T$6</f>
        <v>On Peak</v>
      </c>
      <c r="U11" s="161"/>
    </row>
    <row r="12" spans="1:21" outlineLevel="1" x14ac:dyDescent="0.35">
      <c r="A12" s="3" t="s">
        <v>924</v>
      </c>
      <c r="B12" s="3"/>
      <c r="C12" s="3"/>
      <c r="D12" s="3"/>
      <c r="E12" s="3"/>
      <c r="F12" s="3"/>
      <c r="G12" s="310">
        <f>'12A.)TODL_RateDesignSummary'!D169</f>
        <v>21.77</v>
      </c>
      <c r="H12" s="169">
        <f t="shared" ref="H12:H13" si="1">H99</f>
        <v>22.299999999999997</v>
      </c>
      <c r="P12" s="160" t="s">
        <v>113</v>
      </c>
      <c r="Q12" s="159" t="str">
        <f>Q$7</f>
        <v>D2</v>
      </c>
      <c r="R12" s="159" t="str">
        <f>R$7</f>
        <v>8-10</v>
      </c>
      <c r="S12" s="387">
        <f>'[2]4D-7.)HY_TODLRatePxOut(NYPA)'!$H8+'[2]4D-8.)HY_TODLRatePxOut(KIAC)'!$H8</f>
        <v>2391948.4691000003</v>
      </c>
      <c r="T12" s="159" t="str">
        <f>T$7</f>
        <v>Off Peak</v>
      </c>
      <c r="U12" s="156"/>
    </row>
    <row r="13" spans="1:21" ht="15" outlineLevel="1" thickBot="1" x14ac:dyDescent="0.4">
      <c r="A13" s="3" t="s">
        <v>925</v>
      </c>
      <c r="B13" s="3"/>
      <c r="C13" s="3"/>
      <c r="D13" s="3"/>
      <c r="E13" s="3"/>
      <c r="F13" s="3"/>
      <c r="G13" s="310">
        <f>'12A.)TODL_RateDesignSummary'!D170</f>
        <v>20.09</v>
      </c>
      <c r="H13" s="169">
        <f t="shared" si="1"/>
        <v>20.58</v>
      </c>
      <c r="I13" s="3"/>
      <c r="P13" s="155" t="s">
        <v>113</v>
      </c>
      <c r="Q13" s="711" t="str">
        <f>Q8</f>
        <v>D3</v>
      </c>
      <c r="R13" s="711" t="str">
        <f>R8</f>
        <v>All Day</v>
      </c>
      <c r="S13" s="172">
        <f>'[2]4D-7.)HY_TODLRatePxOut(NYPA)'!$H9+'[2]4D-8.)HY_TODLRatePxOut(KIAC)'!$H9</f>
        <v>2406738.2999999998</v>
      </c>
      <c r="T13" s="168"/>
      <c r="U13" s="477"/>
    </row>
    <row r="14" spans="1:21" ht="15.5" outlineLevel="1" thickTop="1" thickBot="1" x14ac:dyDescent="0.4">
      <c r="G14" s="310"/>
      <c r="H14" s="169"/>
      <c r="J14" s="33" t="s">
        <v>2040</v>
      </c>
      <c r="K14" s="17"/>
      <c r="L14" s="690">
        <f>'[2]6A.)RateChange'!BF80</f>
        <v>2.4550200000000001E-2</v>
      </c>
      <c r="P14" s="2"/>
      <c r="Q14" s="2"/>
      <c r="R14" s="2"/>
      <c r="S14" s="717">
        <f>SUM(S11:S13)</f>
        <v>4798686.7691000002</v>
      </c>
      <c r="T14" s="1"/>
      <c r="U14" s="151">
        <f>SUM(U11:U13)</f>
        <v>0</v>
      </c>
    </row>
    <row r="15" spans="1:21" ht="15" outlineLevel="1" thickTop="1" x14ac:dyDescent="0.35">
      <c r="G15" s="310"/>
      <c r="H15" s="169"/>
      <c r="Q15" s="1"/>
      <c r="R15" s="1"/>
      <c r="S15" s="1"/>
      <c r="T15" s="1"/>
    </row>
    <row r="16" spans="1:21" outlineLevel="1" x14ac:dyDescent="0.35">
      <c r="G16" s="310"/>
      <c r="H16" s="169"/>
      <c r="L16" s="135" t="s">
        <v>135</v>
      </c>
      <c r="M16" s="135" t="s">
        <v>134</v>
      </c>
      <c r="P16" s="165" t="s">
        <v>112</v>
      </c>
      <c r="Q16" s="164" t="str">
        <f>Q$6</f>
        <v>D1</v>
      </c>
      <c r="R16" s="164" t="str">
        <f>R$6</f>
        <v>8-6</v>
      </c>
      <c r="S16" s="386">
        <f>'[2]4D-7.)HY_TODLRatePxOut(NYPA)'!$H33+'[2]4D-8.)HY_TODLRatePxOut(KIAC)'!$H33</f>
        <v>1108655.23</v>
      </c>
      <c r="T16" s="164" t="str">
        <f>T$6</f>
        <v>On Peak</v>
      </c>
      <c r="U16" s="161"/>
    </row>
    <row r="17" spans="1:21" outlineLevel="1" x14ac:dyDescent="0.35">
      <c r="G17" s="310"/>
      <c r="H17" s="169"/>
      <c r="J17" s="33" t="s">
        <v>133</v>
      </c>
      <c r="L17" s="245">
        <f>'[2]6A.)RateChange'!$BE$78</f>
        <v>4473896.5612694658</v>
      </c>
      <c r="M17" s="245">
        <f>ROUND(L17/ROUND(L18/M18,5),0)</f>
        <v>4423338</v>
      </c>
      <c r="P17" s="170" t="s">
        <v>112</v>
      </c>
      <c r="Q17" s="159" t="str">
        <f>Q$7</f>
        <v>D2</v>
      </c>
      <c r="R17" s="159" t="str">
        <f>R$7</f>
        <v>8-10</v>
      </c>
      <c r="S17" s="387">
        <f>'[2]4D-7.)HY_TODLRatePxOut(NYPA)'!$H34+'[2]4D-8.)HY_TODLRatePxOut(KIAC)'!$H34</f>
        <v>1117067.23</v>
      </c>
      <c r="T17" s="159" t="str">
        <f>T$7</f>
        <v>Off Peak</v>
      </c>
      <c r="U17" s="156"/>
    </row>
    <row r="18" spans="1:21" ht="15" outlineLevel="1" thickBot="1" x14ac:dyDescent="0.4">
      <c r="G18" s="310"/>
      <c r="H18" s="169"/>
      <c r="J18" s="33" t="s">
        <v>131</v>
      </c>
      <c r="L18" s="701">
        <f>'[2]4D-7.)HY_TODLRatePxOut(NYPA)'!$Y$84+'[2]4D-8.)HY_TODLRatePxOut(KIAC)'!$Y$84</f>
        <v>181531102</v>
      </c>
      <c r="M18" s="245">
        <f>'[2]4D-7.)HY_TODLRatePxOut(NYPA)'!$W$84+'[2]4D-8.)HY_TODLRatePxOut(KIAC)'!$W$84</f>
        <v>179480193</v>
      </c>
      <c r="P18" s="168" t="s">
        <v>112</v>
      </c>
      <c r="Q18" s="711" t="str">
        <f>Q8</f>
        <v>D3</v>
      </c>
      <c r="R18" s="711" t="str">
        <f>R8</f>
        <v>All Day</v>
      </c>
      <c r="S18" s="172">
        <f>'[2]4D-7.)HY_TODLRatePxOut(NYPA)'!$H35+'[2]4D-8.)HY_TODLRatePxOut(KIAC)'!$H35</f>
        <v>0</v>
      </c>
      <c r="T18" s="168"/>
      <c r="U18" s="477"/>
    </row>
    <row r="19" spans="1:21" ht="15.5" outlineLevel="1" thickTop="1" thickBot="1" x14ac:dyDescent="0.4">
      <c r="G19" s="310"/>
      <c r="H19" s="169"/>
      <c r="J19" s="33" t="s">
        <v>123</v>
      </c>
      <c r="L19" s="276"/>
      <c r="M19" s="245"/>
      <c r="Q19" s="1"/>
      <c r="R19" s="1"/>
      <c r="S19" s="717">
        <f>SUM(S16:S18)</f>
        <v>2225722.46</v>
      </c>
      <c r="T19" s="1"/>
      <c r="U19" s="151">
        <f>SUM(U16:U18)</f>
        <v>0</v>
      </c>
    </row>
    <row r="20" spans="1:21" ht="15" outlineLevel="1" thickTop="1" x14ac:dyDescent="0.35">
      <c r="G20" s="310"/>
      <c r="H20" s="169"/>
      <c r="J20" s="33" t="s">
        <v>129</v>
      </c>
      <c r="L20" s="276"/>
      <c r="M20" s="245"/>
      <c r="Q20" s="1"/>
      <c r="R20" s="1"/>
      <c r="S20" s="1"/>
      <c r="T20" s="1"/>
    </row>
    <row r="21" spans="1:21" ht="15" outlineLevel="1" thickBot="1" x14ac:dyDescent="0.4">
      <c r="G21" s="311"/>
      <c r="H21" s="167"/>
      <c r="P21" s="165" t="s">
        <v>111</v>
      </c>
      <c r="Q21" s="164" t="str">
        <f>Q$6</f>
        <v>D1</v>
      </c>
      <c r="R21" s="164" t="str">
        <f>R$6</f>
        <v>8-6</v>
      </c>
      <c r="S21" s="386">
        <f>'[2]4D-7.)HY_TODLRatePxOut(NYPA)'!$H27+'[2]4D-8.)HY_TODLRatePxOut(KIAC)'!$H27</f>
        <v>0</v>
      </c>
      <c r="T21" s="164" t="str">
        <f>T$6</f>
        <v>On Peak</v>
      </c>
      <c r="U21" s="161"/>
    </row>
    <row r="22" spans="1:21" ht="15" outlineLevel="1" thickTop="1" x14ac:dyDescent="0.35">
      <c r="J22" s="33" t="str">
        <f>CONCATENATE(A4," - T&amp;D Target:")</f>
        <v>NYPA Rate II - T&amp;D Target:</v>
      </c>
      <c r="L22" s="701">
        <f>'[2]6A.)RateChange'!$BN$78</f>
        <v>186708530.11253503</v>
      </c>
      <c r="P22" s="160" t="s">
        <v>111</v>
      </c>
      <c r="Q22" s="159" t="str">
        <f>Q$7</f>
        <v>D2</v>
      </c>
      <c r="R22" s="159" t="str">
        <f>R$7</f>
        <v>8-10</v>
      </c>
      <c r="S22" s="387">
        <f>'[2]4D-7.)HY_TODLRatePxOut(NYPA)'!$H28+'[2]4D-8.)HY_TODLRatePxOut(KIAC)'!$H28</f>
        <v>2123122.56</v>
      </c>
      <c r="T22" s="159" t="str">
        <f>T$7</f>
        <v>Off Peak</v>
      </c>
      <c r="U22" s="156"/>
    </row>
    <row r="23" spans="1:21" ht="15" outlineLevel="1" thickBot="1" x14ac:dyDescent="0.4">
      <c r="P23" s="155" t="s">
        <v>111</v>
      </c>
      <c r="Q23" s="711" t="str">
        <f>Q8</f>
        <v>D3</v>
      </c>
      <c r="R23" s="711" t="str">
        <f>R8</f>
        <v>All Day</v>
      </c>
      <c r="S23" s="172">
        <f>'[2]4D-7.)HY_TODLRatePxOut(NYPA)'!$H29+'[2]4D-8.)HY_TODLRatePxOut(KIAC)'!$H29</f>
        <v>0</v>
      </c>
      <c r="T23" s="168"/>
      <c r="U23" s="477"/>
    </row>
    <row r="24" spans="1:21" ht="15.5" outlineLevel="1" thickTop="1" thickBot="1" x14ac:dyDescent="0.4">
      <c r="J24" s="474" t="s">
        <v>698</v>
      </c>
      <c r="L24" s="397"/>
      <c r="M24" s="465"/>
      <c r="S24" s="151">
        <f>SUM(S21:S23)</f>
        <v>2123122.56</v>
      </c>
      <c r="U24" s="151">
        <f>SUM(U21:U23)</f>
        <v>0</v>
      </c>
    </row>
    <row r="25" spans="1:21" ht="15.5" outlineLevel="1" thickTop="1" thickBot="1" x14ac:dyDescent="0.4">
      <c r="J25" s="474" t="s">
        <v>697</v>
      </c>
      <c r="L25" s="397"/>
      <c r="M25" s="465"/>
      <c r="S25" s="150"/>
    </row>
    <row r="26" spans="1:21" ht="15.5" outlineLevel="1" thickTop="1" thickBot="1" x14ac:dyDescent="0.4">
      <c r="J26" s="33" t="s">
        <v>699</v>
      </c>
      <c r="L26" s="701">
        <f>'[1]F3.)Standby'!$E$38</f>
        <v>633188.28107374255</v>
      </c>
      <c r="M26" s="465"/>
      <c r="R26" t="s">
        <v>205</v>
      </c>
      <c r="S26" s="151">
        <f>S9+S14+S19+S24</f>
        <v>13755124.749100002</v>
      </c>
      <c r="U26" s="151">
        <f>U9+U14+U19+U24</f>
        <v>0</v>
      </c>
    </row>
    <row r="27" spans="1:21" ht="15" outlineLevel="1" thickTop="1" x14ac:dyDescent="0.35"/>
    <row r="28" spans="1:21" s="148" customFormat="1" outlineLevel="1" x14ac:dyDescent="0.35"/>
    <row r="29" spans="1:21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</row>
    <row r="30" spans="1:21" x14ac:dyDescent="0.35">
      <c r="A30" s="131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</row>
    <row r="31" spans="1:21" x14ac:dyDescent="0.35">
      <c r="B31" s="41" t="str">
        <f>$A$4</f>
        <v>NYPA Rate II</v>
      </c>
      <c r="C31" s="133" t="s">
        <v>662</v>
      </c>
      <c r="D31" s="133"/>
      <c r="E31" s="133"/>
      <c r="F31" s="133"/>
      <c r="P31"/>
    </row>
    <row r="32" spans="1:21" x14ac:dyDescent="0.35">
      <c r="C32" t="s">
        <v>655</v>
      </c>
      <c r="I32" s="819">
        <f>M17</f>
        <v>4423338</v>
      </c>
      <c r="J32" s="892" t="s">
        <v>79</v>
      </c>
      <c r="P32"/>
    </row>
    <row r="33" spans="3:16" x14ac:dyDescent="0.35">
      <c r="I33" s="130"/>
      <c r="P33"/>
    </row>
    <row r="34" spans="3:16" x14ac:dyDescent="0.35">
      <c r="C34" t="s">
        <v>696</v>
      </c>
      <c r="H34" s="690">
        <f>L14</f>
        <v>2.4550200000000001E-2</v>
      </c>
      <c r="J34" s="892" t="s">
        <v>78</v>
      </c>
      <c r="P34"/>
    </row>
    <row r="35" spans="3:16" x14ac:dyDescent="0.35">
      <c r="H35" s="467"/>
      <c r="J35" s="136"/>
      <c r="P35"/>
    </row>
    <row r="36" spans="3:16" x14ac:dyDescent="0.35">
      <c r="C36" t="s">
        <v>703</v>
      </c>
      <c r="G36" s="135"/>
      <c r="H36" s="135" t="s">
        <v>702</v>
      </c>
      <c r="I36" s="130"/>
      <c r="J36" s="136"/>
      <c r="P36"/>
    </row>
    <row r="37" spans="3:16" x14ac:dyDescent="0.35">
      <c r="C37" t="s">
        <v>704</v>
      </c>
      <c r="G37" s="819">
        <f>L24</f>
        <v>0</v>
      </c>
      <c r="H37" s="819">
        <f>ROUND(G37*H$34,0)</f>
        <v>0</v>
      </c>
      <c r="I37" s="130"/>
      <c r="J37" s="892" t="s">
        <v>1878</v>
      </c>
      <c r="P37"/>
    </row>
    <row r="38" spans="3:16" x14ac:dyDescent="0.35">
      <c r="C38" t="s">
        <v>705</v>
      </c>
      <c r="G38" s="819">
        <f>L25</f>
        <v>0</v>
      </c>
      <c r="H38" s="819">
        <f>ROUND(G38*H$34,0)</f>
        <v>0</v>
      </c>
      <c r="I38" s="130"/>
      <c r="J38" s="892" t="s">
        <v>1879</v>
      </c>
      <c r="P38"/>
    </row>
    <row r="39" spans="3:16" x14ac:dyDescent="0.35">
      <c r="C39" t="s">
        <v>706</v>
      </c>
      <c r="G39" s="819">
        <f>L26</f>
        <v>633188.28107374255</v>
      </c>
      <c r="H39" s="903">
        <f>ROUND(G39*H$34,0)</f>
        <v>15545</v>
      </c>
      <c r="J39" s="892" t="s">
        <v>1880</v>
      </c>
      <c r="P39"/>
    </row>
    <row r="40" spans="3:16" x14ac:dyDescent="0.35">
      <c r="G40" s="130"/>
      <c r="H40" s="130">
        <f>SUM(H37:H39)</f>
        <v>15545</v>
      </c>
      <c r="I40" s="130"/>
      <c r="J40" s="136" t="s">
        <v>1881</v>
      </c>
      <c r="P40"/>
    </row>
    <row r="41" spans="3:16" x14ac:dyDescent="0.35">
      <c r="C41" s="466" t="s">
        <v>701</v>
      </c>
      <c r="H41" s="990">
        <f>ROUND(L18/M18,5)</f>
        <v>1.0114300000000001</v>
      </c>
      <c r="J41" s="136" t="s">
        <v>1778</v>
      </c>
      <c r="P41"/>
    </row>
    <row r="42" spans="3:16" x14ac:dyDescent="0.35">
      <c r="C42" t="s">
        <v>707</v>
      </c>
      <c r="G42" s="130"/>
      <c r="H42" s="130"/>
      <c r="I42" s="379">
        <f>H40/H41</f>
        <v>15369.328574394669</v>
      </c>
      <c r="J42" s="136" t="s">
        <v>1882</v>
      </c>
      <c r="P42"/>
    </row>
    <row r="43" spans="3:16" x14ac:dyDescent="0.35">
      <c r="C43" t="s">
        <v>97</v>
      </c>
      <c r="G43" s="130"/>
      <c r="H43" s="130"/>
      <c r="I43" s="130">
        <f>I32-I42</f>
        <v>4407968.6714256052</v>
      </c>
      <c r="J43" s="136" t="s">
        <v>1883</v>
      </c>
      <c r="P43"/>
    </row>
    <row r="44" spans="3:16" x14ac:dyDescent="0.35">
      <c r="G44" s="130"/>
      <c r="H44" s="130"/>
      <c r="I44" s="130"/>
      <c r="J44" s="136"/>
      <c r="P44"/>
    </row>
    <row r="45" spans="3:16" x14ac:dyDescent="0.35">
      <c r="C45" t="s">
        <v>708</v>
      </c>
      <c r="I45" s="130">
        <f>M18</f>
        <v>179480193</v>
      </c>
      <c r="J45" s="136" t="s">
        <v>1111</v>
      </c>
      <c r="P45"/>
    </row>
    <row r="46" spans="3:16" ht="15" thickBot="1" x14ac:dyDescent="0.4">
      <c r="I46" s="130"/>
      <c r="J46" s="136"/>
      <c r="P46"/>
    </row>
    <row r="47" spans="3:16" ht="15.5" thickTop="1" thickBot="1" x14ac:dyDescent="0.4">
      <c r="C47" t="s">
        <v>657</v>
      </c>
      <c r="I47" s="995">
        <f>I43+I45</f>
        <v>183888161.67142561</v>
      </c>
      <c r="J47" s="136" t="s">
        <v>1300</v>
      </c>
      <c r="P47"/>
    </row>
    <row r="48" spans="3:16" ht="15" thickTop="1" x14ac:dyDescent="0.35">
      <c r="I48" s="345"/>
      <c r="J48" s="136"/>
      <c r="P48"/>
    </row>
    <row r="49" spans="1:16" x14ac:dyDescent="0.35">
      <c r="C49" s="75" t="s">
        <v>658</v>
      </c>
      <c r="D49" s="75"/>
      <c r="E49" s="75"/>
      <c r="F49" s="75"/>
      <c r="I49" s="964">
        <f>ROUND(I43/I45,8)</f>
        <v>2.4559640000000001E-2</v>
      </c>
      <c r="J49" s="136" t="s">
        <v>1884</v>
      </c>
      <c r="P49"/>
    </row>
    <row r="50" spans="1:16" x14ac:dyDescent="0.35">
      <c r="P50"/>
    </row>
    <row r="51" spans="1:16" ht="14.25" customHeight="1" x14ac:dyDescent="0.35">
      <c r="P51"/>
    </row>
    <row r="52" spans="1:16" x14ac:dyDescent="0.35">
      <c r="A52" s="858" t="s">
        <v>666</v>
      </c>
      <c r="P52"/>
    </row>
    <row r="53" spans="1:16" ht="15" thickBot="1" x14ac:dyDescent="0.4">
      <c r="P53"/>
    </row>
    <row r="54" spans="1:16" ht="15.5" thickTop="1" thickBot="1" x14ac:dyDescent="0.4">
      <c r="B54" s="41" t="str">
        <f>$A$4</f>
        <v>NYPA Rate II</v>
      </c>
      <c r="C54" s="3"/>
      <c r="D54" s="3"/>
      <c r="E54" s="3"/>
      <c r="F54" s="3"/>
      <c r="G54" s="3"/>
      <c r="H54" s="1316" t="s">
        <v>82</v>
      </c>
      <c r="I54" s="1317"/>
      <c r="J54" s="1318"/>
      <c r="K54" s="3"/>
      <c r="L54" s="1307" t="s">
        <v>81</v>
      </c>
      <c r="M54" s="1308"/>
      <c r="N54" s="1309"/>
    </row>
    <row r="55" spans="1:16" ht="15" thickTop="1" x14ac:dyDescent="0.35">
      <c r="B55" s="3"/>
      <c r="C55" s="3"/>
      <c r="E55" s="30" t="s">
        <v>80</v>
      </c>
      <c r="F55" s="3"/>
      <c r="G55" s="3"/>
      <c r="H55" s="30" t="s">
        <v>42</v>
      </c>
      <c r="I55" s="30"/>
      <c r="J55" s="30" t="s">
        <v>40</v>
      </c>
      <c r="K55" s="3"/>
      <c r="L55" s="30" t="s">
        <v>42</v>
      </c>
      <c r="M55" s="86"/>
      <c r="N55" s="30" t="s">
        <v>40</v>
      </c>
    </row>
    <row r="56" spans="1:16" x14ac:dyDescent="0.35">
      <c r="B56" s="3" t="s">
        <v>656</v>
      </c>
      <c r="C56" s="3"/>
      <c r="D56" s="121" t="str">
        <f>Q6</f>
        <v>D1</v>
      </c>
      <c r="E56" s="122"/>
      <c r="F56" s="121" t="str">
        <f>R6</f>
        <v>8-6</v>
      </c>
      <c r="G56" s="123"/>
      <c r="H56" s="35">
        <f>G11</f>
        <v>7.4</v>
      </c>
      <c r="I56" s="136" t="s">
        <v>165</v>
      </c>
      <c r="J56" s="35">
        <f>G8</f>
        <v>0</v>
      </c>
      <c r="K56" s="3"/>
      <c r="L56" s="27">
        <f>H56-$J$57</f>
        <v>-5.7999999999999989</v>
      </c>
      <c r="M56" s="136" t="s">
        <v>1885</v>
      </c>
      <c r="N56" s="3"/>
    </row>
    <row r="57" spans="1:16" x14ac:dyDescent="0.35">
      <c r="B57" s="3"/>
      <c r="C57" s="3"/>
      <c r="D57" s="121" t="str">
        <f>Q7</f>
        <v>D2</v>
      </c>
      <c r="E57" s="122"/>
      <c r="F57" s="121" t="str">
        <f>R7</f>
        <v>8-10</v>
      </c>
      <c r="G57" s="36"/>
      <c r="H57" s="35">
        <f>G12</f>
        <v>21.77</v>
      </c>
      <c r="I57" s="136" t="s">
        <v>166</v>
      </c>
      <c r="J57" s="35">
        <f>G9</f>
        <v>13.2</v>
      </c>
      <c r="K57" s="136" t="s">
        <v>101</v>
      </c>
      <c r="L57" s="27">
        <f>H57-$J$57</f>
        <v>8.57</v>
      </c>
      <c r="M57" s="136" t="s">
        <v>1886</v>
      </c>
      <c r="N57" s="112"/>
      <c r="O57" s="136" t="s">
        <v>1556</v>
      </c>
    </row>
    <row r="58" spans="1:16" x14ac:dyDescent="0.35">
      <c r="B58" s="3"/>
      <c r="C58" s="3"/>
      <c r="D58" s="121" t="str">
        <f>Q8</f>
        <v>D3</v>
      </c>
      <c r="E58" s="122"/>
      <c r="F58" s="121" t="str">
        <f>R8</f>
        <v>All Day</v>
      </c>
      <c r="G58" s="36"/>
      <c r="H58" s="35">
        <f>G13</f>
        <v>20.09</v>
      </c>
      <c r="I58" s="136" t="s">
        <v>138</v>
      </c>
      <c r="J58" s="35">
        <f>G10</f>
        <v>4.7300000000000004</v>
      </c>
      <c r="K58" s="136" t="s">
        <v>100</v>
      </c>
      <c r="L58" s="27">
        <f>H58-$J$57</f>
        <v>6.8900000000000006</v>
      </c>
      <c r="M58" s="136" t="s">
        <v>1887</v>
      </c>
      <c r="N58" s="27">
        <f>J58-$J$57</f>
        <v>-8.4699999999999989</v>
      </c>
      <c r="O58" s="136" t="s">
        <v>1888</v>
      </c>
    </row>
    <row r="59" spans="1:16" x14ac:dyDescent="0.35">
      <c r="B59" s="3"/>
      <c r="C59" s="3"/>
      <c r="D59" s="2"/>
      <c r="E59" s="122"/>
      <c r="F59" s="122"/>
      <c r="G59" s="36"/>
      <c r="H59" s="120"/>
      <c r="I59" s="120"/>
      <c r="J59" s="120"/>
      <c r="K59" s="3"/>
      <c r="L59" s="27"/>
      <c r="N59" s="61"/>
    </row>
    <row r="60" spans="1:16" ht="15" thickBot="1" x14ac:dyDescent="0.4">
      <c r="K60" s="100" t="s">
        <v>688</v>
      </c>
      <c r="L60" s="906">
        <f>I49</f>
        <v>2.4559640000000001E-2</v>
      </c>
      <c r="M60" s="136" t="s">
        <v>1263</v>
      </c>
    </row>
    <row r="61" spans="1:16" ht="15.5" thickTop="1" thickBot="1" x14ac:dyDescent="0.4">
      <c r="B61" s="119" t="s">
        <v>77</v>
      </c>
      <c r="L61" s="1307" t="s">
        <v>76</v>
      </c>
      <c r="M61" s="1308"/>
      <c r="N61" s="1309"/>
    </row>
    <row r="62" spans="1:16" ht="15.5" thickTop="1" thickBot="1" x14ac:dyDescent="0.4">
      <c r="C62" s="41" t="str">
        <f>B54</f>
        <v>NYPA Rate II</v>
      </c>
      <c r="D62" s="41" t="str">
        <f>$B$56</f>
        <v>(HT &amp; LT)</v>
      </c>
      <c r="H62" s="118" t="s">
        <v>42</v>
      </c>
      <c r="I62" s="118" t="s">
        <v>40</v>
      </c>
      <c r="L62" s="30" t="s">
        <v>42</v>
      </c>
      <c r="M62" s="86"/>
      <c r="N62" s="30" t="s">
        <v>40</v>
      </c>
    </row>
    <row r="63" spans="1:16" x14ac:dyDescent="0.35">
      <c r="C63" s="121" t="str">
        <f>D56</f>
        <v>D1</v>
      </c>
      <c r="D63" s="121" t="str">
        <f>F56</f>
        <v>8-6</v>
      </c>
      <c r="H63" s="117" t="str">
        <f>CONCATENATE("X + ",L63)</f>
        <v>X + -5.94</v>
      </c>
      <c r="I63" s="457"/>
      <c r="L63" s="27">
        <f>ROUND(L56*(1+$L$60),2)</f>
        <v>-5.94</v>
      </c>
      <c r="M63" s="136" t="s">
        <v>1889</v>
      </c>
    </row>
    <row r="64" spans="1:16" x14ac:dyDescent="0.35">
      <c r="C64" s="121" t="str">
        <f>D57</f>
        <v>D2</v>
      </c>
      <c r="D64" s="121" t="str">
        <f>F57</f>
        <v>8-10</v>
      </c>
      <c r="H64" s="114" t="str">
        <f>CONCATENATE("X + ",L64)</f>
        <v>X + 8.78</v>
      </c>
      <c r="I64" s="115" t="s">
        <v>32</v>
      </c>
      <c r="L64" s="27">
        <f>ROUND(L57*(1+$L$60),2)</f>
        <v>8.7799999999999994</v>
      </c>
      <c r="M64" s="136" t="s">
        <v>1890</v>
      </c>
      <c r="N64" s="112"/>
    </row>
    <row r="65" spans="1:21" s="1" customFormat="1" ht="15" thickBot="1" x14ac:dyDescent="0.4">
      <c r="A65"/>
      <c r="C65" s="121" t="str">
        <f>D58</f>
        <v>D3</v>
      </c>
      <c r="D65" s="121" t="str">
        <f>F58</f>
        <v>All Day</v>
      </c>
      <c r="E65"/>
      <c r="F65"/>
      <c r="H65" s="111" t="str">
        <f>CONCATENATE("X + ",L65)</f>
        <v>X + 7.06</v>
      </c>
      <c r="I65" s="110" t="str">
        <f>CONCATENATE("X + ",N65)</f>
        <v>X + -8.68</v>
      </c>
      <c r="J65"/>
      <c r="K65"/>
      <c r="L65" s="27">
        <f>ROUND(L58*(1+$L$60),2)</f>
        <v>7.06</v>
      </c>
      <c r="M65" s="136" t="s">
        <v>1891</v>
      </c>
      <c r="N65" s="27">
        <f>ROUND(N58*(1+$L$60),2)</f>
        <v>-8.68</v>
      </c>
      <c r="O65" s="136" t="s">
        <v>1892</v>
      </c>
      <c r="Q65"/>
      <c r="R65"/>
      <c r="S65"/>
      <c r="T65"/>
      <c r="U65"/>
    </row>
    <row r="66" spans="1:21" s="1" customForma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Q66"/>
      <c r="R66"/>
      <c r="S66"/>
      <c r="T66"/>
      <c r="U66"/>
    </row>
    <row r="67" spans="1:21" s="1" customForma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Q67"/>
      <c r="R67"/>
      <c r="S67"/>
      <c r="T67"/>
      <c r="U67"/>
    </row>
    <row r="68" spans="1:21" s="1" customFormat="1" x14ac:dyDescent="0.35">
      <c r="A68"/>
      <c r="B68" s="334" t="s">
        <v>70</v>
      </c>
      <c r="C68"/>
      <c r="D68"/>
      <c r="E68"/>
      <c r="F68"/>
      <c r="G68"/>
      <c r="H68"/>
      <c r="I68"/>
      <c r="J68"/>
      <c r="K68"/>
      <c r="L68"/>
      <c r="M68"/>
      <c r="N68"/>
      <c r="O68"/>
      <c r="Q68"/>
      <c r="R68"/>
      <c r="S68"/>
      <c r="T68"/>
      <c r="U68"/>
    </row>
    <row r="69" spans="1:21" s="1" customFormat="1" x14ac:dyDescent="0.35">
      <c r="A69"/>
      <c r="B69" s="41" t="str">
        <f>$A$4</f>
        <v>NYPA Rate II</v>
      </c>
      <c r="C69"/>
      <c r="D69"/>
      <c r="E69"/>
      <c r="F69"/>
      <c r="G69"/>
      <c r="H69"/>
      <c r="I69"/>
      <c r="J69"/>
      <c r="K69"/>
      <c r="L69"/>
      <c r="M69"/>
      <c r="N69"/>
      <c r="O69"/>
      <c r="Q69"/>
      <c r="R69"/>
      <c r="S69"/>
      <c r="T69"/>
      <c r="U69"/>
    </row>
    <row r="70" spans="1:21" s="1" customFormat="1" ht="15" thickBot="1" x14ac:dyDescent="0.4">
      <c r="A70"/>
      <c r="B70" s="70" t="s">
        <v>69</v>
      </c>
      <c r="C70" s="70"/>
      <c r="D70" s="70"/>
      <c r="E70" s="3"/>
      <c r="F70" s="3"/>
      <c r="G70" s="3"/>
      <c r="H70"/>
      <c r="I70" s="69" t="s">
        <v>25</v>
      </c>
      <c r="J70" s="3"/>
      <c r="K70" s="3"/>
      <c r="L70"/>
      <c r="M70"/>
      <c r="N70"/>
      <c r="O70"/>
      <c r="Q70"/>
      <c r="R70"/>
      <c r="S70"/>
      <c r="T70"/>
      <c r="U70"/>
    </row>
    <row r="71" spans="1:21" s="1" customFormat="1" x14ac:dyDescent="0.35">
      <c r="A71"/>
      <c r="B71" s="3"/>
      <c r="C71" s="392" t="str">
        <f>CONCATENATE(D56,": ",F56)</f>
        <v>D1: 8-6</v>
      </c>
      <c r="D71" s="70"/>
      <c r="E71" s="3" t="s">
        <v>42</v>
      </c>
      <c r="F71" s="3"/>
      <c r="I71" s="72">
        <f>S6+S16</f>
        <v>2621570.8000000003</v>
      </c>
      <c r="J71" s="36"/>
      <c r="K71" s="74" t="str">
        <f>CONCATENATE("[",H63,"]")</f>
        <v>[X + -5.94]</v>
      </c>
      <c r="L71" s="61" t="s">
        <v>1560</v>
      </c>
      <c r="M71"/>
      <c r="N71"/>
      <c r="O71"/>
      <c r="Q71"/>
      <c r="R71"/>
      <c r="S71"/>
      <c r="T71"/>
      <c r="U71"/>
    </row>
    <row r="72" spans="1:21" s="1" customFormat="1" x14ac:dyDescent="0.35">
      <c r="A72"/>
      <c r="B72" s="3"/>
      <c r="C72" s="464"/>
      <c r="D72" s="3"/>
      <c r="E72" s="3" t="s">
        <v>40</v>
      </c>
      <c r="F72" s="3"/>
      <c r="I72" s="458">
        <f>S11+S21</f>
        <v>0</v>
      </c>
      <c r="J72" s="36" t="s">
        <v>39</v>
      </c>
      <c r="K72" s="456"/>
      <c r="L72"/>
      <c r="M72"/>
      <c r="N72"/>
      <c r="O72"/>
      <c r="Q72"/>
      <c r="R72"/>
      <c r="S72"/>
      <c r="T72"/>
      <c r="U72"/>
    </row>
    <row r="73" spans="1:21" s="1" customFormat="1" x14ac:dyDescent="0.35">
      <c r="A73"/>
      <c r="B73" s="3"/>
      <c r="C73" s="392" t="str">
        <f>CONCATENATE(D57,": ",F57)</f>
        <v>D2: 8-10</v>
      </c>
      <c r="D73" s="3"/>
      <c r="E73" s="3" t="s">
        <v>42</v>
      </c>
      <c r="F73" s="3"/>
      <c r="I73" s="72">
        <f>S7+S17</f>
        <v>2663400.2200000002</v>
      </c>
      <c r="J73" s="36"/>
      <c r="K73" s="73" t="str">
        <f>CONCATENATE("[",H64,"]")</f>
        <v>[X + 8.78]</v>
      </c>
      <c r="L73" s="61" t="s">
        <v>1557</v>
      </c>
      <c r="M73"/>
      <c r="N73"/>
      <c r="O73"/>
      <c r="Q73"/>
      <c r="R73"/>
      <c r="S73"/>
      <c r="T73"/>
      <c r="U73"/>
    </row>
    <row r="74" spans="1:21" s="1" customFormat="1" x14ac:dyDescent="0.35">
      <c r="A74"/>
      <c r="B74" s="3"/>
      <c r="C74" s="464"/>
      <c r="D74" s="3"/>
      <c r="E74" s="3" t="s">
        <v>40</v>
      </c>
      <c r="F74" s="3"/>
      <c r="H74"/>
      <c r="I74" s="366">
        <f>S12+S22</f>
        <v>4515071.0291000009</v>
      </c>
      <c r="J74" s="36" t="s">
        <v>39</v>
      </c>
      <c r="K74" s="73" t="str">
        <f>CONCATENATE("[",I64,"]")</f>
        <v>[X]</v>
      </c>
      <c r="L74" s="61" t="s">
        <v>1642</v>
      </c>
      <c r="M74"/>
      <c r="N74"/>
      <c r="O74"/>
      <c r="Q74"/>
      <c r="R74"/>
      <c r="S74"/>
      <c r="T74"/>
      <c r="U74"/>
    </row>
    <row r="75" spans="1:21" s="1" customFormat="1" x14ac:dyDescent="0.35">
      <c r="A75"/>
      <c r="B75" s="3"/>
      <c r="C75" s="392" t="str">
        <f>CONCATENATE(D58,": ",F58)</f>
        <v>D3: All Day</v>
      </c>
      <c r="D75" s="3"/>
      <c r="E75" s="3" t="s">
        <v>42</v>
      </c>
      <c r="F75" s="3"/>
      <c r="H75"/>
      <c r="I75" s="72">
        <f>S8+S18</f>
        <v>1548344.4000000001</v>
      </c>
      <c r="J75" s="36" t="s">
        <v>39</v>
      </c>
      <c r="K75" s="73" t="str">
        <f>CONCATENATE("[",H65,"]")</f>
        <v>[X + 7.06]</v>
      </c>
      <c r="L75" s="61" t="s">
        <v>1893</v>
      </c>
      <c r="M75"/>
      <c r="N75"/>
      <c r="O75"/>
      <c r="Q75"/>
      <c r="R75"/>
      <c r="S75"/>
      <c r="T75"/>
      <c r="U75"/>
    </row>
    <row r="76" spans="1:21" s="1" customFormat="1" ht="15" thickBot="1" x14ac:dyDescent="0.4">
      <c r="A76"/>
      <c r="B76" s="3"/>
      <c r="C76" s="410"/>
      <c r="D76" s="3"/>
      <c r="E76" s="3" t="s">
        <v>40</v>
      </c>
      <c r="F76" s="3"/>
      <c r="H76"/>
      <c r="I76" s="553">
        <f>S13+S23</f>
        <v>2406738.2999999998</v>
      </c>
      <c r="J76" s="36" t="s">
        <v>39</v>
      </c>
      <c r="K76" s="71" t="str">
        <f>CONCATENATE("[",I65,"]")</f>
        <v>[X + -8.68]</v>
      </c>
      <c r="L76" s="61" t="s">
        <v>1894</v>
      </c>
      <c r="M76"/>
      <c r="N76"/>
      <c r="O76"/>
      <c r="Q76"/>
      <c r="R76"/>
      <c r="S76"/>
      <c r="T76"/>
      <c r="U76"/>
    </row>
    <row r="77" spans="1:21" s="1" customFormat="1" x14ac:dyDescent="0.35">
      <c r="A77"/>
      <c r="B77" s="3"/>
      <c r="C77" s="3"/>
      <c r="D77" s="3"/>
      <c r="E77" s="3"/>
      <c r="F77" s="3"/>
      <c r="H77"/>
      <c r="I77" s="72">
        <f>SUM(I71:I76)</f>
        <v>13755124.7491</v>
      </c>
      <c r="J77" s="136" t="s">
        <v>1601</v>
      </c>
      <c r="K77"/>
      <c r="L77"/>
      <c r="M77"/>
      <c r="N77"/>
      <c r="O77"/>
      <c r="Q77"/>
      <c r="R77"/>
      <c r="S77"/>
      <c r="T77"/>
      <c r="U77"/>
    </row>
    <row r="78" spans="1:21" x14ac:dyDescent="0.35">
      <c r="B78" s="70" t="s">
        <v>660</v>
      </c>
    </row>
    <row r="79" spans="1:21" x14ac:dyDescent="0.35">
      <c r="B79" s="41" t="str">
        <f>$A$4</f>
        <v>NYPA Rate II</v>
      </c>
      <c r="C79" s="3" t="s">
        <v>656</v>
      </c>
      <c r="F79" s="3"/>
      <c r="G79" s="3"/>
      <c r="H79" s="3"/>
      <c r="I79" s="69" t="s">
        <v>25</v>
      </c>
      <c r="J79" s="3"/>
      <c r="K79" s="106"/>
      <c r="L79" s="3"/>
      <c r="M79" s="3"/>
      <c r="N79" s="17"/>
    </row>
    <row r="80" spans="1:21" x14ac:dyDescent="0.35">
      <c r="C80" s="3" t="str">
        <f>C71</f>
        <v>D1: 8-6</v>
      </c>
      <c r="D80" s="3" t="str">
        <f t="shared" ref="D80:D85" si="2">E71</f>
        <v>Summer</v>
      </c>
      <c r="F80" s="3"/>
      <c r="G80" s="3"/>
      <c r="H80" s="3"/>
      <c r="I80" s="105">
        <f t="shared" ref="I80:I85" si="3">I71</f>
        <v>2621570.8000000003</v>
      </c>
      <c r="J80" s="65" t="s">
        <v>63</v>
      </c>
      <c r="K80" s="103">
        <f>ROUND(I80*L63,0)</f>
        <v>-15572131</v>
      </c>
      <c r="L80" s="3" t="s">
        <v>62</v>
      </c>
      <c r="M80" s="61" t="s">
        <v>1566</v>
      </c>
      <c r="N80" s="17"/>
    </row>
    <row r="81" spans="1:21" x14ac:dyDescent="0.35">
      <c r="C81" s="3"/>
      <c r="D81" s="3" t="str">
        <f t="shared" si="2"/>
        <v>Winter</v>
      </c>
      <c r="F81" s="3"/>
      <c r="G81" s="3"/>
      <c r="H81" s="3"/>
      <c r="I81" s="105">
        <f t="shared" si="3"/>
        <v>0</v>
      </c>
      <c r="J81" s="65" t="s">
        <v>63</v>
      </c>
      <c r="K81" s="103">
        <f>ROUND(I81*N63,0)</f>
        <v>0</v>
      </c>
      <c r="L81" s="3" t="s">
        <v>62</v>
      </c>
      <c r="M81" s="61"/>
      <c r="N81" s="17"/>
    </row>
    <row r="82" spans="1:21" x14ac:dyDescent="0.35">
      <c r="C82" s="3" t="str">
        <f>C73</f>
        <v>D2: 8-10</v>
      </c>
      <c r="D82" s="3" t="str">
        <f t="shared" si="2"/>
        <v>Summer</v>
      </c>
      <c r="F82" s="3"/>
      <c r="G82" s="3"/>
      <c r="H82" s="3"/>
      <c r="I82" s="105">
        <f t="shared" si="3"/>
        <v>2663400.2200000002</v>
      </c>
      <c r="J82" s="65" t="s">
        <v>63</v>
      </c>
      <c r="K82" s="103">
        <f>ROUND(I82*L64,0)</f>
        <v>23384654</v>
      </c>
      <c r="L82" s="3" t="s">
        <v>62</v>
      </c>
      <c r="M82" s="61" t="s">
        <v>1561</v>
      </c>
      <c r="N82" s="17"/>
    </row>
    <row r="83" spans="1:21" x14ac:dyDescent="0.35">
      <c r="C83" s="3"/>
      <c r="D83" s="3" t="str">
        <f t="shared" si="2"/>
        <v>Winter</v>
      </c>
      <c r="F83" s="3"/>
      <c r="G83" s="3"/>
      <c r="H83" s="3"/>
      <c r="I83" s="105">
        <f t="shared" si="3"/>
        <v>4515071.0291000009</v>
      </c>
      <c r="J83" s="65" t="s">
        <v>63</v>
      </c>
      <c r="K83" s="134">
        <f>ROUND(I83*N64,0)</f>
        <v>0</v>
      </c>
      <c r="L83" s="3" t="s">
        <v>62</v>
      </c>
      <c r="M83" s="61" t="s">
        <v>1828</v>
      </c>
      <c r="N83" s="17"/>
    </row>
    <row r="84" spans="1:21" x14ac:dyDescent="0.35">
      <c r="C84" s="3" t="str">
        <f>C75</f>
        <v>D3: All Day</v>
      </c>
      <c r="D84" s="3" t="str">
        <f t="shared" si="2"/>
        <v>Summer</v>
      </c>
      <c r="F84" s="3"/>
      <c r="G84" s="3"/>
      <c r="H84" s="3"/>
      <c r="I84" s="105">
        <f t="shared" si="3"/>
        <v>1548344.4000000001</v>
      </c>
      <c r="J84" s="65" t="s">
        <v>63</v>
      </c>
      <c r="K84" s="103">
        <f>ROUND(I84*L65,0)</f>
        <v>10931311</v>
      </c>
      <c r="L84" s="3" t="s">
        <v>62</v>
      </c>
      <c r="M84" s="61" t="s">
        <v>1562</v>
      </c>
      <c r="N84" s="17"/>
    </row>
    <row r="85" spans="1:21" x14ac:dyDescent="0.35">
      <c r="C85" s="3"/>
      <c r="D85" s="3" t="str">
        <f t="shared" si="2"/>
        <v>Winter</v>
      </c>
      <c r="F85" s="3"/>
      <c r="G85" s="3"/>
      <c r="H85" s="3"/>
      <c r="I85" s="351">
        <f t="shared" si="3"/>
        <v>2406738.2999999998</v>
      </c>
      <c r="J85" s="104" t="s">
        <v>63</v>
      </c>
      <c r="K85" s="977">
        <f>ROUND(I85*N65,0)</f>
        <v>-20890488</v>
      </c>
      <c r="L85" s="44" t="s">
        <v>62</v>
      </c>
      <c r="M85" s="61" t="s">
        <v>1895</v>
      </c>
      <c r="N85" s="17"/>
    </row>
    <row r="86" spans="1:21" x14ac:dyDescent="0.35">
      <c r="C86" s="3" t="s">
        <v>659</v>
      </c>
      <c r="F86" s="66"/>
      <c r="G86" s="66">
        <f>I47</f>
        <v>183888161.67142561</v>
      </c>
      <c r="H86" s="63" t="s">
        <v>31</v>
      </c>
      <c r="I86" s="28">
        <f>SUM(I80:I85)</f>
        <v>13755124.7491</v>
      </c>
      <c r="J86" s="65" t="s">
        <v>63</v>
      </c>
      <c r="K86" s="103">
        <f>SUM(K80:K85)</f>
        <v>-2146654</v>
      </c>
      <c r="L86" s="3" t="s">
        <v>1974</v>
      </c>
      <c r="M86" s="61" t="s">
        <v>1724</v>
      </c>
      <c r="N86" s="17"/>
    </row>
    <row r="87" spans="1:21" x14ac:dyDescent="0.35">
      <c r="F87" s="3"/>
      <c r="G87" s="3"/>
      <c r="H87" s="3"/>
      <c r="I87" s="3"/>
      <c r="J87" s="3"/>
      <c r="K87" s="3"/>
      <c r="L87" s="3"/>
      <c r="M87" s="61" t="s">
        <v>1976</v>
      </c>
      <c r="N87" s="17"/>
    </row>
    <row r="88" spans="1:21" x14ac:dyDescent="0.35">
      <c r="F88" s="34"/>
      <c r="G88" s="34">
        <f>G86-K86</f>
        <v>186034815.67142561</v>
      </c>
      <c r="H88" s="63" t="s">
        <v>31</v>
      </c>
      <c r="I88" s="28">
        <f>I86</f>
        <v>13755124.7491</v>
      </c>
      <c r="J88" s="65" t="s">
        <v>32</v>
      </c>
      <c r="K88" s="3"/>
      <c r="L88" s="3"/>
      <c r="M88" s="61" t="s">
        <v>1977</v>
      </c>
      <c r="N88" s="17"/>
    </row>
    <row r="89" spans="1:21" ht="15" thickBot="1" x14ac:dyDescent="0.4">
      <c r="F89" s="3"/>
      <c r="G89" s="3"/>
      <c r="H89" s="3"/>
      <c r="I89" s="3"/>
      <c r="J89" s="3"/>
      <c r="K89" s="3"/>
      <c r="L89" s="3"/>
      <c r="M89" s="3"/>
      <c r="N89" s="17"/>
    </row>
    <row r="90" spans="1:21" s="1" customFormat="1" ht="15.5" thickTop="1" thickBot="1" x14ac:dyDescent="0.4">
      <c r="A90"/>
      <c r="B90"/>
      <c r="C90"/>
      <c r="D90"/>
      <c r="E90"/>
      <c r="F90" s="64"/>
      <c r="G90" s="64" t="s">
        <v>32</v>
      </c>
      <c r="H90" s="63" t="s">
        <v>31</v>
      </c>
      <c r="I90" s="99">
        <f>ROUND(G88/I88,2)</f>
        <v>13.52</v>
      </c>
      <c r="J90" s="198" t="s">
        <v>1975</v>
      </c>
      <c r="K90" s="3"/>
      <c r="L90" s="3"/>
      <c r="M90" s="61" t="s">
        <v>1978</v>
      </c>
      <c r="N90" s="17"/>
      <c r="O90"/>
      <c r="Q90"/>
      <c r="R90"/>
      <c r="S90"/>
      <c r="T90"/>
      <c r="U90"/>
    </row>
    <row r="91" spans="1:21" ht="15" thickTop="1" x14ac:dyDescent="0.35">
      <c r="P91"/>
    </row>
    <row r="92" spans="1:21" s="1" customFormat="1" x14ac:dyDescent="0.35">
      <c r="A92"/>
      <c r="B92" s="334" t="str">
        <f>CONCATENATE($A$4," at Proposed Demand Rates")</f>
        <v>NYPA Rate II at Proposed Demand Rates</v>
      </c>
      <c r="C92"/>
      <c r="D92"/>
      <c r="E92"/>
      <c r="F92"/>
      <c r="G92"/>
      <c r="H92"/>
      <c r="I92"/>
      <c r="J92"/>
      <c r="K92"/>
      <c r="L92"/>
      <c r="M92"/>
      <c r="N92"/>
      <c r="O92"/>
      <c r="Q92"/>
      <c r="R92"/>
      <c r="S92"/>
      <c r="T92"/>
      <c r="U92"/>
    </row>
    <row r="93" spans="1:21" s="1" customFormat="1" x14ac:dyDescent="0.35">
      <c r="A93"/>
      <c r="C93" s="3" t="s">
        <v>5</v>
      </c>
      <c r="D93" s="1319">
        <f>$L$4</f>
        <v>2020</v>
      </c>
      <c r="E93" s="1319"/>
      <c r="F93" s="1319"/>
      <c r="G93" s="3"/>
      <c r="H93" s="3"/>
      <c r="I93" s="3"/>
      <c r="J93" s="3"/>
      <c r="K93" s="3"/>
      <c r="L93" s="3"/>
      <c r="M93" s="3"/>
      <c r="Q93"/>
      <c r="R93"/>
      <c r="S93"/>
      <c r="T93"/>
      <c r="U93"/>
    </row>
    <row r="94" spans="1:21" s="1" customFormat="1" ht="15" thickBot="1" x14ac:dyDescent="0.4">
      <c r="A94"/>
      <c r="B9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/>
      <c r="Q94"/>
      <c r="R94"/>
      <c r="S94"/>
      <c r="T94"/>
      <c r="U94"/>
    </row>
    <row r="95" spans="1:21" s="1" customFormat="1" ht="15" thickBot="1" x14ac:dyDescent="0.4">
      <c r="A95"/>
      <c r="B95"/>
      <c r="C95" s="60"/>
      <c r="D95" s="59"/>
      <c r="E95" s="59"/>
      <c r="F95" s="59"/>
      <c r="G95" s="59"/>
      <c r="H95" s="59"/>
      <c r="I95" s="59"/>
      <c r="J95" s="59"/>
      <c r="K95" s="59"/>
      <c r="L95" s="98"/>
      <c r="M95" s="3"/>
      <c r="N95" s="1349" t="s">
        <v>661</v>
      </c>
      <c r="O95" s="1349"/>
      <c r="P95" s="1349"/>
      <c r="Q95" s="1349"/>
      <c r="R95"/>
      <c r="S95"/>
      <c r="T95"/>
      <c r="U95"/>
    </row>
    <row r="96" spans="1:21" s="1" customFormat="1" ht="15.5" thickTop="1" thickBot="1" x14ac:dyDescent="0.4">
      <c r="A96"/>
      <c r="B96"/>
      <c r="C96" s="461" t="str">
        <f>$A$4</f>
        <v>NYPA Rate II</v>
      </c>
      <c r="D96" s="44"/>
      <c r="E96" s="44"/>
      <c r="F96" s="44"/>
      <c r="G96" s="44"/>
      <c r="H96" s="1313" t="s">
        <v>58</v>
      </c>
      <c r="I96" s="1314"/>
      <c r="J96" s="1315"/>
      <c r="K96" s="44"/>
      <c r="L96" s="94"/>
      <c r="N96" s="1349" t="s">
        <v>57</v>
      </c>
      <c r="O96" s="1349"/>
      <c r="P96" s="1349"/>
      <c r="Q96" s="1349"/>
      <c r="R96"/>
      <c r="S96"/>
      <c r="T96"/>
      <c r="U96"/>
    </row>
    <row r="97" spans="1:21" s="1" customFormat="1" ht="15" thickTop="1" x14ac:dyDescent="0.35">
      <c r="A97"/>
      <c r="B97"/>
      <c r="C97" s="96" t="str">
        <f>$B$56</f>
        <v>(HT &amp; LT)</v>
      </c>
      <c r="D97" s="44"/>
      <c r="E97" s="44"/>
      <c r="F97" s="44"/>
      <c r="G97" s="44"/>
      <c r="H97" s="56" t="s">
        <v>10</v>
      </c>
      <c r="I97" s="44"/>
      <c r="J97" s="56" t="s">
        <v>7</v>
      </c>
      <c r="K97" s="44"/>
      <c r="L97" s="94"/>
      <c r="N97" s="36" t="s">
        <v>10</v>
      </c>
      <c r="P97" s="36" t="s">
        <v>7</v>
      </c>
      <c r="Q97"/>
      <c r="R97"/>
      <c r="S97"/>
      <c r="T97"/>
      <c r="U97"/>
    </row>
    <row r="98" spans="1:21" x14ac:dyDescent="0.35">
      <c r="C98" s="96"/>
      <c r="D98" s="56" t="str">
        <f>$C$63</f>
        <v>D1</v>
      </c>
      <c r="E98" s="56"/>
      <c r="F98" s="56" t="str">
        <f>$D$63</f>
        <v>8-6</v>
      </c>
      <c r="G98" s="44"/>
      <c r="H98" s="97">
        <f>$J$99+L63</f>
        <v>7.5799999999999992</v>
      </c>
      <c r="I98" s="54" t="s">
        <v>1896</v>
      </c>
      <c r="J98" s="459"/>
      <c r="K98" s="54"/>
      <c r="L98" s="94"/>
      <c r="N98" s="460">
        <f>H98/H56-1</f>
        <v>2.4324324324324076E-2</v>
      </c>
      <c r="O98" s="54" t="s">
        <v>1901</v>
      </c>
      <c r="P98" s="460"/>
    </row>
    <row r="99" spans="1:21" x14ac:dyDescent="0.35">
      <c r="C99" s="96"/>
      <c r="D99" s="56" t="str">
        <f>$C$64</f>
        <v>D2</v>
      </c>
      <c r="E99" s="56"/>
      <c r="F99" s="56" t="str">
        <f>$D$64</f>
        <v>8-10</v>
      </c>
      <c r="G99" s="44"/>
      <c r="H99" s="97">
        <f>$J$99+L64</f>
        <v>22.299999999999997</v>
      </c>
      <c r="I99" s="54" t="s">
        <v>1897</v>
      </c>
      <c r="J99" s="95">
        <f>I90</f>
        <v>13.52</v>
      </c>
      <c r="K99" s="54" t="s">
        <v>1899</v>
      </c>
      <c r="L99" s="94"/>
      <c r="N99" s="460">
        <f>H99/H57-1</f>
        <v>2.4345429490123971E-2</v>
      </c>
      <c r="O99" s="54" t="s">
        <v>1902</v>
      </c>
      <c r="P99" s="460">
        <f>J99/J57-1</f>
        <v>2.4242424242424176E-2</v>
      </c>
      <c r="Q99" s="54" t="s">
        <v>1904</v>
      </c>
    </row>
    <row r="100" spans="1:21" x14ac:dyDescent="0.35">
      <c r="C100" s="96"/>
      <c r="D100" s="56" t="str">
        <f>$C$65</f>
        <v>D3</v>
      </c>
      <c r="E100" s="56"/>
      <c r="F100" s="56" t="str">
        <f>$D$65</f>
        <v>All Day</v>
      </c>
      <c r="G100" s="44"/>
      <c r="H100" s="97">
        <f>$J$99+L65</f>
        <v>20.58</v>
      </c>
      <c r="I100" s="54" t="s">
        <v>1898</v>
      </c>
      <c r="J100" s="97">
        <f>$J$99+N65</f>
        <v>4.84</v>
      </c>
      <c r="K100" s="54" t="s">
        <v>1900</v>
      </c>
      <c r="L100" s="94"/>
      <c r="N100" s="460">
        <f>H100/H58-1</f>
        <v>2.4390243902439046E-2</v>
      </c>
      <c r="O100" s="54" t="s">
        <v>1903</v>
      </c>
      <c r="P100" s="460">
        <f>J100/J58-1</f>
        <v>2.3255813953488191E-2</v>
      </c>
      <c r="Q100" s="54" t="s">
        <v>1905</v>
      </c>
    </row>
    <row r="101" spans="1:21" ht="15" thickBot="1" x14ac:dyDescent="0.4">
      <c r="C101" s="93"/>
      <c r="D101" s="46"/>
      <c r="E101" s="46"/>
      <c r="F101" s="46"/>
      <c r="G101" s="46"/>
      <c r="H101" s="46"/>
      <c r="I101" s="92"/>
      <c r="J101" s="46"/>
      <c r="K101" s="92"/>
      <c r="L101" s="91"/>
      <c r="M101" s="17"/>
    </row>
    <row r="103" spans="1:21" x14ac:dyDescent="0.35">
      <c r="A103" s="88" t="s">
        <v>1927</v>
      </c>
      <c r="B103" s="88"/>
      <c r="C103" s="87"/>
    </row>
    <row r="104" spans="1:21" x14ac:dyDescent="0.35">
      <c r="A104" s="858" t="s">
        <v>665</v>
      </c>
      <c r="B104" s="3"/>
      <c r="C104" s="3"/>
      <c r="D104" s="3"/>
      <c r="E104" s="3"/>
      <c r="F104" s="3"/>
      <c r="I104" s="3"/>
    </row>
    <row r="105" spans="1:21" x14ac:dyDescent="0.35">
      <c r="A105" s="420"/>
      <c r="B105" s="3"/>
      <c r="C105" s="3"/>
      <c r="D105" s="3"/>
      <c r="E105" s="3"/>
      <c r="F105" s="3"/>
      <c r="G105" s="3"/>
      <c r="H105" s="3"/>
      <c r="I105" s="3"/>
    </row>
    <row r="106" spans="1:21" x14ac:dyDescent="0.35">
      <c r="A106" s="42"/>
      <c r="B106" s="42" t="s">
        <v>664</v>
      </c>
      <c r="C106" s="3"/>
      <c r="D106" s="3"/>
      <c r="E106" s="3"/>
      <c r="F106" s="3"/>
      <c r="G106" s="3"/>
      <c r="H106" s="3"/>
      <c r="I106" s="3"/>
    </row>
    <row r="107" spans="1:21" x14ac:dyDescent="0.35">
      <c r="A107" s="42"/>
      <c r="B107" s="41" t="str">
        <f>$A$4</f>
        <v>NYPA Rate II</v>
      </c>
      <c r="C107" s="133" t="s">
        <v>669</v>
      </c>
      <c r="D107" s="133"/>
      <c r="E107" s="133"/>
      <c r="F107" s="133"/>
    </row>
    <row r="108" spans="1:21" x14ac:dyDescent="0.35">
      <c r="A108" s="42"/>
      <c r="B108" s="41"/>
      <c r="C108" t="s">
        <v>670</v>
      </c>
      <c r="I108" s="130">
        <f>M19</f>
        <v>0</v>
      </c>
    </row>
    <row r="109" spans="1:21" ht="15" thickBot="1" x14ac:dyDescent="0.4">
      <c r="A109" s="42"/>
      <c r="B109" s="41"/>
      <c r="C109" t="s">
        <v>671</v>
      </c>
      <c r="I109" s="130">
        <f>M20</f>
        <v>0</v>
      </c>
    </row>
    <row r="110" spans="1:21" ht="15.5" thickTop="1" thickBot="1" x14ac:dyDescent="0.4">
      <c r="A110" s="42"/>
      <c r="B110" s="41"/>
      <c r="C110" t="s">
        <v>672</v>
      </c>
      <c r="I110" s="128">
        <f>I108+I109</f>
        <v>0</v>
      </c>
    </row>
    <row r="111" spans="1:21" ht="15" thickTop="1" x14ac:dyDescent="0.35">
      <c r="A111" s="42"/>
      <c r="B111" s="41"/>
      <c r="I111" s="345"/>
    </row>
    <row r="112" spans="1:21" x14ac:dyDescent="0.35">
      <c r="A112" s="42"/>
      <c r="B112" s="41"/>
      <c r="C112" s="75" t="s">
        <v>681</v>
      </c>
      <c r="D112" s="75"/>
      <c r="E112" s="75"/>
      <c r="F112" s="75"/>
      <c r="I112" s="127">
        <f>IF(ISNUMBER(ROUND(I108/I109,8)),ROUND(I108/I109,8),0)</f>
        <v>0</v>
      </c>
    </row>
    <row r="113" spans="1:17" x14ac:dyDescent="0.35">
      <c r="A113" s="42"/>
      <c r="B113" s="41"/>
      <c r="C113" s="3"/>
      <c r="D113" s="3"/>
      <c r="E113" s="3"/>
      <c r="F113" s="3"/>
      <c r="G113" s="3"/>
      <c r="H113" s="3"/>
      <c r="I113" s="3"/>
    </row>
    <row r="114" spans="1:17" x14ac:dyDescent="0.35">
      <c r="A114" s="407" t="s">
        <v>682</v>
      </c>
      <c r="P114"/>
    </row>
    <row r="115" spans="1:17" ht="15" thickBot="1" x14ac:dyDescent="0.4">
      <c r="Q115" s="1"/>
    </row>
    <row r="116" spans="1:17" ht="15.5" thickTop="1" thickBot="1" x14ac:dyDescent="0.4">
      <c r="B116" s="41" t="str">
        <f>$A$4</f>
        <v>NYPA Rate II</v>
      </c>
      <c r="C116" s="3"/>
      <c r="D116" s="3"/>
      <c r="E116" s="3"/>
      <c r="F116" s="3"/>
      <c r="G116" s="3"/>
      <c r="H116" s="1316" t="s">
        <v>680</v>
      </c>
      <c r="I116" s="1317"/>
      <c r="J116" s="1318"/>
      <c r="K116" s="3"/>
      <c r="L116" s="1307" t="s">
        <v>81</v>
      </c>
      <c r="M116" s="1308"/>
      <c r="N116" s="1309"/>
      <c r="P116"/>
    </row>
    <row r="117" spans="1:17" ht="15" thickTop="1" x14ac:dyDescent="0.35">
      <c r="B117" s="3"/>
      <c r="C117" s="3"/>
      <c r="E117" s="30" t="s">
        <v>80</v>
      </c>
      <c r="F117" s="3"/>
      <c r="G117" s="3"/>
      <c r="H117" s="30" t="s">
        <v>42</v>
      </c>
      <c r="I117" s="30"/>
      <c r="J117" s="30" t="s">
        <v>40</v>
      </c>
      <c r="K117" s="3"/>
      <c r="L117" s="30" t="s">
        <v>42</v>
      </c>
      <c r="M117" s="86"/>
      <c r="N117" s="30" t="s">
        <v>40</v>
      </c>
      <c r="P117"/>
    </row>
    <row r="118" spans="1:17" x14ac:dyDescent="0.35">
      <c r="E118" s="123"/>
      <c r="F118" s="121" t="s">
        <v>1393</v>
      </c>
      <c r="G118" s="123"/>
      <c r="H118" s="348">
        <f>G14</f>
        <v>0</v>
      </c>
      <c r="I118" s="348"/>
      <c r="J118" s="348">
        <f>G16</f>
        <v>0</v>
      </c>
      <c r="K118" s="3"/>
      <c r="L118" s="27">
        <f>H118-$J$119</f>
        <v>0</v>
      </c>
      <c r="M118" s="61"/>
      <c r="N118" s="27">
        <f>J118-$J$119</f>
        <v>0</v>
      </c>
      <c r="P118"/>
    </row>
    <row r="119" spans="1:17" x14ac:dyDescent="0.35">
      <c r="B119" s="3"/>
      <c r="C119" s="3"/>
      <c r="D119" s="3"/>
      <c r="E119" s="123"/>
      <c r="F119" s="121" t="s">
        <v>445</v>
      </c>
      <c r="G119" s="36"/>
      <c r="H119" s="348">
        <f>G15</f>
        <v>0</v>
      </c>
      <c r="I119" s="349"/>
      <c r="J119" s="348">
        <f>G17</f>
        <v>0</v>
      </c>
      <c r="K119" s="3"/>
      <c r="L119" s="27">
        <f>H119-$J$119</f>
        <v>0</v>
      </c>
      <c r="M119" s="61"/>
      <c r="N119" s="112"/>
      <c r="P119"/>
    </row>
    <row r="120" spans="1:17" x14ac:dyDescent="0.35">
      <c r="B120" s="3"/>
      <c r="C120" s="3"/>
      <c r="D120" s="3"/>
      <c r="E120" s="3"/>
      <c r="F120" s="3"/>
      <c r="G120" s="36"/>
      <c r="P120"/>
    </row>
    <row r="121" spans="1:17" x14ac:dyDescent="0.35">
      <c r="B121" s="3"/>
      <c r="E121" s="123"/>
      <c r="F121" s="123"/>
      <c r="G121" s="36"/>
      <c r="I121" s="120"/>
      <c r="J121" s="120"/>
      <c r="K121" s="3"/>
      <c r="L121" s="27"/>
      <c r="M121" s="61"/>
      <c r="N121" s="61"/>
      <c r="P121"/>
    </row>
    <row r="122" spans="1:17" ht="15" thickBot="1" x14ac:dyDescent="0.4">
      <c r="K122" s="100" t="s">
        <v>683</v>
      </c>
      <c r="L122" s="906">
        <f>I112</f>
        <v>0</v>
      </c>
      <c r="M122" s="1"/>
      <c r="N122" s="1"/>
      <c r="P122"/>
    </row>
    <row r="123" spans="1:17" ht="15.5" thickTop="1" thickBot="1" x14ac:dyDescent="0.4">
      <c r="D123" s="1"/>
      <c r="E123" s="1"/>
      <c r="F123" s="1"/>
      <c r="L123" s="1310" t="s">
        <v>76</v>
      </c>
      <c r="M123" s="1311"/>
      <c r="N123" s="1312"/>
      <c r="P123"/>
    </row>
    <row r="124" spans="1:17" ht="15.5" thickTop="1" thickBot="1" x14ac:dyDescent="0.4">
      <c r="C124" s="70" t="s">
        <v>77</v>
      </c>
      <c r="D124" s="1"/>
      <c r="E124" s="1"/>
      <c r="F124" s="1"/>
      <c r="G124" s="118" t="s">
        <v>42</v>
      </c>
      <c r="H124" s="118" t="s">
        <v>40</v>
      </c>
      <c r="L124" s="219" t="s">
        <v>42</v>
      </c>
      <c r="M124" s="705"/>
      <c r="N124" s="219" t="s">
        <v>40</v>
      </c>
      <c r="P124"/>
    </row>
    <row r="125" spans="1:17" x14ac:dyDescent="0.35">
      <c r="D125" s="121"/>
      <c r="E125" s="122"/>
      <c r="F125" s="121" t="str">
        <f>F118</f>
        <v>On Peak</v>
      </c>
      <c r="G125" s="117" t="str">
        <f>CONCATENATE("X + ",L125)</f>
        <v>X + 0</v>
      </c>
      <c r="H125" s="116" t="str">
        <f>CONCATENATE("X + ",N125)</f>
        <v>X + 0</v>
      </c>
      <c r="L125" s="907">
        <f>ROUND(L118*(1+$L$122),4)</f>
        <v>0</v>
      </c>
      <c r="M125" s="416"/>
      <c r="N125" s="223">
        <f>ROUND(N118*(1+$L$122),4)</f>
        <v>0</v>
      </c>
      <c r="P125"/>
    </row>
    <row r="126" spans="1:17" ht="15" thickBot="1" x14ac:dyDescent="0.4">
      <c r="C126" s="3"/>
      <c r="D126" s="2"/>
      <c r="E126" s="122"/>
      <c r="F126" s="121" t="str">
        <f>F119</f>
        <v>Off Peak</v>
      </c>
      <c r="G126" s="111" t="str">
        <f>CONCATENATE("X + ",L126)</f>
        <v>X + 0</v>
      </c>
      <c r="H126" s="350" t="s">
        <v>32</v>
      </c>
      <c r="L126" s="223">
        <f>ROUND(L119*(1+$L$122),4)</f>
        <v>0</v>
      </c>
      <c r="M126" s="1"/>
      <c r="N126" s="223">
        <f>ROUND(N119*(1+$L$122),4)</f>
        <v>0</v>
      </c>
      <c r="P126"/>
    </row>
    <row r="127" spans="1:17" x14ac:dyDescent="0.35">
      <c r="B127" s="406"/>
      <c r="C127" s="406"/>
      <c r="D127" s="1"/>
      <c r="E127" s="1"/>
      <c r="F127" s="1"/>
      <c r="L127" s="1"/>
      <c r="M127" s="1"/>
      <c r="N127" s="1"/>
      <c r="P127"/>
    </row>
    <row r="128" spans="1:17" x14ac:dyDescent="0.35">
      <c r="B128" s="406"/>
      <c r="C128" s="406"/>
      <c r="D128" s="1"/>
      <c r="E128" s="1"/>
      <c r="F128" s="1"/>
      <c r="L128" s="1"/>
      <c r="M128" s="1"/>
      <c r="N128" s="1"/>
      <c r="P128"/>
    </row>
    <row r="129" spans="1:17" x14ac:dyDescent="0.35">
      <c r="B129" s="334" t="s">
        <v>46</v>
      </c>
      <c r="C129" s="406"/>
      <c r="L129" s="1"/>
      <c r="M129" s="1"/>
      <c r="N129" s="1"/>
      <c r="P129"/>
    </row>
    <row r="130" spans="1:17" x14ac:dyDescent="0.35">
      <c r="B130" s="41" t="str">
        <f>$A$4</f>
        <v>NYPA Rate II</v>
      </c>
      <c r="L130" s="1"/>
      <c r="M130" s="1"/>
      <c r="N130" s="1"/>
      <c r="P130"/>
    </row>
    <row r="131" spans="1:17" ht="15" thickBot="1" x14ac:dyDescent="0.4">
      <c r="B131" s="70" t="s">
        <v>414</v>
      </c>
      <c r="C131" s="70"/>
      <c r="D131" s="70"/>
      <c r="E131" s="3"/>
      <c r="F131" s="3"/>
      <c r="I131" s="69" t="s">
        <v>44</v>
      </c>
      <c r="J131" s="3"/>
      <c r="K131" s="3"/>
      <c r="P131"/>
    </row>
    <row r="132" spans="1:17" x14ac:dyDescent="0.35">
      <c r="B132" s="3"/>
      <c r="C132" s="3" t="s">
        <v>42</v>
      </c>
      <c r="D132" s="108" t="str">
        <f>CONCATENATE(D118,E118,F118," kWh")</f>
        <v>On Peak kWh</v>
      </c>
      <c r="I132" s="72">
        <f>U6+U16</f>
        <v>0</v>
      </c>
      <c r="J132" s="36" t="s">
        <v>39</v>
      </c>
      <c r="K132" s="74" t="str">
        <f>CONCATENATE("[",G125,"]")</f>
        <v>[X + 0]</v>
      </c>
      <c r="P132"/>
    </row>
    <row r="133" spans="1:17" x14ac:dyDescent="0.35">
      <c r="B133" s="3"/>
      <c r="C133" s="3" t="s">
        <v>42</v>
      </c>
      <c r="D133" s="108" t="str">
        <f>CONCATENATE(D119,E119,F119," kWh")</f>
        <v>Off Peak kWh</v>
      </c>
      <c r="I133" s="72">
        <f>U7+U17</f>
        <v>0</v>
      </c>
      <c r="J133" s="36" t="s">
        <v>39</v>
      </c>
      <c r="K133" s="107" t="str">
        <f>CONCATENATE("[",G126,"]")</f>
        <v>[X + 0]</v>
      </c>
      <c r="P133"/>
    </row>
    <row r="134" spans="1:17" x14ac:dyDescent="0.35">
      <c r="B134" s="3"/>
      <c r="C134" s="3" t="s">
        <v>40</v>
      </c>
      <c r="D134" s="3" t="str">
        <f>D132</f>
        <v>On Peak kWh</v>
      </c>
      <c r="I134" s="72">
        <f>U11+U21</f>
        <v>0</v>
      </c>
      <c r="J134" s="36" t="s">
        <v>39</v>
      </c>
      <c r="K134" s="73" t="str">
        <f>CONCATENATE("[",H125,"]")</f>
        <v>[X + 0]</v>
      </c>
      <c r="P134"/>
    </row>
    <row r="135" spans="1:17" ht="15" thickBot="1" x14ac:dyDescent="0.4">
      <c r="B135" s="3"/>
      <c r="C135" s="3" t="s">
        <v>40</v>
      </c>
      <c r="D135" s="3" t="str">
        <f>D133</f>
        <v>Off Peak kWh</v>
      </c>
      <c r="I135" s="72">
        <f>U12+U22</f>
        <v>0</v>
      </c>
      <c r="J135" s="36" t="s">
        <v>39</v>
      </c>
      <c r="K135" s="71" t="str">
        <f>CONCATENATE("[",H126,"]")</f>
        <v>[X]</v>
      </c>
      <c r="P135"/>
    </row>
    <row r="136" spans="1:17" x14ac:dyDescent="0.35">
      <c r="Q136" s="1"/>
    </row>
    <row r="137" spans="1:17" x14ac:dyDescent="0.35">
      <c r="Q137" s="1"/>
    </row>
    <row r="138" spans="1:17" x14ac:dyDescent="0.35">
      <c r="B138" s="70" t="s">
        <v>472</v>
      </c>
      <c r="P138"/>
    </row>
    <row r="139" spans="1:17" x14ac:dyDescent="0.35">
      <c r="B139" s="41" t="str">
        <f>$A$4</f>
        <v>NYPA Rate II</v>
      </c>
      <c r="F139" s="3"/>
      <c r="G139" s="3"/>
      <c r="H139" s="3"/>
      <c r="I139" s="69" t="s">
        <v>44</v>
      </c>
      <c r="J139" s="3"/>
      <c r="K139" s="106"/>
      <c r="L139" s="3"/>
      <c r="M139" s="3"/>
      <c r="N139" s="17"/>
      <c r="P139"/>
    </row>
    <row r="140" spans="1:17" x14ac:dyDescent="0.35">
      <c r="A140" s="406"/>
      <c r="B140" s="406"/>
      <c r="C140" s="3" t="s">
        <v>42</v>
      </c>
      <c r="D140" s="392" t="str">
        <f>D132</f>
        <v>On Peak kWh</v>
      </c>
      <c r="H140" s="3"/>
      <c r="I140" s="105">
        <f>I132</f>
        <v>0</v>
      </c>
      <c r="J140" s="65" t="s">
        <v>63</v>
      </c>
      <c r="K140" s="26">
        <f>ROUND(I140*L125,0)</f>
        <v>0</v>
      </c>
      <c r="L140" s="3" t="s">
        <v>62</v>
      </c>
      <c r="M140" s="17"/>
      <c r="N140" s="17"/>
      <c r="P140"/>
    </row>
    <row r="141" spans="1:17" x14ac:dyDescent="0.35">
      <c r="A141" s="406"/>
      <c r="B141" s="406"/>
      <c r="C141" s="3" t="s">
        <v>42</v>
      </c>
      <c r="D141" s="392" t="str">
        <f>D133</f>
        <v>Off Peak kWh</v>
      </c>
      <c r="H141" s="3"/>
      <c r="I141" s="105">
        <f>I133</f>
        <v>0</v>
      </c>
      <c r="J141" s="65" t="s">
        <v>63</v>
      </c>
      <c r="K141" s="26">
        <f>ROUND(I141*L126,0)</f>
        <v>0</v>
      </c>
      <c r="L141" s="3" t="s">
        <v>62</v>
      </c>
      <c r="M141" s="17"/>
      <c r="N141" s="17"/>
      <c r="P141"/>
    </row>
    <row r="142" spans="1:17" x14ac:dyDescent="0.35">
      <c r="A142" s="406"/>
      <c r="B142" s="406"/>
      <c r="C142" s="3" t="s">
        <v>40</v>
      </c>
      <c r="D142" s="392" t="str">
        <f>D134</f>
        <v>On Peak kWh</v>
      </c>
      <c r="H142" s="3"/>
      <c r="I142" s="105">
        <f>I134</f>
        <v>0</v>
      </c>
      <c r="J142" s="65" t="s">
        <v>63</v>
      </c>
      <c r="K142" s="26">
        <f>ROUND(I142*N125,0)</f>
        <v>0</v>
      </c>
      <c r="L142" s="3" t="s">
        <v>62</v>
      </c>
      <c r="M142" s="17"/>
      <c r="N142" s="17"/>
      <c r="P142"/>
    </row>
    <row r="143" spans="1:17" x14ac:dyDescent="0.35">
      <c r="A143" s="406"/>
      <c r="B143" s="406"/>
      <c r="C143" s="3" t="s">
        <v>40</v>
      </c>
      <c r="D143" s="392" t="str">
        <f>D135</f>
        <v>Off Peak kWh</v>
      </c>
      <c r="H143" s="3"/>
      <c r="I143" s="351">
        <f>I135</f>
        <v>0</v>
      </c>
      <c r="J143" s="65" t="s">
        <v>63</v>
      </c>
      <c r="K143" s="37">
        <f>ROUND(I143*N126,0)</f>
        <v>0</v>
      </c>
      <c r="L143" s="3" t="s">
        <v>62</v>
      </c>
      <c r="M143" s="17"/>
      <c r="N143" s="17"/>
      <c r="P143"/>
    </row>
    <row r="144" spans="1:17" x14ac:dyDescent="0.35">
      <c r="A144" s="406"/>
      <c r="B144" s="406"/>
      <c r="C144" s="3"/>
      <c r="F144" s="66"/>
      <c r="G144" s="393">
        <f>I110</f>
        <v>0</v>
      </c>
      <c r="H144" s="63" t="s">
        <v>31</v>
      </c>
      <c r="I144" s="28">
        <f>SUM(I140:I143)</f>
        <v>0</v>
      </c>
      <c r="J144" s="65" t="s">
        <v>63</v>
      </c>
      <c r="K144" s="103">
        <f>SUM(K140:K143)</f>
        <v>0</v>
      </c>
      <c r="L144" s="3" t="s">
        <v>62</v>
      </c>
      <c r="M144" s="17"/>
      <c r="N144" s="17"/>
      <c r="P144"/>
    </row>
    <row r="145" spans="1:16" x14ac:dyDescent="0.35">
      <c r="A145" s="406"/>
      <c r="B145" s="406"/>
      <c r="F145" s="3"/>
      <c r="G145" s="3"/>
      <c r="H145" s="3"/>
      <c r="I145" s="3"/>
      <c r="J145" s="3"/>
      <c r="K145" s="3"/>
      <c r="L145" s="3"/>
      <c r="M145" s="17"/>
      <c r="N145" s="17"/>
      <c r="P145"/>
    </row>
    <row r="146" spans="1:16" x14ac:dyDescent="0.35">
      <c r="A146" s="406"/>
      <c r="B146" s="406"/>
      <c r="F146" s="34"/>
      <c r="G146" s="34">
        <f>G144-K144</f>
        <v>0</v>
      </c>
      <c r="H146" s="63" t="s">
        <v>31</v>
      </c>
      <c r="I146" s="28">
        <f>I144</f>
        <v>0</v>
      </c>
      <c r="J146" s="65" t="s">
        <v>32</v>
      </c>
      <c r="K146" s="3"/>
      <c r="L146" s="3"/>
      <c r="M146" s="17"/>
      <c r="N146" s="17"/>
      <c r="P146"/>
    </row>
    <row r="147" spans="1:16" ht="15" thickBot="1" x14ac:dyDescent="0.4">
      <c r="A147" s="406"/>
      <c r="B147" s="406"/>
      <c r="F147" s="3"/>
      <c r="G147" s="3"/>
      <c r="H147" s="3"/>
      <c r="I147" s="3"/>
      <c r="J147" s="3"/>
      <c r="K147" s="34"/>
      <c r="L147" s="34"/>
      <c r="M147" s="34"/>
      <c r="N147" s="17"/>
      <c r="P147"/>
    </row>
    <row r="148" spans="1:16" ht="15.5" thickTop="1" thickBot="1" x14ac:dyDescent="0.4">
      <c r="A148" s="406"/>
      <c r="B148" s="406"/>
      <c r="F148" s="64"/>
      <c r="G148" s="101" t="s">
        <v>32</v>
      </c>
      <c r="H148" s="63" t="s">
        <v>31</v>
      </c>
      <c r="I148" s="352">
        <f>IF(ISNUMBER(ROUND(G146/I146,4)),ROUND(G146/I146,4),0)</f>
        <v>0</v>
      </c>
      <c r="J148" s="61"/>
      <c r="K148" s="143"/>
      <c r="L148" s="34"/>
      <c r="M148" s="3"/>
      <c r="N148" s="17"/>
      <c r="P148"/>
    </row>
    <row r="149" spans="1:16" ht="15" thickTop="1" x14ac:dyDescent="0.35">
      <c r="A149" s="334"/>
      <c r="B149" s="407"/>
      <c r="C149" s="3"/>
      <c r="D149" s="3"/>
      <c r="E149" s="3"/>
      <c r="F149" s="3"/>
      <c r="G149" s="3"/>
      <c r="H149" s="3"/>
      <c r="I149" s="3"/>
    </row>
    <row r="150" spans="1:16" x14ac:dyDescent="0.35">
      <c r="A150" s="406"/>
      <c r="B150" s="334" t="str">
        <f>CONCATENATE($A$4," at Proposed Energy Rates")</f>
        <v>NYPA Rate II at Proposed Energy Rates</v>
      </c>
      <c r="P150"/>
    </row>
    <row r="151" spans="1:16" ht="15" thickBot="1" x14ac:dyDescent="0.4">
      <c r="A151" s="406"/>
      <c r="B151" s="334"/>
      <c r="P151"/>
    </row>
    <row r="152" spans="1:16" ht="15" thickBot="1" x14ac:dyDescent="0.4">
      <c r="C152" s="60" t="s">
        <v>5</v>
      </c>
      <c r="D152" s="982">
        <f>$L$4</f>
        <v>2020</v>
      </c>
      <c r="E152" s="58"/>
      <c r="F152" s="58"/>
      <c r="G152" s="59"/>
      <c r="H152" s="59"/>
      <c r="I152" s="59"/>
      <c r="J152" s="59"/>
      <c r="K152" s="98"/>
      <c r="L152" s="3"/>
      <c r="M152" s="3"/>
      <c r="N152" s="17"/>
      <c r="O152" s="3"/>
      <c r="P152"/>
    </row>
    <row r="153" spans="1:16" ht="15.5" thickTop="1" thickBot="1" x14ac:dyDescent="0.4">
      <c r="C153" s="96"/>
      <c r="D153" s="44"/>
      <c r="E153" s="44"/>
      <c r="F153" s="44"/>
      <c r="G153" s="44"/>
      <c r="H153" s="1313" t="s">
        <v>668</v>
      </c>
      <c r="I153" s="1314"/>
      <c r="J153" s="1315"/>
      <c r="K153" s="94"/>
      <c r="L153" s="3"/>
      <c r="M153" s="1307" t="s">
        <v>471</v>
      </c>
      <c r="N153" s="1308"/>
      <c r="O153" s="1309"/>
      <c r="P153"/>
    </row>
    <row r="154" spans="1:16" ht="15" thickTop="1" x14ac:dyDescent="0.35">
      <c r="C154" s="96"/>
      <c r="D154" s="44"/>
      <c r="E154" s="44"/>
      <c r="F154" s="44"/>
      <c r="G154" s="44"/>
      <c r="H154" s="56" t="s">
        <v>10</v>
      </c>
      <c r="I154" s="44"/>
      <c r="J154" s="56" t="s">
        <v>7</v>
      </c>
      <c r="K154" s="94"/>
      <c r="L154" s="3"/>
      <c r="M154" s="56" t="s">
        <v>10</v>
      </c>
      <c r="N154" s="44"/>
      <c r="O154" s="56" t="s">
        <v>7</v>
      </c>
      <c r="P154"/>
    </row>
    <row r="155" spans="1:16" x14ac:dyDescent="0.35">
      <c r="C155" s="96"/>
      <c r="D155" s="355"/>
      <c r="E155" s="356"/>
      <c r="F155" s="355" t="str">
        <f>$F$125</f>
        <v>On Peak</v>
      </c>
      <c r="G155" s="44"/>
      <c r="H155" s="357">
        <f>$I$148+L125</f>
        <v>0</v>
      </c>
      <c r="I155" s="358"/>
      <c r="J155" s="357">
        <f>$I$148+N125</f>
        <v>0</v>
      </c>
      <c r="K155" s="359"/>
      <c r="L155" s="3"/>
      <c r="M155" s="736" t="str">
        <f>IF(ISNUMBER(ROUND(H155/H118-1,4)),ROUND(H155/H118-1,4),"N/A")</f>
        <v>N/A</v>
      </c>
      <c r="N155" s="33"/>
      <c r="O155" s="736" t="str">
        <f>IF(ISNUMBER(ROUND(J155/J118-1,4)),ROUND(J155/J118-1,4),"N/A")</f>
        <v>N/A</v>
      </c>
      <c r="P155"/>
    </row>
    <row r="156" spans="1:16" x14ac:dyDescent="0.35">
      <c r="C156" s="96"/>
      <c r="D156" s="360"/>
      <c r="E156" s="356"/>
      <c r="F156" s="355" t="str">
        <f>$F$126</f>
        <v>Off Peak</v>
      </c>
      <c r="G156" s="44"/>
      <c r="H156" s="357">
        <f>$I$148+L126</f>
        <v>0</v>
      </c>
      <c r="I156" s="358"/>
      <c r="J156" s="357">
        <f>$I$148+N126</f>
        <v>0</v>
      </c>
      <c r="K156" s="359"/>
      <c r="L156" s="3"/>
      <c r="M156" s="736" t="str">
        <f>IF(ISNUMBER(ROUND(H156/H119-1,4)),ROUND(H156/H119-1,4),"N/A")</f>
        <v>N/A</v>
      </c>
      <c r="N156" s="33"/>
      <c r="O156" s="736" t="str">
        <f>IF(ISNUMBER(ROUND(J156/J119-1,4)),ROUND(J156/J119-1,4),"N/A")</f>
        <v>N/A</v>
      </c>
      <c r="P156"/>
    </row>
    <row r="157" spans="1:16" ht="15" thickBot="1" x14ac:dyDescent="0.4">
      <c r="C157" s="93"/>
      <c r="D157" s="46"/>
      <c r="E157" s="46"/>
      <c r="F157" s="46"/>
      <c r="G157" s="46"/>
      <c r="H157" s="46"/>
      <c r="I157" s="46"/>
      <c r="J157" s="46"/>
      <c r="K157" s="91"/>
      <c r="L157" s="3"/>
      <c r="M157" s="81"/>
      <c r="N157" s="3"/>
      <c r="O157" s="81"/>
      <c r="P157"/>
    </row>
    <row r="158" spans="1:16" x14ac:dyDescent="0.35">
      <c r="A158" s="42"/>
      <c r="B158" s="41"/>
      <c r="C158" s="3"/>
      <c r="D158" s="3"/>
      <c r="E158" s="3"/>
      <c r="F158" s="3"/>
      <c r="G158" s="3"/>
      <c r="H158" s="3"/>
      <c r="I158" s="3"/>
    </row>
    <row r="159" spans="1:16" x14ac:dyDescent="0.35">
      <c r="A159" s="42"/>
      <c r="B159" s="41"/>
      <c r="C159" s="3"/>
      <c r="D159" s="3"/>
      <c r="E159" s="3"/>
      <c r="F159" s="3"/>
      <c r="G159" s="3"/>
      <c r="H159" s="3"/>
      <c r="I159" s="3"/>
    </row>
    <row r="160" spans="1:16" x14ac:dyDescent="0.35">
      <c r="A160" s="334" t="s">
        <v>1873</v>
      </c>
      <c r="B160" s="3"/>
      <c r="C160" s="3"/>
      <c r="D160" s="3"/>
      <c r="E160" s="3"/>
      <c r="F160" s="3"/>
      <c r="G160" s="3"/>
      <c r="H160" s="3"/>
      <c r="I160" s="3"/>
      <c r="P160"/>
    </row>
    <row r="161" spans="1:16" x14ac:dyDescent="0.35">
      <c r="A161" s="42"/>
      <c r="B161" s="3"/>
      <c r="C161" s="3"/>
      <c r="D161" s="3"/>
      <c r="E161" s="3"/>
      <c r="F161" s="3"/>
      <c r="G161" s="3"/>
      <c r="H161" s="3"/>
      <c r="I161" s="3"/>
      <c r="P161"/>
    </row>
    <row r="162" spans="1:16" x14ac:dyDescent="0.35">
      <c r="A162" s="3"/>
      <c r="B162" s="334" t="str">
        <f>CONCATENATE($A$4," at Proposed Demand Rates")</f>
        <v>NYPA Rate II at Proposed Demand Rates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3"/>
      <c r="O162" s="3"/>
      <c r="P162" s="2"/>
    </row>
    <row r="163" spans="1:16" x14ac:dyDescent="0.35">
      <c r="A163" s="3"/>
      <c r="B163" s="3"/>
      <c r="C163" s="3"/>
      <c r="E163" s="3"/>
      <c r="F163" s="3"/>
      <c r="G163" s="3"/>
      <c r="H163" s="3"/>
      <c r="I163" s="3"/>
      <c r="K163" s="3"/>
      <c r="L163" s="3"/>
      <c r="M163" s="462" t="s">
        <v>10</v>
      </c>
      <c r="N163" s="3"/>
      <c r="O163" s="3"/>
      <c r="P163" s="2"/>
    </row>
    <row r="164" spans="1:16" x14ac:dyDescent="0.35">
      <c r="B164" s="3" t="s">
        <v>656</v>
      </c>
      <c r="C164" s="31" t="s">
        <v>667</v>
      </c>
      <c r="D164" s="3"/>
      <c r="E164" s="3"/>
      <c r="F164" s="3"/>
      <c r="G164" s="3"/>
      <c r="H164" s="3"/>
      <c r="I164" s="30" t="s">
        <v>25</v>
      </c>
      <c r="J164" s="3"/>
      <c r="K164" s="30" t="s">
        <v>11</v>
      </c>
      <c r="L164" s="3"/>
      <c r="M164" s="30" t="s">
        <v>6</v>
      </c>
      <c r="N164" s="3"/>
      <c r="O164" s="3"/>
      <c r="P164" s="2"/>
    </row>
    <row r="165" spans="1:16" x14ac:dyDescent="0.35">
      <c r="B165" s="3"/>
      <c r="C165" s="3" t="s">
        <v>42</v>
      </c>
      <c r="D165" s="56" t="str">
        <f>$C$63</f>
        <v>D1</v>
      </c>
      <c r="E165" s="36"/>
      <c r="F165" s="56" t="str">
        <f>$D$63</f>
        <v>8-6</v>
      </c>
      <c r="G165" s="3"/>
      <c r="H165" s="3"/>
      <c r="I165" s="29">
        <f>I71</f>
        <v>2621570.8000000003</v>
      </c>
      <c r="J165" s="3"/>
      <c r="K165" s="35">
        <f>H98</f>
        <v>7.5799999999999992</v>
      </c>
      <c r="L165" s="3"/>
      <c r="M165" s="26">
        <f>ROUND(K165*I165,0)</f>
        <v>19871507</v>
      </c>
      <c r="N165" s="3"/>
      <c r="O165" s="3"/>
      <c r="P165" s="2"/>
    </row>
    <row r="166" spans="1:16" x14ac:dyDescent="0.35">
      <c r="B166" s="3"/>
      <c r="C166" s="3"/>
      <c r="D166" s="56" t="str">
        <f>$C$64</f>
        <v>D2</v>
      </c>
      <c r="E166" s="36"/>
      <c r="F166" s="56" t="str">
        <f>$D$64</f>
        <v>8-10</v>
      </c>
      <c r="G166" s="3"/>
      <c r="H166" s="3"/>
      <c r="I166" s="29">
        <f>I73</f>
        <v>2663400.2200000002</v>
      </c>
      <c r="J166" s="3"/>
      <c r="K166" s="35">
        <f>H99</f>
        <v>22.299999999999997</v>
      </c>
      <c r="L166" s="3"/>
      <c r="M166" s="26">
        <f>ROUND(K166*I166,0)</f>
        <v>59393825</v>
      </c>
      <c r="N166" s="3"/>
      <c r="O166" s="3"/>
      <c r="P166" s="2"/>
    </row>
    <row r="167" spans="1:16" x14ac:dyDescent="0.35">
      <c r="B167" s="3"/>
      <c r="C167" s="3"/>
      <c r="D167" s="56" t="str">
        <f>$C$65</f>
        <v>D3</v>
      </c>
      <c r="E167" s="36"/>
      <c r="F167" s="56" t="str">
        <f>$D$65</f>
        <v>All Day</v>
      </c>
      <c r="G167" s="3"/>
      <c r="H167" s="3"/>
      <c r="I167" s="38">
        <f>I75</f>
        <v>1548344.4000000001</v>
      </c>
      <c r="J167" s="3"/>
      <c r="K167" s="35">
        <f>H100</f>
        <v>20.58</v>
      </c>
      <c r="L167" s="3"/>
      <c r="M167" s="37">
        <f>ROUND(K167*I167,0)</f>
        <v>31864928</v>
      </c>
      <c r="N167" s="3"/>
      <c r="O167" s="3"/>
      <c r="P167" s="2"/>
    </row>
    <row r="168" spans="1:16" x14ac:dyDescent="0.35">
      <c r="B168" s="3"/>
      <c r="C168" s="3"/>
      <c r="D168" s="36"/>
      <c r="E168" s="36"/>
      <c r="F168" s="36"/>
      <c r="G168" s="3"/>
      <c r="H168" s="3"/>
      <c r="I168" s="28">
        <f>I165+I166+I167</f>
        <v>6833315.4200000009</v>
      </c>
      <c r="J168" s="3"/>
      <c r="K168" s="35"/>
      <c r="L168" s="3"/>
      <c r="M168" s="34">
        <f>M165+M166+M167</f>
        <v>111130260</v>
      </c>
      <c r="N168" s="34"/>
      <c r="O168" s="36" t="s">
        <v>10</v>
      </c>
      <c r="P168" s="2"/>
    </row>
    <row r="169" spans="1:16" x14ac:dyDescent="0.35">
      <c r="B169" s="3"/>
      <c r="C169" s="3"/>
      <c r="D169" s="36"/>
      <c r="E169" s="36"/>
      <c r="F169" s="36"/>
      <c r="G169" s="28"/>
      <c r="H169" s="3"/>
      <c r="I169" s="28"/>
      <c r="J169" s="3"/>
      <c r="K169" s="35"/>
      <c r="L169" s="33" t="s">
        <v>22</v>
      </c>
      <c r="M169" s="34">
        <f>ROUND(M168*(O169-1),0)</f>
        <v>1324673</v>
      </c>
      <c r="N169" s="33" t="s">
        <v>23</v>
      </c>
      <c r="O169" s="40">
        <f>L10</f>
        <v>1.0119199999999999</v>
      </c>
      <c r="P169" s="2"/>
    </row>
    <row r="170" spans="1:16" x14ac:dyDescent="0.35">
      <c r="B170" s="3"/>
      <c r="C170" s="3"/>
      <c r="D170" s="36"/>
      <c r="E170" s="36"/>
      <c r="F170" s="36"/>
      <c r="G170" s="28"/>
      <c r="H170" s="3"/>
      <c r="I170" s="28"/>
      <c r="J170" s="3"/>
      <c r="K170" s="35"/>
      <c r="L170" s="33" t="s">
        <v>21</v>
      </c>
      <c r="M170" s="32">
        <f>M168+M169</f>
        <v>112454933</v>
      </c>
      <c r="N170" s="8"/>
      <c r="O170" s="3"/>
      <c r="P170" s="2"/>
    </row>
    <row r="171" spans="1:16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</row>
    <row r="172" spans="1:16" x14ac:dyDescent="0.3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2"/>
    </row>
    <row r="173" spans="1:16" x14ac:dyDescent="0.3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62" t="s">
        <v>7</v>
      </c>
      <c r="N173" s="3"/>
      <c r="O173" s="3"/>
      <c r="P173" s="2"/>
    </row>
    <row r="174" spans="1:16" x14ac:dyDescent="0.35">
      <c r="B174" s="3"/>
      <c r="C174" s="3"/>
      <c r="D174" s="3"/>
      <c r="E174" s="3"/>
      <c r="F174" s="3"/>
      <c r="G174" s="3"/>
      <c r="H174" s="3"/>
      <c r="I174" s="30" t="s">
        <v>25</v>
      </c>
      <c r="J174" s="3"/>
      <c r="K174" s="30" t="s">
        <v>11</v>
      </c>
      <c r="L174" s="3"/>
      <c r="M174" s="30" t="s">
        <v>6</v>
      </c>
      <c r="N174" s="3"/>
      <c r="O174" s="3"/>
      <c r="P174" s="2"/>
    </row>
    <row r="175" spans="1:16" x14ac:dyDescent="0.35">
      <c r="B175" s="3"/>
      <c r="C175" s="3" t="s">
        <v>40</v>
      </c>
      <c r="D175" s="56" t="str">
        <f>$C$63</f>
        <v>D1</v>
      </c>
      <c r="E175" s="36"/>
      <c r="F175" s="56" t="str">
        <f>$D$63</f>
        <v>8-6</v>
      </c>
      <c r="G175" s="3"/>
      <c r="H175" s="3"/>
      <c r="I175" s="29">
        <f>I72</f>
        <v>0</v>
      </c>
      <c r="J175" s="3"/>
      <c r="K175" s="35">
        <f>J98</f>
        <v>0</v>
      </c>
      <c r="L175" s="3"/>
      <c r="M175" s="26">
        <f>ROUND(K175*I175,0)</f>
        <v>0</v>
      </c>
      <c r="N175" s="3"/>
      <c r="O175" s="3"/>
      <c r="P175" s="2"/>
    </row>
    <row r="176" spans="1:16" x14ac:dyDescent="0.35">
      <c r="B176" s="3"/>
      <c r="C176" s="3"/>
      <c r="D176" s="56" t="str">
        <f>$C$64</f>
        <v>D2</v>
      </c>
      <c r="E176" s="36"/>
      <c r="F176" s="56" t="str">
        <f>$D$64</f>
        <v>8-10</v>
      </c>
      <c r="G176" s="3"/>
      <c r="H176" s="3"/>
      <c r="I176" s="29">
        <f>I74</f>
        <v>4515071.0291000009</v>
      </c>
      <c r="J176" s="3"/>
      <c r="K176" s="35">
        <f>J99</f>
        <v>13.52</v>
      </c>
      <c r="L176" s="3"/>
      <c r="M176" s="26">
        <f>ROUND(K176*I176,0)</f>
        <v>61043760</v>
      </c>
      <c r="N176" s="3"/>
      <c r="O176" s="3"/>
      <c r="P176" s="2"/>
    </row>
    <row r="177" spans="1:17" x14ac:dyDescent="0.35">
      <c r="B177" s="3"/>
      <c r="C177" s="3"/>
      <c r="D177" s="56" t="str">
        <f>$C$65</f>
        <v>D3</v>
      </c>
      <c r="E177" s="36"/>
      <c r="F177" s="56" t="str">
        <f>$D$65</f>
        <v>All Day</v>
      </c>
      <c r="G177" s="3"/>
      <c r="H177" s="3"/>
      <c r="I177" s="38">
        <f>I76</f>
        <v>2406738.2999999998</v>
      </c>
      <c r="J177" s="3"/>
      <c r="K177" s="35">
        <f>J100</f>
        <v>4.84</v>
      </c>
      <c r="L177" s="3"/>
      <c r="M177" s="37">
        <f>ROUND(K177*I177,0)</f>
        <v>11648613</v>
      </c>
      <c r="N177" s="3"/>
      <c r="O177" s="3"/>
      <c r="P177" s="2"/>
    </row>
    <row r="178" spans="1:17" x14ac:dyDescent="0.35">
      <c r="B178" s="3"/>
      <c r="C178" s="3"/>
      <c r="D178" s="36"/>
      <c r="E178" s="36"/>
      <c r="F178" s="36"/>
      <c r="G178" s="3"/>
      <c r="H178" s="3"/>
      <c r="I178" s="28">
        <f>I175+I176+I177</f>
        <v>6921809.3291000007</v>
      </c>
      <c r="J178" s="3"/>
      <c r="K178" s="35"/>
      <c r="L178" s="3"/>
      <c r="M178" s="34">
        <f>M175+M176+M177</f>
        <v>72692373</v>
      </c>
      <c r="N178" s="3"/>
      <c r="O178" s="36" t="s">
        <v>7</v>
      </c>
      <c r="P178" s="2"/>
    </row>
    <row r="179" spans="1:17" x14ac:dyDescent="0.35">
      <c r="B179" s="3"/>
      <c r="C179" s="3"/>
      <c r="D179" s="36"/>
      <c r="E179" s="36"/>
      <c r="F179" s="36"/>
      <c r="G179" s="3"/>
      <c r="H179" s="3"/>
      <c r="I179" s="28"/>
      <c r="J179" s="3"/>
      <c r="K179" s="35"/>
      <c r="L179" s="33" t="s">
        <v>22</v>
      </c>
      <c r="M179" s="34">
        <f>ROUND(M178*(O179-1),0)</f>
        <v>775628</v>
      </c>
      <c r="N179" s="33" t="s">
        <v>23</v>
      </c>
      <c r="O179" s="40">
        <f>L11</f>
        <v>1.01067</v>
      </c>
      <c r="P179" s="2"/>
    </row>
    <row r="180" spans="1:17" x14ac:dyDescent="0.35">
      <c r="B180" s="3"/>
      <c r="C180" s="3"/>
      <c r="D180" s="36"/>
      <c r="E180" s="36"/>
      <c r="F180" s="36"/>
      <c r="G180" s="28"/>
      <c r="H180" s="3"/>
      <c r="I180" s="28"/>
      <c r="J180" s="3"/>
      <c r="K180" s="35"/>
      <c r="L180" s="33" t="s">
        <v>21</v>
      </c>
      <c r="M180" s="32">
        <f>M178+M179</f>
        <v>73468001</v>
      </c>
      <c r="N180" s="8"/>
      <c r="O180" s="3"/>
      <c r="P180" s="2"/>
    </row>
    <row r="181" spans="1:17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"/>
    </row>
    <row r="182" spans="1:17" x14ac:dyDescent="0.35">
      <c r="B182" s="410"/>
      <c r="C182" s="837" t="str">
        <f>CONCATENATE($A$4," - Annual Demand Revenue Price-Out at Proposed Rates - Incl. EDB:")</f>
        <v>NYPA Rate II - Annual Demand Revenue Price-Out at Proposed Rates - Incl. EDB:</v>
      </c>
      <c r="D182" s="410"/>
      <c r="E182" s="410"/>
      <c r="F182" s="410"/>
      <c r="G182" s="3"/>
      <c r="H182" s="3"/>
      <c r="I182" s="3"/>
      <c r="J182" s="3"/>
      <c r="K182" s="3"/>
      <c r="L182" s="3"/>
      <c r="M182" s="32">
        <f>M170+M180</f>
        <v>185922934</v>
      </c>
      <c r="N182" s="468"/>
      <c r="O182" s="3"/>
      <c r="P182" s="2"/>
    </row>
    <row r="183" spans="1:17" x14ac:dyDescent="0.35">
      <c r="B183" s="410"/>
      <c r="C183" s="410"/>
      <c r="D183" s="410"/>
      <c r="E183" s="410"/>
      <c r="F183" s="410"/>
      <c r="G183" s="3"/>
      <c r="H183" s="3"/>
      <c r="I183" s="3"/>
      <c r="J183" s="3"/>
      <c r="K183" s="3"/>
      <c r="L183" s="3"/>
      <c r="M183" s="26"/>
      <c r="N183" s="17"/>
      <c r="O183" s="3"/>
      <c r="P183" s="2"/>
    </row>
    <row r="184" spans="1:17" x14ac:dyDescent="0.35">
      <c r="B184" s="410"/>
      <c r="C184" s="410"/>
      <c r="D184" s="410"/>
      <c r="E184" s="410"/>
      <c r="F184" s="410"/>
      <c r="G184" s="3"/>
      <c r="H184" s="3"/>
      <c r="I184" s="3"/>
      <c r="J184" s="3"/>
      <c r="K184" s="3"/>
      <c r="L184" s="3"/>
      <c r="M184" s="26"/>
      <c r="N184" s="17"/>
      <c r="O184" s="3"/>
      <c r="P184" s="2"/>
    </row>
    <row r="185" spans="1:17" ht="15" thickBot="1" x14ac:dyDescent="0.4">
      <c r="A185" s="42"/>
      <c r="B185" s="334" t="str">
        <f>CONCATENATE($A$4," at Proposed Energy Rates")</f>
        <v>NYPA Rate II at Proposed Energy Rates</v>
      </c>
      <c r="C185" s="410"/>
      <c r="D185" s="410"/>
      <c r="E185" s="410"/>
      <c r="F185" s="410"/>
      <c r="G185" s="3"/>
      <c r="H185" s="3"/>
      <c r="I185" s="3"/>
      <c r="K185" s="367" t="s">
        <v>426</v>
      </c>
      <c r="L185" s="368">
        <f>$L$10</f>
        <v>1.0119199999999999</v>
      </c>
      <c r="N185" s="344" t="str">
        <f>$A$4</f>
        <v>NYPA Rate II</v>
      </c>
      <c r="P185"/>
      <c r="Q185" s="1"/>
    </row>
    <row r="186" spans="1:17" ht="15.5" thickTop="1" thickBot="1" x14ac:dyDescent="0.4">
      <c r="B186" s="407"/>
      <c r="H186" s="1307" t="s">
        <v>417</v>
      </c>
      <c r="I186" s="1308"/>
      <c r="J186" s="1309"/>
      <c r="L186" s="492" t="s">
        <v>475</v>
      </c>
      <c r="N186" s="935" t="s">
        <v>42</v>
      </c>
      <c r="P186"/>
      <c r="Q186" s="1"/>
    </row>
    <row r="187" spans="1:17" ht="15" thickTop="1" x14ac:dyDescent="0.35">
      <c r="B187" s="410"/>
      <c r="H187" s="30" t="s">
        <v>416</v>
      </c>
      <c r="I187" s="30" t="s">
        <v>674</v>
      </c>
      <c r="J187" s="36" t="s">
        <v>676</v>
      </c>
      <c r="L187" s="30" t="s">
        <v>425</v>
      </c>
      <c r="N187" s="36" t="s">
        <v>675</v>
      </c>
      <c r="P187"/>
      <c r="Q187" s="1"/>
    </row>
    <row r="188" spans="1:17" x14ac:dyDescent="0.35">
      <c r="B188" s="407" t="s">
        <v>42</v>
      </c>
      <c r="C188" s="355" t="str">
        <f>$F$125</f>
        <v>On Peak</v>
      </c>
      <c r="D188" s="121"/>
      <c r="E188" s="122"/>
      <c r="H188" s="223">
        <f>H155</f>
        <v>0</v>
      </c>
      <c r="I188" s="105">
        <f>I140</f>
        <v>0</v>
      </c>
      <c r="J188" s="26">
        <f>ROUND(H188*I188,0)</f>
        <v>0</v>
      </c>
      <c r="L188" s="397"/>
      <c r="N188" s="26">
        <f>J188+L188</f>
        <v>0</v>
      </c>
      <c r="P188"/>
      <c r="Q188" s="1"/>
    </row>
    <row r="189" spans="1:17" x14ac:dyDescent="0.35">
      <c r="B189" s="406"/>
      <c r="C189" s="355" t="str">
        <f>$F$126</f>
        <v>Off Peak</v>
      </c>
      <c r="D189" s="36"/>
      <c r="E189" s="122"/>
      <c r="H189" s="223">
        <f>H156</f>
        <v>0</v>
      </c>
      <c r="I189" s="105">
        <f>I141</f>
        <v>0</v>
      </c>
      <c r="J189" s="26">
        <f>ROUND(H189*I189,0)</f>
        <v>0</v>
      </c>
      <c r="L189" s="397"/>
      <c r="N189" s="26">
        <f>J189+L189</f>
        <v>0</v>
      </c>
      <c r="P189"/>
      <c r="Q189" s="1"/>
    </row>
    <row r="190" spans="1:17" x14ac:dyDescent="0.35">
      <c r="B190" s="406"/>
      <c r="C190" s="3" t="s">
        <v>420</v>
      </c>
      <c r="D190" s="3"/>
      <c r="E190" s="3"/>
      <c r="F190" s="3"/>
      <c r="H190" s="223"/>
      <c r="I190" s="223"/>
      <c r="J190" s="32">
        <f>SUM(J188:J189)</f>
        <v>0</v>
      </c>
      <c r="L190" s="32">
        <f>SUM(L188:L189)</f>
        <v>0</v>
      </c>
      <c r="N190" s="32">
        <f>SUM(N188:N189)</f>
        <v>0</v>
      </c>
      <c r="P190"/>
      <c r="Q190" s="1"/>
    </row>
    <row r="191" spans="1:17" s="1" customFormat="1" x14ac:dyDescent="0.35">
      <c r="B191" s="464"/>
      <c r="C191" s="2"/>
      <c r="D191" s="121"/>
      <c r="E191" s="121"/>
      <c r="F191" s="361"/>
      <c r="H191" s="223"/>
      <c r="I191" s="362"/>
      <c r="J191" s="395"/>
      <c r="K191"/>
    </row>
    <row r="192" spans="1:17" s="1" customFormat="1" ht="15" thickBot="1" x14ac:dyDescent="0.4">
      <c r="B192" s="464"/>
      <c r="C192" s="2"/>
      <c r="D192" s="121"/>
      <c r="E192" s="121"/>
      <c r="F192" s="361"/>
      <c r="H192" s="223"/>
      <c r="I192" s="362"/>
      <c r="J192" s="223"/>
      <c r="K192"/>
      <c r="L192" s="368">
        <f>$L$11</f>
        <v>1.01067</v>
      </c>
    </row>
    <row r="193" spans="2:18" s="1" customFormat="1" ht="15.5" thickTop="1" thickBot="1" x14ac:dyDescent="0.4">
      <c r="B193" s="464"/>
      <c r="C193" s="2"/>
      <c r="D193" s="121"/>
      <c r="E193" s="121"/>
      <c r="F193" s="361"/>
      <c r="H193" s="1307" t="s">
        <v>417</v>
      </c>
      <c r="I193" s="1308"/>
      <c r="J193" s="1309"/>
      <c r="K193"/>
      <c r="L193" s="492" t="s">
        <v>475</v>
      </c>
      <c r="N193" s="935" t="s">
        <v>40</v>
      </c>
    </row>
    <row r="194" spans="2:18" s="1" customFormat="1" ht="15" thickTop="1" x14ac:dyDescent="0.35">
      <c r="B194" s="464"/>
      <c r="C194" s="2"/>
      <c r="D194" s="121"/>
      <c r="E194" s="121"/>
      <c r="F194" s="361"/>
      <c r="H194" s="30" t="s">
        <v>416</v>
      </c>
      <c r="I194" s="30" t="s">
        <v>674</v>
      </c>
      <c r="J194" s="36" t="s">
        <v>676</v>
      </c>
      <c r="K194"/>
      <c r="L194" s="30" t="s">
        <v>425</v>
      </c>
      <c r="N194" s="36" t="s">
        <v>675</v>
      </c>
    </row>
    <row r="195" spans="2:18" s="1" customFormat="1" x14ac:dyDescent="0.35">
      <c r="B195" s="407" t="s">
        <v>40</v>
      </c>
      <c r="C195" s="355" t="str">
        <f>$F$125</f>
        <v>On Peak</v>
      </c>
      <c r="D195" s="121"/>
      <c r="E195" s="122"/>
      <c r="H195" s="223">
        <f>J155</f>
        <v>0</v>
      </c>
      <c r="I195" s="105">
        <f>I142</f>
        <v>0</v>
      </c>
      <c r="J195" s="26">
        <f>ROUND(H195*I195,0)</f>
        <v>0</v>
      </c>
      <c r="K195"/>
      <c r="L195" s="397"/>
      <c r="N195" s="26">
        <f>J195+L195</f>
        <v>0</v>
      </c>
    </row>
    <row r="196" spans="2:18" s="1" customFormat="1" x14ac:dyDescent="0.35">
      <c r="B196" s="406"/>
      <c r="C196" s="355" t="str">
        <f>$F$126</f>
        <v>Off Peak</v>
      </c>
      <c r="D196" s="36"/>
      <c r="E196" s="122"/>
      <c r="H196" s="223">
        <f>J156</f>
        <v>0</v>
      </c>
      <c r="I196" s="105">
        <f>I143</f>
        <v>0</v>
      </c>
      <c r="J196" s="26">
        <f>ROUND(H196*I196,0)</f>
        <v>0</v>
      </c>
      <c r="K196"/>
      <c r="L196" s="397"/>
      <c r="N196" s="26">
        <f>J196+L196</f>
        <v>0</v>
      </c>
    </row>
    <row r="197" spans="2:18" s="1" customFormat="1" x14ac:dyDescent="0.35">
      <c r="B197"/>
      <c r="C197" s="3" t="s">
        <v>421</v>
      </c>
      <c r="D197" s="3"/>
      <c r="E197" s="3"/>
      <c r="F197" s="3"/>
      <c r="H197" s="223"/>
      <c r="I197" s="223"/>
      <c r="J197" s="32">
        <f>SUM(J195:J196)</f>
        <v>0</v>
      </c>
      <c r="K197"/>
      <c r="L197" s="32">
        <f>SUM(L195:L196)</f>
        <v>0</v>
      </c>
      <c r="N197" s="32">
        <f>SUM(N195:N196)</f>
        <v>0</v>
      </c>
    </row>
    <row r="198" spans="2:18" s="1" customFormat="1" ht="15" thickBot="1" x14ac:dyDescent="0.4">
      <c r="C198" s="2"/>
      <c r="D198" s="121"/>
      <c r="E198" s="121"/>
      <c r="F198" s="361"/>
      <c r="H198" s="223"/>
      <c r="I198" s="362"/>
      <c r="J198" s="395"/>
      <c r="K198"/>
      <c r="N198" s="223"/>
    </row>
    <row r="199" spans="2:18" s="1" customFormat="1" ht="15.5" thickTop="1" thickBot="1" x14ac:dyDescent="0.4">
      <c r="C199" s="837" t="str">
        <f>CONCATENATE($A$4," - Annual Energy Revenue Price-Out at Proposed Rates:")</f>
        <v>NYPA Rate II - Annual Energy Revenue Price-Out at Proposed Rates:</v>
      </c>
      <c r="D199" s="979"/>
      <c r="E199" s="979"/>
      <c r="F199" s="981"/>
      <c r="G199" s="464"/>
      <c r="H199" s="223"/>
      <c r="I199" s="222" t="s">
        <v>427</v>
      </c>
      <c r="J199" s="243">
        <f>J190+J197</f>
        <v>0</v>
      </c>
      <c r="K199" s="222" t="s">
        <v>428</v>
      </c>
      <c r="L199" s="243">
        <f>L190+L197</f>
        <v>0</v>
      </c>
      <c r="N199" s="243">
        <f>N190+N197</f>
        <v>0</v>
      </c>
      <c r="O199" s="374"/>
    </row>
    <row r="200" spans="2:18" s="1" customFormat="1" ht="15" thickTop="1" x14ac:dyDescent="0.35">
      <c r="C200" s="837"/>
      <c r="D200" s="979"/>
      <c r="E200" s="979"/>
      <c r="F200" s="981"/>
      <c r="G200" s="464"/>
      <c r="H200" s="223"/>
      <c r="I200" s="222"/>
      <c r="J200" s="396"/>
      <c r="K200" s="362"/>
      <c r="L200" s="363"/>
      <c r="M200" s="364"/>
      <c r="N200" s="222"/>
      <c r="O200" s="26"/>
      <c r="Q200" s="26"/>
      <c r="R200" s="374"/>
    </row>
    <row r="201" spans="2:18" s="1" customFormat="1" x14ac:dyDescent="0.35">
      <c r="C201" s="837"/>
      <c r="D201" s="979"/>
      <c r="E201" s="979"/>
      <c r="F201" s="981"/>
      <c r="G201" s="464"/>
      <c r="H201" s="223"/>
      <c r="I201" s="222"/>
      <c r="J201" s="396"/>
      <c r="K201" s="362"/>
      <c r="L201" s="363"/>
      <c r="M201" s="364"/>
      <c r="N201" s="222"/>
      <c r="O201" s="26"/>
      <c r="Q201" s="26"/>
      <c r="R201" s="374"/>
    </row>
    <row r="202" spans="2:18" x14ac:dyDescent="0.35">
      <c r="B202" s="3"/>
      <c r="C202" s="334" t="s">
        <v>684</v>
      </c>
      <c r="D202" s="410"/>
      <c r="E202" s="410"/>
      <c r="F202" s="410"/>
      <c r="G202" s="410"/>
      <c r="H202" s="3"/>
      <c r="I202" s="3"/>
      <c r="J202" s="3"/>
      <c r="K202" s="3"/>
      <c r="L202" s="3"/>
      <c r="M202" s="26"/>
      <c r="N202" s="17"/>
      <c r="O202" s="3"/>
      <c r="P202" s="2"/>
    </row>
    <row r="203" spans="2:18" x14ac:dyDescent="0.35">
      <c r="B203" s="3"/>
      <c r="C203" s="41" t="str">
        <f>$A$4</f>
        <v>NYPA Rate II</v>
      </c>
      <c r="D203" s="3"/>
      <c r="E203" s="3"/>
      <c r="F203" s="3"/>
      <c r="G203" s="3"/>
      <c r="H203" s="3"/>
      <c r="I203" s="3"/>
      <c r="J203" s="3"/>
      <c r="K203" s="3"/>
      <c r="L203" s="3"/>
      <c r="M203" s="26"/>
      <c r="N203" s="17"/>
      <c r="O203" s="3"/>
      <c r="P203" s="2"/>
    </row>
    <row r="204" spans="2:18" x14ac:dyDescent="0.35">
      <c r="B204" s="3"/>
      <c r="C204" s="3" t="s">
        <v>678</v>
      </c>
      <c r="D204" s="3"/>
      <c r="E204" s="3"/>
      <c r="F204" s="3"/>
      <c r="G204" s="3"/>
      <c r="H204" s="3"/>
      <c r="I204" s="3"/>
      <c r="J204" s="3"/>
      <c r="K204" s="3"/>
      <c r="L204" s="3"/>
      <c r="M204" s="26">
        <f>M182</f>
        <v>185922934</v>
      </c>
      <c r="N204" s="288"/>
      <c r="O204" s="3"/>
      <c r="P204" s="2"/>
    </row>
    <row r="205" spans="2:18" x14ac:dyDescent="0.35">
      <c r="B205" s="3"/>
      <c r="C205" s="407" t="s">
        <v>700</v>
      </c>
      <c r="D205" s="406" t="s">
        <v>1155</v>
      </c>
      <c r="E205" s="410"/>
      <c r="F205" s="410"/>
      <c r="G205" s="410"/>
      <c r="H205" s="410"/>
      <c r="I205" s="410"/>
      <c r="J205" s="3"/>
      <c r="K205" s="3"/>
      <c r="L205" s="3"/>
      <c r="M205" s="26">
        <f>G39+H39</f>
        <v>648733.28107374255</v>
      </c>
      <c r="N205" s="17"/>
      <c r="O205" s="3"/>
      <c r="P205" s="2"/>
    </row>
    <row r="206" spans="2:18" x14ac:dyDescent="0.35">
      <c r="B206" s="3"/>
      <c r="C206" s="407"/>
      <c r="D206" s="410"/>
      <c r="E206" s="410"/>
      <c r="F206" s="410"/>
      <c r="G206" s="410"/>
      <c r="H206" s="410"/>
      <c r="I206" s="410"/>
      <c r="J206" s="3"/>
      <c r="K206" s="3"/>
      <c r="L206" s="3"/>
      <c r="M206" s="37"/>
      <c r="N206" s="17"/>
      <c r="O206" s="3"/>
      <c r="P206" s="2"/>
    </row>
    <row r="207" spans="2:18" x14ac:dyDescent="0.35">
      <c r="B207" s="3"/>
      <c r="C207" s="3" t="s">
        <v>678</v>
      </c>
      <c r="D207" s="3"/>
      <c r="E207" s="3"/>
      <c r="F207" s="3"/>
      <c r="G207" s="3"/>
      <c r="H207" s="3"/>
      <c r="I207" s="3"/>
      <c r="J207" s="3"/>
      <c r="K207" s="3"/>
      <c r="L207" s="3"/>
      <c r="M207" s="26">
        <f>M204+M205</f>
        <v>186571667.28107375</v>
      </c>
      <c r="N207" s="8"/>
      <c r="O207" s="3"/>
      <c r="P207" s="2"/>
    </row>
    <row r="208" spans="2:18" ht="15" thickBot="1" x14ac:dyDescent="0.4">
      <c r="B208" s="3"/>
      <c r="C208" s="3" t="s">
        <v>677</v>
      </c>
      <c r="D208" s="3"/>
      <c r="E208" s="3"/>
      <c r="F208" s="3"/>
      <c r="G208" s="3"/>
      <c r="H208" s="3"/>
      <c r="I208" s="3"/>
      <c r="J208" s="3"/>
      <c r="K208" s="3"/>
      <c r="L208" s="3"/>
      <c r="M208" s="26">
        <f>N199</f>
        <v>0</v>
      </c>
      <c r="N208" s="8"/>
      <c r="O208" s="3"/>
      <c r="P208" s="2"/>
    </row>
    <row r="209" spans="2:16" ht="15.5" thickTop="1" thickBot="1" x14ac:dyDescent="0.4">
      <c r="B209" s="3"/>
      <c r="C209" s="837" t="s">
        <v>685</v>
      </c>
      <c r="D209" s="3"/>
      <c r="E209" s="3"/>
      <c r="F209" s="3"/>
      <c r="G209" s="3"/>
      <c r="H209" s="3"/>
      <c r="I209" s="3"/>
      <c r="J209" s="3"/>
      <c r="K209" s="3"/>
      <c r="L209" s="3"/>
      <c r="M209" s="925">
        <f>M207+M208</f>
        <v>186571667.28107375</v>
      </c>
      <c r="N209" s="8"/>
      <c r="O209" s="3"/>
      <c r="P209" s="2"/>
    </row>
    <row r="210" spans="2:16" ht="15" thickTop="1" x14ac:dyDescent="0.3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7"/>
      <c r="O210" s="3"/>
      <c r="P210" s="2"/>
    </row>
    <row r="211" spans="2:16" ht="15" thickBot="1" x14ac:dyDescent="0.4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7"/>
      <c r="O211" s="3"/>
      <c r="P211" s="2"/>
    </row>
    <row r="212" spans="2:16" x14ac:dyDescent="0.35">
      <c r="B212" s="3"/>
      <c r="C212" s="815" t="str">
        <f>$A$4</f>
        <v>NYPA Rate II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1" t="s">
        <v>6</v>
      </c>
      <c r="N212" s="2"/>
      <c r="O212" s="2"/>
      <c r="P212" s="2"/>
    </row>
    <row r="213" spans="2:16" x14ac:dyDescent="0.35">
      <c r="B213" s="3"/>
      <c r="C213" s="11" t="s">
        <v>5</v>
      </c>
      <c r="D213" s="1305">
        <f>L4</f>
        <v>2020</v>
      </c>
      <c r="E213" s="1305"/>
      <c r="F213" s="1305"/>
      <c r="G213" s="10"/>
      <c r="H213" s="10"/>
      <c r="I213" s="10"/>
      <c r="J213" s="10"/>
      <c r="K213" s="10"/>
      <c r="L213" s="10"/>
      <c r="M213" s="13"/>
      <c r="N213" s="2"/>
      <c r="O213" s="2"/>
      <c r="P213" s="2"/>
    </row>
    <row r="214" spans="2:16" x14ac:dyDescent="0.35">
      <c r="B214" s="3"/>
      <c r="C214" s="699" t="s">
        <v>1429</v>
      </c>
      <c r="D214" s="19"/>
      <c r="E214" s="19"/>
      <c r="F214" s="19"/>
      <c r="G214" s="10"/>
      <c r="H214" s="10"/>
      <c r="I214" s="10"/>
      <c r="J214" s="10"/>
      <c r="K214" s="10"/>
      <c r="L214" s="10"/>
      <c r="M214" s="12">
        <f>M209</f>
        <v>186571667.28107375</v>
      </c>
      <c r="N214" s="2"/>
      <c r="O214" s="2"/>
      <c r="P214" s="2"/>
    </row>
    <row r="215" spans="2:16" x14ac:dyDescent="0.35">
      <c r="B215" s="3"/>
      <c r="C215" s="20"/>
      <c r="D215" s="475"/>
      <c r="E215" s="16"/>
      <c r="F215" s="16"/>
      <c r="G215" s="15"/>
      <c r="I215" s="10"/>
      <c r="J215" s="10"/>
      <c r="K215" s="10"/>
      <c r="L215" s="605"/>
      <c r="M215" s="470"/>
      <c r="N215" s="2"/>
      <c r="O215" s="2"/>
      <c r="P215" s="2"/>
    </row>
    <row r="216" spans="2:16" x14ac:dyDescent="0.35">
      <c r="B216" s="3"/>
      <c r="C216" s="20"/>
      <c r="D216" s="475"/>
      <c r="E216" s="16"/>
      <c r="F216" s="16"/>
      <c r="G216" s="15"/>
      <c r="I216" s="10"/>
      <c r="J216" s="10"/>
      <c r="K216" s="10"/>
      <c r="L216" s="605"/>
      <c r="M216" s="470"/>
      <c r="N216" s="2"/>
      <c r="O216" s="2"/>
      <c r="P216" s="2"/>
    </row>
    <row r="217" spans="2:16" x14ac:dyDescent="0.35">
      <c r="B217" s="3"/>
      <c r="C217" s="20"/>
      <c r="D217" s="368"/>
      <c r="E217" s="19"/>
      <c r="F217" s="19"/>
      <c r="G217" s="10"/>
      <c r="I217" s="10"/>
      <c r="J217" s="10"/>
      <c r="K217" s="10"/>
      <c r="L217" s="605"/>
      <c r="M217" s="470"/>
      <c r="N217" s="2"/>
      <c r="O217" s="2"/>
      <c r="P217" s="2"/>
    </row>
    <row r="218" spans="2:16" x14ac:dyDescent="0.35">
      <c r="B218" s="3"/>
      <c r="C218" s="20"/>
      <c r="D218" s="368"/>
      <c r="E218" s="19"/>
      <c r="F218" s="19"/>
      <c r="G218" s="10"/>
      <c r="I218" s="10"/>
      <c r="J218" s="10"/>
      <c r="K218" s="10"/>
      <c r="L218" s="469"/>
      <c r="M218" s="188"/>
      <c r="N218" s="2"/>
      <c r="O218" s="2"/>
      <c r="P218" s="2"/>
    </row>
    <row r="219" spans="2:16" x14ac:dyDescent="0.35">
      <c r="B219" s="3"/>
      <c r="C219" s="11" t="s">
        <v>1429</v>
      </c>
      <c r="D219" s="10"/>
      <c r="E219" s="10"/>
      <c r="F219" s="10"/>
      <c r="G219" s="10"/>
      <c r="I219" s="10"/>
      <c r="J219" s="10"/>
      <c r="K219" s="10"/>
      <c r="L219" s="10"/>
      <c r="M219" s="12">
        <f>M214+M218</f>
        <v>186571667.28107375</v>
      </c>
      <c r="N219" s="2"/>
      <c r="O219" s="2"/>
      <c r="P219" s="2"/>
    </row>
    <row r="220" spans="2:16" x14ac:dyDescent="0.35">
      <c r="B220" s="3"/>
      <c r="C220" s="11"/>
      <c r="D220" s="10"/>
      <c r="E220" s="10"/>
      <c r="F220" s="10"/>
      <c r="G220" s="10"/>
      <c r="H220" s="10"/>
      <c r="I220" s="10"/>
      <c r="J220" s="10"/>
      <c r="K220" s="10"/>
      <c r="L220" s="10"/>
      <c r="M220" s="13"/>
      <c r="N220" s="2"/>
      <c r="O220" s="2"/>
      <c r="P220" s="2"/>
    </row>
    <row r="221" spans="2:16" x14ac:dyDescent="0.35">
      <c r="B221" s="3"/>
      <c r="C221" s="11"/>
      <c r="D221" s="10" t="s">
        <v>2</v>
      </c>
      <c r="E221" s="10"/>
      <c r="F221" s="10"/>
      <c r="G221" s="10"/>
      <c r="H221" s="10"/>
      <c r="I221" s="10"/>
      <c r="J221" s="10"/>
      <c r="K221" s="10"/>
      <c r="L221" s="10"/>
      <c r="M221" s="924">
        <f>L22</f>
        <v>186708530.11253503</v>
      </c>
      <c r="N221" s="2"/>
      <c r="O221" s="2"/>
      <c r="P221" s="2"/>
    </row>
    <row r="222" spans="2:16" x14ac:dyDescent="0.35">
      <c r="B222" s="3"/>
      <c r="C222" s="11"/>
      <c r="D222" s="10" t="s">
        <v>1</v>
      </c>
      <c r="E222" s="10"/>
      <c r="F222" s="10"/>
      <c r="G222" s="10"/>
      <c r="H222" s="10"/>
      <c r="I222" s="10"/>
      <c r="J222" s="10"/>
      <c r="K222" s="10"/>
      <c r="L222" s="10"/>
      <c r="M222" s="12">
        <f>M219-M221</f>
        <v>-136862.83146128058</v>
      </c>
      <c r="N222" s="2"/>
      <c r="O222" s="2"/>
      <c r="P222" s="2"/>
    </row>
    <row r="223" spans="2:16" x14ac:dyDescent="0.35">
      <c r="B223" s="3"/>
      <c r="C223" s="11"/>
      <c r="D223" s="10" t="s">
        <v>0</v>
      </c>
      <c r="E223" s="10"/>
      <c r="F223" s="10"/>
      <c r="G223" s="10"/>
      <c r="H223" s="10"/>
      <c r="I223" s="10"/>
      <c r="J223" s="10"/>
      <c r="K223" s="10"/>
      <c r="L223" s="10"/>
      <c r="M223" s="9">
        <f>M219/M221-1</f>
        <v>-7.3302934460883762E-4</v>
      </c>
      <c r="N223" s="2"/>
      <c r="O223" s="2"/>
      <c r="P223" s="2"/>
    </row>
    <row r="224" spans="2:16" ht="15" thickBot="1" x14ac:dyDescent="0.4">
      <c r="B224" s="3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5"/>
      <c r="N224" s="2"/>
      <c r="O224" s="2"/>
      <c r="P224" s="2"/>
    </row>
    <row r="225" spans="1:16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2"/>
      <c r="O225" s="2"/>
      <c r="P225" s="2"/>
    </row>
    <row r="226" spans="1:16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</row>
    <row r="227" spans="1:16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</row>
    <row r="228" spans="1:16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"/>
    </row>
    <row r="229" spans="1:16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</row>
  </sheetData>
  <mergeCells count="15">
    <mergeCell ref="H96:J96"/>
    <mergeCell ref="H193:J193"/>
    <mergeCell ref="D213:F213"/>
    <mergeCell ref="H116:J116"/>
    <mergeCell ref="L116:N116"/>
    <mergeCell ref="L123:N123"/>
    <mergeCell ref="H153:J153"/>
    <mergeCell ref="M153:O153"/>
    <mergeCell ref="H186:J186"/>
    <mergeCell ref="N96:Q96"/>
    <mergeCell ref="H54:J54"/>
    <mergeCell ref="L54:N54"/>
    <mergeCell ref="L61:N61"/>
    <mergeCell ref="D93:F93"/>
    <mergeCell ref="N95:Q95"/>
  </mergeCells>
  <printOptions horizontalCentered="1"/>
  <pageMargins left="0.2" right="0.2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67" max="16383" man="1"/>
    <brk id="128" max="16383" man="1"/>
    <brk id="201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7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37">
    <tabColor rgb="FFFFFF00"/>
  </sheetPr>
  <dimension ref="B1:I98"/>
  <sheetViews>
    <sheetView topLeftCell="A49" workbookViewId="0">
      <selection activeCell="M70" sqref="M70"/>
    </sheetView>
  </sheetViews>
  <sheetFormatPr defaultRowHeight="14.5" outlineLevelCol="1" x14ac:dyDescent="0.35"/>
  <cols>
    <col min="1" max="1" width="4" customWidth="1"/>
    <col min="2" max="2" width="7" customWidth="1"/>
    <col min="3" max="3" width="52.7265625" customWidth="1"/>
    <col min="4" max="5" width="16.453125" customWidth="1"/>
    <col min="6" max="6" width="16.453125" style="425" customWidth="1"/>
    <col min="7" max="7" width="14.26953125" customWidth="1"/>
    <col min="8" max="8" width="18" hidden="1" customWidth="1" outlineLevel="1"/>
    <col min="9" max="9" width="14.26953125" customWidth="1" collapsed="1"/>
    <col min="10" max="10" width="7.7265625" customWidth="1"/>
    <col min="11" max="12" width="14.26953125" customWidth="1"/>
  </cols>
  <sheetData>
    <row r="1" spans="2:8" ht="15.5" x14ac:dyDescent="0.35">
      <c r="B1" s="448" t="s">
        <v>840</v>
      </c>
      <c r="C1" s="438" t="s">
        <v>841</v>
      </c>
    </row>
    <row r="2" spans="2:8" x14ac:dyDescent="0.35">
      <c r="C2" s="372" t="str">
        <f>CONCATENATE('12B.)TODL_RateDesign_SC5_II'!$D$3," $",'12B.)TODL_RateDesign_SC5_II'!$G$3/1000000,"M")</f>
        <v>Proposed Rate Change: $113.251M</v>
      </c>
    </row>
    <row r="3" spans="2:8" x14ac:dyDescent="0.35">
      <c r="C3" s="1072" t="s">
        <v>150</v>
      </c>
      <c r="D3" s="833">
        <f>'[1]A1.)RatesInput'!$G$4</f>
        <v>2019</v>
      </c>
    </row>
    <row r="4" spans="2:8" x14ac:dyDescent="0.35">
      <c r="C4" s="367" t="s">
        <v>5</v>
      </c>
      <c r="D4" s="833">
        <f>'[1]A1.)RatesInput'!$I$3</f>
        <v>2020</v>
      </c>
      <c r="E4" s="1" t="str">
        <f>'[1]A1.)RatesInput'!$I$2</f>
        <v>RY1</v>
      </c>
    </row>
    <row r="5" spans="2:8" ht="15" thickBot="1" x14ac:dyDescent="0.4"/>
    <row r="6" spans="2:8" ht="15" thickBot="1" x14ac:dyDescent="0.4">
      <c r="B6" s="131" t="s">
        <v>533</v>
      </c>
      <c r="C6" s="435" t="s">
        <v>529</v>
      </c>
      <c r="D6" s="400" t="str">
        <f>'13B.)TODM_RateDesign_SC8_III'!$A$4</f>
        <v>SC8 Rate III</v>
      </c>
      <c r="E6" s="436"/>
    </row>
    <row r="7" spans="2:8" x14ac:dyDescent="0.35">
      <c r="C7" s="435" t="s">
        <v>528</v>
      </c>
      <c r="D7" s="372" t="s">
        <v>873</v>
      </c>
    </row>
    <row r="8" spans="2:8" x14ac:dyDescent="0.35">
      <c r="H8" s="296" t="s">
        <v>964</v>
      </c>
    </row>
    <row r="9" spans="2:8" x14ac:dyDescent="0.35">
      <c r="C9" s="435" t="s">
        <v>527</v>
      </c>
      <c r="D9" s="961" t="s">
        <v>2149</v>
      </c>
      <c r="E9" s="428" t="s">
        <v>521</v>
      </c>
      <c r="F9" s="428" t="s">
        <v>526</v>
      </c>
      <c r="H9" s="961">
        <v>2019</v>
      </c>
    </row>
    <row r="10" spans="2:8" x14ac:dyDescent="0.35">
      <c r="D10" s="296"/>
      <c r="E10" s="296" t="s">
        <v>538</v>
      </c>
      <c r="H10" s="296" t="s">
        <v>1249</v>
      </c>
    </row>
    <row r="11" spans="2:8" x14ac:dyDescent="0.35">
      <c r="C11" s="1" t="str">
        <f>'13B.)TODM_RateDesign_SC8_III'!$A$8</f>
        <v>SC8 Rate III (Winter)_(8-6)</v>
      </c>
      <c r="D11" s="643">
        <f>IF('[1]A1.)RatesInput'!$P$99="Y",IF(ISNUMBER(VLOOKUP($C11,'[1]A1.)RatesInput'!$B$195:$Q$281,HLOOKUP(D$9,'[1]A1.)RatesInput'!$O$195:$Q$197,3,0),0)),VLOOKUP($C11,'[1]A1.)RatesInput'!$B$195:$Q$281,HLOOKUP(D$9,'[1]A1.)RatesInput'!$O$195:$Q$197,3,0),0),0),IF(ISNUMBER(VLOOKUP($C11,'[1]A1.)RatesInput'!$B$195:$I$281,HLOOKUP(D$9,'[1]A1.)RatesInput'!$D$195:$I$281,3,0),0)),VLOOKUP($C11,'[1]A1.)RatesInput'!$B$195:$I$281,HLOOKUP(D$9,'[1]A1.)RatesInput'!$D$195:$I$281,3,0),0),0))</f>
        <v>0</v>
      </c>
      <c r="E11" s="643">
        <f>'13B.)TODM_RateDesign_SC8_III'!$H$8</f>
        <v>0</v>
      </c>
      <c r="F11" s="1091" t="str">
        <f t="shared" ref="F11:F24" si="0">IF(ISNUMBER(E11/D11-1),E11/D11-1,"")</f>
        <v/>
      </c>
      <c r="H11" s="211">
        <f>IF(ISNUMBER(VLOOKUP($C11,'[1]A1.)RatesInput'!$B$195:$L$281,HLOOKUP(H$9,'[1]A1.)RatesInput'!$D$195:$L$281,3,0),0)),VLOOKUP($C11,'[1]A1.)RatesInput'!$B$195:$L$281,HLOOKUP(H$9,'[1]A1.)RatesInput'!$D$195:$L$281,3,0),0),0)</f>
        <v>0</v>
      </c>
    </row>
    <row r="12" spans="2:8" x14ac:dyDescent="0.35">
      <c r="C12" s="1" t="str">
        <f>'13B.)TODM_RateDesign_SC8_III'!$A$9</f>
        <v>SC8 Rate III (Winter)_(8-10)</v>
      </c>
      <c r="D12" s="645">
        <f>IF('[1]A1.)RatesInput'!$P$99="Y",IF(ISNUMBER(VLOOKUP($C12,'[1]A1.)RatesInput'!$B$195:$Q$281,HLOOKUP(D$9,'[1]A1.)RatesInput'!$O$195:$Q$197,3,0),0)),VLOOKUP($C12,'[1]A1.)RatesInput'!$B$195:$Q$281,HLOOKUP(D$9,'[1]A1.)RatesInput'!$O$195:$Q$197,3,0),0),0),IF(ISNUMBER(VLOOKUP($C12,'[1]A1.)RatesInput'!$B$195:$I$281,HLOOKUP(D$9,'[1]A1.)RatesInput'!$D$195:$I$281,3,0),0)),VLOOKUP($C12,'[1]A1.)RatesInput'!$B$195:$I$281,HLOOKUP(D$9,'[1]A1.)RatesInput'!$D$195:$I$281,3,0),0),0))</f>
        <v>15.9</v>
      </c>
      <c r="E12" s="645">
        <f>'13B.)TODM_RateDesign_SC8_III'!$H$9</f>
        <v>16.43</v>
      </c>
      <c r="F12" s="1092">
        <f t="shared" si="0"/>
        <v>3.3333333333333215E-2</v>
      </c>
      <c r="H12" s="488">
        <f>IF(ISNUMBER(VLOOKUP($C12,'[1]A1.)RatesInput'!$B$195:$L$281,HLOOKUP(H$9,'[1]A1.)RatesInput'!$D$195:$L$281,3,0),0)),VLOOKUP($C12,'[1]A1.)RatesInput'!$B$195:$L$281,HLOOKUP(H$9,'[1]A1.)RatesInput'!$D$195:$L$281,3,0),0),0)</f>
        <v>15.9</v>
      </c>
    </row>
    <row r="13" spans="2:8" x14ac:dyDescent="0.35">
      <c r="C13" s="1" t="str">
        <f>'13B.)TODM_RateDesign_SC8_III'!$A$10</f>
        <v>SC8 Rate III (Winter)_(All Day)</v>
      </c>
      <c r="D13" s="645">
        <f>IF('[1]A1.)RatesInput'!$P$99="Y",IF(ISNUMBER(VLOOKUP($C13,'[1]A1.)RatesInput'!$B$195:$Q$281,HLOOKUP(D$9,'[1]A1.)RatesInput'!$O$195:$Q$197,3,0),0)),VLOOKUP($C13,'[1]A1.)RatesInput'!$B$195:$Q$281,HLOOKUP(D$9,'[1]A1.)RatesInput'!$O$195:$Q$197,3,0),0),0),IF(ISNUMBER(VLOOKUP($C13,'[1]A1.)RatesInput'!$B$195:$I$281,HLOOKUP(D$9,'[1]A1.)RatesInput'!$D$195:$I$281,3,0),0)),VLOOKUP($C13,'[1]A1.)RatesInput'!$B$195:$I$281,HLOOKUP(D$9,'[1]A1.)RatesInput'!$D$195:$I$281,3,0),0),0))</f>
        <v>6.3100000000000005</v>
      </c>
      <c r="E13" s="645">
        <f>'13B.)TODM_RateDesign_SC8_III'!$H$10</f>
        <v>6.52</v>
      </c>
      <c r="F13" s="1092">
        <f t="shared" si="0"/>
        <v>3.3280507131537185E-2</v>
      </c>
      <c r="H13" s="488">
        <f>IF(ISNUMBER(VLOOKUP($C13,'[1]A1.)RatesInput'!$B$195:$L$281,HLOOKUP(H$9,'[1]A1.)RatesInput'!$D$195:$L$281,3,0),0)),VLOOKUP($C13,'[1]A1.)RatesInput'!$B$195:$L$281,HLOOKUP(H$9,'[1]A1.)RatesInput'!$D$195:$L$281,3,0),0),0)</f>
        <v>6.3100000000000005</v>
      </c>
    </row>
    <row r="14" spans="2:8" x14ac:dyDescent="0.35">
      <c r="C14" s="1" t="str">
        <f>'13B.)TODM_RateDesign_SC8_III'!$A$11</f>
        <v>SC8 Rate III (Summer)_(8-6)</v>
      </c>
      <c r="D14" s="645">
        <f>IF('[1]A1.)RatesInput'!$P$99="Y",IF(ISNUMBER(VLOOKUP($C14,'[1]A1.)RatesInput'!$B$195:$Q$281,HLOOKUP(D$9,'[1]A1.)RatesInput'!$O$195:$Q$197,3,0),0)),VLOOKUP($C14,'[1]A1.)RatesInput'!$B$195:$Q$281,HLOOKUP(D$9,'[1]A1.)RatesInput'!$O$195:$Q$197,3,0),0),0),IF(ISNUMBER(VLOOKUP($C14,'[1]A1.)RatesInput'!$B$195:$I$281,HLOOKUP(D$9,'[1]A1.)RatesInput'!$D$195:$I$281,3,0),0)),VLOOKUP($C14,'[1]A1.)RatesInput'!$B$195:$I$281,HLOOKUP(D$9,'[1]A1.)RatesInput'!$D$195:$I$281,3,0),0),0))</f>
        <v>9.02</v>
      </c>
      <c r="E14" s="645">
        <f>'13B.)TODM_RateDesign_SC8_III'!$H$11</f>
        <v>9.32</v>
      </c>
      <c r="F14" s="1092">
        <f t="shared" si="0"/>
        <v>3.3259423503326113E-2</v>
      </c>
      <c r="H14" s="488">
        <f>IF(ISNUMBER(VLOOKUP($C14,'[1]A1.)RatesInput'!$B$195:$L$281,HLOOKUP(H$9,'[1]A1.)RatesInput'!$D$195:$L$281,3,0),0)),VLOOKUP($C14,'[1]A1.)RatesInput'!$B$195:$L$281,HLOOKUP(H$9,'[1]A1.)RatesInput'!$D$195:$L$281,3,0),0),0)</f>
        <v>9.02</v>
      </c>
    </row>
    <row r="15" spans="2:8" x14ac:dyDescent="0.35">
      <c r="C15" s="1" t="str">
        <f>'13B.)TODM_RateDesign_SC8_III'!$A$12</f>
        <v>SC8 Rate III (Summer)_(8-10)</v>
      </c>
      <c r="D15" s="645">
        <f>IF('[1]A1.)RatesInput'!$P$99="Y",IF(ISNUMBER(VLOOKUP($C15,'[1]A1.)RatesInput'!$B$195:$Q$281,HLOOKUP(D$9,'[1]A1.)RatesInput'!$O$195:$Q$197,3,0),0)),VLOOKUP($C15,'[1]A1.)RatesInput'!$B$195:$Q$281,HLOOKUP(D$9,'[1]A1.)RatesInput'!$O$195:$Q$197,3,0),0),0),IF(ISNUMBER(VLOOKUP($C15,'[1]A1.)RatesInput'!$B$195:$I$281,HLOOKUP(D$9,'[1]A1.)RatesInput'!$D$195:$I$281,3,0),0)),VLOOKUP($C15,'[1]A1.)RatesInput'!$B$195:$I$281,HLOOKUP(D$9,'[1]A1.)RatesInput'!$D$195:$I$281,3,0),0),0))</f>
        <v>21.52</v>
      </c>
      <c r="E15" s="645">
        <f>'13B.)TODM_RateDesign_SC8_III'!$H$12</f>
        <v>22.24</v>
      </c>
      <c r="F15" s="1092">
        <f t="shared" si="0"/>
        <v>3.3457249070631967E-2</v>
      </c>
      <c r="H15" s="488">
        <f>IF(ISNUMBER(VLOOKUP($C15,'[1]A1.)RatesInput'!$B$195:$L$281,HLOOKUP(H$9,'[1]A1.)RatesInput'!$D$195:$L$281,3,0),0)),VLOOKUP($C15,'[1]A1.)RatesInput'!$B$195:$L$281,HLOOKUP(H$9,'[1]A1.)RatesInput'!$D$195:$L$281,3,0),0),0)</f>
        <v>21.52</v>
      </c>
    </row>
    <row r="16" spans="2:8" x14ac:dyDescent="0.35">
      <c r="C16" s="1" t="str">
        <f>'13B.)TODM_RateDesign_SC8_III'!$A$13</f>
        <v>SC8 Rate III (Summer)_(All Day)</v>
      </c>
      <c r="D16" s="645">
        <f>IF('[1]A1.)RatesInput'!$P$99="Y",IF(ISNUMBER(VLOOKUP($C16,'[1]A1.)RatesInput'!$B$195:$Q$281,HLOOKUP(D$9,'[1]A1.)RatesInput'!$O$195:$Q$197,3,0),0)),VLOOKUP($C16,'[1]A1.)RatesInput'!$B$195:$Q$281,HLOOKUP(D$9,'[1]A1.)RatesInput'!$O$195:$Q$197,3,0),0),0),IF(ISNUMBER(VLOOKUP($C16,'[1]A1.)RatesInput'!$B$195:$I$281,HLOOKUP(D$9,'[1]A1.)RatesInput'!$D$195:$I$281,3,0),0)),VLOOKUP($C16,'[1]A1.)RatesInput'!$B$195:$I$281,HLOOKUP(D$9,'[1]A1.)RatesInput'!$D$195:$I$281,3,0),0),0))</f>
        <v>19.82</v>
      </c>
      <c r="E16" s="645">
        <f>'13B.)TODM_RateDesign_SC8_III'!$H$13</f>
        <v>20.48</v>
      </c>
      <c r="F16" s="1092">
        <f t="shared" si="0"/>
        <v>3.3299697275479323E-2</v>
      </c>
      <c r="H16" s="488">
        <f>IF(ISNUMBER(VLOOKUP($C16,'[1]A1.)RatesInput'!$B$195:$L$281,HLOOKUP(H$9,'[1]A1.)RatesInput'!$D$195:$L$281,3,0),0)),VLOOKUP($C16,'[1]A1.)RatesInput'!$B$195:$L$281,HLOOKUP(H$9,'[1]A1.)RatesInput'!$D$195:$L$281,3,0),0),0)</f>
        <v>19.82</v>
      </c>
    </row>
    <row r="17" spans="3:8" x14ac:dyDescent="0.35">
      <c r="C17" s="1" t="str">
        <f>'13B.)TODM_RateDesign_SC8_III'!$A$14</f>
        <v>Rate III LT - Energy (Summer)_OnPeak</v>
      </c>
      <c r="D17" s="645">
        <f>IF('[1]A1.)RatesInput'!$P$99="Y",IF(ISNUMBER(VLOOKUP($C17,'[1]A1.)RatesInput'!$B$195:$Q$281,HLOOKUP(D$9,'[1]A1.)RatesInput'!$O$195:$Q$197,3,0),0)),VLOOKUP($C17,'[1]A1.)RatesInput'!$B$195:$Q$281,HLOOKUP(D$9,'[1]A1.)RatesInput'!$O$195:$Q$197,3,0),0),0),IF(ISNUMBER(VLOOKUP($C17,'[1]A1.)RatesInput'!$B$195:$I$281,HLOOKUP(D$9,'[1]A1.)RatesInput'!$D$195:$I$281,3,0),0)),VLOOKUP($C17,'[1]A1.)RatesInput'!$B$195:$I$281,HLOOKUP(D$9,'[1]A1.)RatesInput'!$D$195:$I$281,3,0),0),0))</f>
        <v>7.9000000000000008E-3</v>
      </c>
      <c r="E17" s="645">
        <f>'13B.)TODM_RateDesign_SC8_III'!$H$14</f>
        <v>7.9000000000000008E-3</v>
      </c>
      <c r="F17" s="1092">
        <f t="shared" si="0"/>
        <v>0</v>
      </c>
      <c r="H17" s="488">
        <f>IF(ISNUMBER(VLOOKUP($C17,'[1]A1.)RatesInput'!$B$195:$L$281,HLOOKUP(H$9,'[1]A1.)RatesInput'!$D$195:$L$281,3,0),0)),VLOOKUP($C17,'[1]A1.)RatesInput'!$B$195:$L$281,HLOOKUP(H$9,'[1]A1.)RatesInput'!$D$195:$L$281,3,0),0),0)</f>
        <v>7.9000000000000008E-3</v>
      </c>
    </row>
    <row r="18" spans="3:8" x14ac:dyDescent="0.35">
      <c r="C18" s="1" t="str">
        <f>'13B.)TODM_RateDesign_SC8_III'!$A$15</f>
        <v>Rate III LT - Energy (Summer)_OffPeak</v>
      </c>
      <c r="D18" s="645">
        <f>IF('[1]A1.)RatesInput'!$P$99="Y",IF(ISNUMBER(VLOOKUP($C18,'[1]A1.)RatesInput'!$B$195:$Q$281,HLOOKUP(D$9,'[1]A1.)RatesInput'!$O$195:$Q$197,3,0),0)),VLOOKUP($C18,'[1]A1.)RatesInput'!$B$195:$Q$281,HLOOKUP(D$9,'[1]A1.)RatesInput'!$O$195:$Q$197,3,0),0),0),IF(ISNUMBER(VLOOKUP($C18,'[1]A1.)RatesInput'!$B$195:$I$281,HLOOKUP(D$9,'[1]A1.)RatesInput'!$D$195:$I$281,3,0),0)),VLOOKUP($C18,'[1]A1.)RatesInput'!$B$195:$I$281,HLOOKUP(D$9,'[1]A1.)RatesInput'!$D$195:$I$281,3,0),0),0))</f>
        <v>7.9000000000000008E-3</v>
      </c>
      <c r="E18" s="645">
        <f>'13B.)TODM_RateDesign_SC8_III'!$H$15</f>
        <v>7.9000000000000008E-3</v>
      </c>
      <c r="F18" s="1092">
        <f t="shared" si="0"/>
        <v>0</v>
      </c>
      <c r="H18" s="488">
        <f>IF(ISNUMBER(VLOOKUP($C18,'[1]A1.)RatesInput'!$B$195:$L$281,HLOOKUP(H$9,'[1]A1.)RatesInput'!$D$195:$L$281,3,0),0)),VLOOKUP($C18,'[1]A1.)RatesInput'!$B$195:$L$281,HLOOKUP(H$9,'[1]A1.)RatesInput'!$D$195:$L$281,3,0),0),0)</f>
        <v>7.9000000000000008E-3</v>
      </c>
    </row>
    <row r="19" spans="3:8" x14ac:dyDescent="0.35">
      <c r="C19" s="1" t="str">
        <f>'13B.)TODM_RateDesign_SC8_III'!$A$16</f>
        <v>Rate III LT - Energy (Winter)_OnPeak</v>
      </c>
      <c r="D19" s="645">
        <f>IF('[1]A1.)RatesInput'!$P$99="Y",IF(ISNUMBER(VLOOKUP($C19,'[1]A1.)RatesInput'!$B$195:$Q$281,HLOOKUP(D$9,'[1]A1.)RatesInput'!$O$195:$Q$197,3,0),0)),VLOOKUP($C19,'[1]A1.)RatesInput'!$B$195:$Q$281,HLOOKUP(D$9,'[1]A1.)RatesInput'!$O$195:$Q$197,3,0),0),0),IF(ISNUMBER(VLOOKUP($C19,'[1]A1.)RatesInput'!$B$195:$I$281,HLOOKUP(D$9,'[1]A1.)RatesInput'!$D$195:$I$281,3,0),0)),VLOOKUP($C19,'[1]A1.)RatesInput'!$B$195:$I$281,HLOOKUP(D$9,'[1]A1.)RatesInput'!$D$195:$I$281,3,0),0),0))</f>
        <v>7.9000000000000008E-3</v>
      </c>
      <c r="E19" s="645">
        <f>'13B.)TODM_RateDesign_SC8_III'!$H$16</f>
        <v>7.9000000000000008E-3</v>
      </c>
      <c r="F19" s="1092">
        <f t="shared" si="0"/>
        <v>0</v>
      </c>
      <c r="H19" s="488">
        <f>IF(ISNUMBER(VLOOKUP($C19,'[1]A1.)RatesInput'!$B$195:$L$281,HLOOKUP(H$9,'[1]A1.)RatesInput'!$D$195:$L$281,3,0),0)),VLOOKUP($C19,'[1]A1.)RatesInput'!$B$195:$L$281,HLOOKUP(H$9,'[1]A1.)RatesInput'!$D$195:$L$281,3,0),0),0)</f>
        <v>7.9000000000000008E-3</v>
      </c>
    </row>
    <row r="20" spans="3:8" x14ac:dyDescent="0.35">
      <c r="C20" s="1" t="str">
        <f>'13B.)TODM_RateDesign_SC8_III'!$A$17</f>
        <v>Rate III LT - Energy (Winter)_OffPeak</v>
      </c>
      <c r="D20" s="645">
        <f>IF('[1]A1.)RatesInput'!$P$99="Y",IF(ISNUMBER(VLOOKUP($C20,'[1]A1.)RatesInput'!$B$195:$Q$281,HLOOKUP(D$9,'[1]A1.)RatesInput'!$O$195:$Q$197,3,0),0)),VLOOKUP($C20,'[1]A1.)RatesInput'!$B$195:$Q$281,HLOOKUP(D$9,'[1]A1.)RatesInput'!$O$195:$Q$197,3,0),0),0),IF(ISNUMBER(VLOOKUP($C20,'[1]A1.)RatesInput'!$B$195:$I$281,HLOOKUP(D$9,'[1]A1.)RatesInput'!$D$195:$I$281,3,0),0)),VLOOKUP($C20,'[1]A1.)RatesInput'!$B$195:$I$281,HLOOKUP(D$9,'[1]A1.)RatesInput'!$D$195:$I$281,3,0),0),0))</f>
        <v>7.9000000000000008E-3</v>
      </c>
      <c r="E20" s="645">
        <f>'13B.)TODM_RateDesign_SC8_III'!$H$17</f>
        <v>7.9000000000000008E-3</v>
      </c>
      <c r="F20" s="1092">
        <f t="shared" si="0"/>
        <v>0</v>
      </c>
      <c r="H20" s="488">
        <f>IF(ISNUMBER(VLOOKUP($C20,'[1]A1.)RatesInput'!$B$195:$L$281,HLOOKUP(H$9,'[1]A1.)RatesInput'!$D$195:$L$281,3,0),0)),VLOOKUP($C20,'[1]A1.)RatesInput'!$B$195:$L$281,HLOOKUP(H$9,'[1]A1.)RatesInput'!$D$195:$L$281,3,0),0),0)</f>
        <v>7.9000000000000008E-3</v>
      </c>
    </row>
    <row r="21" spans="3:8" x14ac:dyDescent="0.35">
      <c r="C21" s="1" t="str">
        <f>'13B.)TODM_RateDesign_SC8_III'!$A$18</f>
        <v>Rate III HT - Energy (Summer)_OnPeak</v>
      </c>
      <c r="D21" s="645">
        <f>IF('[1]A1.)RatesInput'!$P$99="Y",IF(ISNUMBER(VLOOKUP($C21,'[1]A1.)RatesInput'!$B$195:$Q$281,HLOOKUP(D$9,'[1]A1.)RatesInput'!$O$195:$Q$197,3,0),0)),VLOOKUP($C21,'[1]A1.)RatesInput'!$B$195:$Q$281,HLOOKUP(D$9,'[1]A1.)RatesInput'!$O$195:$Q$197,3,0),0),0),IF(ISNUMBER(VLOOKUP($C21,'[1]A1.)RatesInput'!$B$195:$I$281,HLOOKUP(D$9,'[1]A1.)RatesInput'!$D$195:$I$281,3,0),0)),VLOOKUP($C21,'[1]A1.)RatesInput'!$B$195:$I$281,HLOOKUP(D$9,'[1]A1.)RatesInput'!$D$195:$I$281,3,0),0),0))</f>
        <v>7.9000000000000008E-3</v>
      </c>
      <c r="E21" s="645">
        <f>'13B.)TODM_RateDesign_SC8_III'!$H$18</f>
        <v>7.9000000000000008E-3</v>
      </c>
      <c r="F21" s="1092">
        <f t="shared" si="0"/>
        <v>0</v>
      </c>
      <c r="H21" s="488">
        <f>IF(ISNUMBER(VLOOKUP($C21,'[1]A1.)RatesInput'!$B$195:$L$281,HLOOKUP(H$9,'[1]A1.)RatesInput'!$D$195:$L$281,3,0),0)),VLOOKUP($C21,'[1]A1.)RatesInput'!$B$195:$L$281,HLOOKUP(H$9,'[1]A1.)RatesInput'!$D$195:$L$281,3,0),0),0)</f>
        <v>7.9000000000000008E-3</v>
      </c>
    </row>
    <row r="22" spans="3:8" x14ac:dyDescent="0.35">
      <c r="C22" s="1" t="str">
        <f>'13B.)TODM_RateDesign_SC8_III'!$A$19</f>
        <v>Rate III HT - Energy (Summer)_OffPeak</v>
      </c>
      <c r="D22" s="645">
        <f>IF('[1]A1.)RatesInput'!$P$99="Y",IF(ISNUMBER(VLOOKUP($C22,'[1]A1.)RatesInput'!$B$195:$Q$281,HLOOKUP(D$9,'[1]A1.)RatesInput'!$O$195:$Q$197,3,0),0)),VLOOKUP($C22,'[1]A1.)RatesInput'!$B$195:$Q$281,HLOOKUP(D$9,'[1]A1.)RatesInput'!$O$195:$Q$197,3,0),0),0),IF(ISNUMBER(VLOOKUP($C22,'[1]A1.)RatesInput'!$B$195:$I$281,HLOOKUP(D$9,'[1]A1.)RatesInput'!$D$195:$I$281,3,0),0)),VLOOKUP($C22,'[1]A1.)RatesInput'!$B$195:$I$281,HLOOKUP(D$9,'[1]A1.)RatesInput'!$D$195:$I$281,3,0),0),0))</f>
        <v>7.9000000000000008E-3</v>
      </c>
      <c r="E22" s="645">
        <f>'13B.)TODM_RateDesign_SC8_III'!$H$19</f>
        <v>7.9000000000000008E-3</v>
      </c>
      <c r="F22" s="1092">
        <f t="shared" si="0"/>
        <v>0</v>
      </c>
      <c r="H22" s="488">
        <f>IF(ISNUMBER(VLOOKUP($C22,'[1]A1.)RatesInput'!$B$195:$L$281,HLOOKUP(H$9,'[1]A1.)RatesInput'!$D$195:$L$281,3,0),0)),VLOOKUP($C22,'[1]A1.)RatesInput'!$B$195:$L$281,HLOOKUP(H$9,'[1]A1.)RatesInput'!$D$195:$L$281,3,0),0),0)</f>
        <v>7.9000000000000008E-3</v>
      </c>
    </row>
    <row r="23" spans="3:8" x14ac:dyDescent="0.35">
      <c r="C23" s="1" t="str">
        <f>'13B.)TODM_RateDesign_SC8_III'!$A$20</f>
        <v>Rate III HT - Energy (Winter)_OnPeak</v>
      </c>
      <c r="D23" s="645">
        <f>IF('[1]A1.)RatesInput'!$P$99="Y",IF(ISNUMBER(VLOOKUP($C23,'[1]A1.)RatesInput'!$B$195:$Q$281,HLOOKUP(D$9,'[1]A1.)RatesInput'!$O$195:$Q$197,3,0),0)),VLOOKUP($C23,'[1]A1.)RatesInput'!$B$195:$Q$281,HLOOKUP(D$9,'[1]A1.)RatesInput'!$O$195:$Q$197,3,0),0),0),IF(ISNUMBER(VLOOKUP($C23,'[1]A1.)RatesInput'!$B$195:$I$281,HLOOKUP(D$9,'[1]A1.)RatesInput'!$D$195:$I$281,3,0),0)),VLOOKUP($C23,'[1]A1.)RatesInput'!$B$195:$I$281,HLOOKUP(D$9,'[1]A1.)RatesInput'!$D$195:$I$281,3,0),0),0))</f>
        <v>7.9000000000000008E-3</v>
      </c>
      <c r="E23" s="645">
        <f>'13B.)TODM_RateDesign_SC8_III'!$H$20</f>
        <v>7.9000000000000008E-3</v>
      </c>
      <c r="F23" s="1092">
        <f t="shared" si="0"/>
        <v>0</v>
      </c>
      <c r="H23" s="488">
        <f>IF(ISNUMBER(VLOOKUP($C23,'[1]A1.)RatesInput'!$B$195:$L$281,HLOOKUP(H$9,'[1]A1.)RatesInput'!$D$195:$L$281,3,0),0)),VLOOKUP($C23,'[1]A1.)RatesInput'!$B$195:$L$281,HLOOKUP(H$9,'[1]A1.)RatesInput'!$D$195:$L$281,3,0),0),0)</f>
        <v>7.9000000000000008E-3</v>
      </c>
    </row>
    <row r="24" spans="3:8" x14ac:dyDescent="0.35">
      <c r="C24" s="1" t="str">
        <f>'13B.)TODM_RateDesign_SC8_III'!$A$21</f>
        <v>Rate III HT - Energy (Winter)_OffPeak</v>
      </c>
      <c r="D24" s="644">
        <f>IF('[1]A1.)RatesInput'!$P$99="Y",IF(ISNUMBER(VLOOKUP($C24,'[1]A1.)RatesInput'!$B$195:$Q$281,HLOOKUP(D$9,'[1]A1.)RatesInput'!$O$195:$Q$197,3,0),0)),VLOOKUP($C24,'[1]A1.)RatesInput'!$B$195:$Q$281,HLOOKUP(D$9,'[1]A1.)RatesInput'!$O$195:$Q$197,3,0),0),0),IF(ISNUMBER(VLOOKUP($C24,'[1]A1.)RatesInput'!$B$195:$I$281,HLOOKUP(D$9,'[1]A1.)RatesInput'!$D$195:$I$281,3,0),0)),VLOOKUP($C24,'[1]A1.)RatesInput'!$B$195:$I$281,HLOOKUP(D$9,'[1]A1.)RatesInput'!$D$195:$I$281,3,0),0),0))</f>
        <v>7.9000000000000008E-3</v>
      </c>
      <c r="E24" s="644">
        <f>'13B.)TODM_RateDesign_SC8_III'!$H$21</f>
        <v>7.9000000000000008E-3</v>
      </c>
      <c r="F24" s="1093">
        <f t="shared" si="0"/>
        <v>0</v>
      </c>
      <c r="H24" s="489">
        <f>IF(ISNUMBER(VLOOKUP($C24,'[1]A1.)RatesInput'!$B$195:$L$281,HLOOKUP(H$9,'[1]A1.)RatesInput'!$D$195:$L$281,3,0),0)),VLOOKUP($C24,'[1]A1.)RatesInput'!$B$195:$L$281,HLOOKUP(H$9,'[1]A1.)RatesInput'!$D$195:$L$281,3,0),0),0)</f>
        <v>7.9000000000000008E-3</v>
      </c>
    </row>
    <row r="25" spans="3:8" x14ac:dyDescent="0.35">
      <c r="C25" s="464" t="s">
        <v>2231</v>
      </c>
      <c r="D25" s="1"/>
      <c r="E25" s="1282">
        <f>'13B.)TODM_RateDesign_SC8_III'!H24</f>
        <v>12.45</v>
      </c>
      <c r="F25" s="1090"/>
    </row>
    <row r="26" spans="3:8" hidden="1" x14ac:dyDescent="0.35">
      <c r="C26" s="1"/>
      <c r="D26" s="1"/>
      <c r="E26" s="1"/>
      <c r="F26" s="1090"/>
    </row>
    <row r="27" spans="3:8" hidden="1" x14ac:dyDescent="0.35">
      <c r="C27" s="1"/>
      <c r="D27" s="1"/>
      <c r="E27" s="1"/>
      <c r="F27" s="1090"/>
    </row>
    <row r="28" spans="3:8" x14ac:dyDescent="0.35">
      <c r="C28" s="1283" t="s">
        <v>1147</v>
      </c>
      <c r="D28" s="726" t="s">
        <v>1148</v>
      </c>
      <c r="E28" s="726" t="s">
        <v>521</v>
      </c>
      <c r="F28" s="1090"/>
    </row>
    <row r="29" spans="3:8" x14ac:dyDescent="0.35">
      <c r="C29" s="1" t="s">
        <v>1152</v>
      </c>
      <c r="D29" s="464"/>
      <c r="E29" s="809">
        <f>'13B.)TODM_RateDesign_SC8_III'!M216</f>
        <v>138994995</v>
      </c>
      <c r="F29" s="1284"/>
    </row>
    <row r="30" spans="3:8" x14ac:dyDescent="0.35">
      <c r="C30" s="1" t="s">
        <v>45</v>
      </c>
      <c r="D30" s="464"/>
      <c r="E30" s="809">
        <f>'13B.)TODM_RateDesign_SC8_III'!M217</f>
        <v>13277963</v>
      </c>
      <c r="F30" s="1284"/>
    </row>
    <row r="31" spans="3:8" x14ac:dyDescent="0.35">
      <c r="C31" s="1" t="s">
        <v>757</v>
      </c>
      <c r="D31" s="464"/>
      <c r="E31" s="1285">
        <f>E29+E30</f>
        <v>152272958</v>
      </c>
      <c r="F31" s="1284"/>
    </row>
    <row r="32" spans="3:8" x14ac:dyDescent="0.35">
      <c r="C32" s="1" t="s">
        <v>756</v>
      </c>
      <c r="D32" s="464"/>
      <c r="E32" s="1286">
        <f>'13B.)TODM_RateDesign_SC8_III'!L226</f>
        <v>0</v>
      </c>
      <c r="F32" s="1284"/>
    </row>
    <row r="33" spans="2:8" ht="15" thickBot="1" x14ac:dyDescent="0.4">
      <c r="C33" s="1"/>
      <c r="D33" s="464"/>
      <c r="E33" s="1287"/>
      <c r="F33" s="1284"/>
    </row>
    <row r="34" spans="2:8" ht="15.5" thickTop="1" thickBot="1" x14ac:dyDescent="0.4">
      <c r="C34" s="1" t="s">
        <v>752</v>
      </c>
      <c r="D34" s="1019">
        <f>'13B.)TODM_RateDesign_SC8_III'!M230</f>
        <v>152299351.30661654</v>
      </c>
      <c r="E34" s="1019">
        <f>E31+E32</f>
        <v>152272958</v>
      </c>
      <c r="F34" s="1288">
        <f>IF(ISNUMBER(E34/D34-1),E34/D34-1,"")</f>
        <v>-1.732988774417743E-4</v>
      </c>
    </row>
    <row r="35" spans="2:8" ht="15" thickTop="1" x14ac:dyDescent="0.35">
      <c r="C35" s="1"/>
      <c r="D35" s="464"/>
      <c r="E35" s="464"/>
      <c r="F35" s="1284"/>
    </row>
    <row r="36" spans="2:8" ht="15" thickBot="1" x14ac:dyDescent="0.4">
      <c r="C36" s="1"/>
      <c r="D36" s="1"/>
      <c r="E36" s="1"/>
      <c r="F36" s="1090"/>
    </row>
    <row r="37" spans="2:8" ht="15" thickBot="1" x14ac:dyDescent="0.4">
      <c r="B37" s="131" t="s">
        <v>532</v>
      </c>
      <c r="C37" s="1104" t="s">
        <v>529</v>
      </c>
      <c r="D37" s="1098" t="str">
        <f>'13C.)TODM_RateDesign_SC9_III'!$A$4</f>
        <v>SC9 Rate III</v>
      </c>
      <c r="E37" s="1102"/>
      <c r="F37" s="1090"/>
    </row>
    <row r="38" spans="2:8" x14ac:dyDescent="0.35">
      <c r="C38" s="1104" t="s">
        <v>528</v>
      </c>
      <c r="D38" s="1101" t="s">
        <v>874</v>
      </c>
      <c r="E38" s="1"/>
      <c r="F38" s="1090"/>
    </row>
    <row r="39" spans="2:8" x14ac:dyDescent="0.35">
      <c r="C39" s="1"/>
      <c r="D39" s="1"/>
      <c r="E39" s="1"/>
      <c r="F39" s="1090"/>
    </row>
    <row r="40" spans="2:8" x14ac:dyDescent="0.35">
      <c r="C40" s="1104" t="s">
        <v>527</v>
      </c>
      <c r="D40" s="1252" t="str">
        <f>D$9</f>
        <v>Current(RY1)</v>
      </c>
      <c r="E40" s="1252" t="str">
        <f>E$9</f>
        <v>Proposed</v>
      </c>
      <c r="F40" s="1252" t="s">
        <v>526</v>
      </c>
      <c r="H40" s="428">
        <f>H$9</f>
        <v>2019</v>
      </c>
    </row>
    <row r="41" spans="2:8" x14ac:dyDescent="0.35">
      <c r="C41" s="1"/>
      <c r="D41" s="633"/>
      <c r="E41" s="633" t="str">
        <f>E$10</f>
        <v>Year 1</v>
      </c>
      <c r="F41" s="1090"/>
      <c r="H41" s="296" t="str">
        <f>H$10</f>
        <v>(Current - Original)</v>
      </c>
    </row>
    <row r="42" spans="2:8" x14ac:dyDescent="0.35">
      <c r="C42" s="1" t="str">
        <f>'13C.)TODM_RateDesign_SC9_III'!$A$8</f>
        <v>SC9 Rate III (Winter)_(8-6)</v>
      </c>
      <c r="D42" s="643">
        <f>IF('[1]A1.)RatesInput'!$P$99="Y",IF(ISNUMBER(VLOOKUP($C42,'[1]A1.)RatesInput'!$B$195:$Q$281,HLOOKUP(D$40,'[1]A1.)RatesInput'!$O$195:$Q$197,3,0),0)),VLOOKUP($C42,'[1]A1.)RatesInput'!$B$195:$Q$281,HLOOKUP(D$40,'[1]A1.)RatesInput'!$O$195:$Q$197,3,0),0),0),IF(ISNUMBER(VLOOKUP($C42,'[1]A1.)RatesInput'!$B$195:$I$281,HLOOKUP(D$40,'[1]A1.)RatesInput'!$D$195:$I$281,3,0),0)),VLOOKUP($C42,'[1]A1.)RatesInput'!$B$195:$I$281,HLOOKUP(D$40,'[1]A1.)RatesInput'!$D$195:$I$281,3,0),0),0))</f>
        <v>0</v>
      </c>
      <c r="E42" s="643">
        <f>'13C.)TODM_RateDesign_SC9_III'!$H$8</f>
        <v>0</v>
      </c>
      <c r="F42" s="1091" t="str">
        <f t="shared" ref="F42:F55" si="1">IF(ISNUMBER(E42/D42-1),E42/D42-1,"")</f>
        <v/>
      </c>
      <c r="H42" s="211">
        <f>IF(ISNUMBER(VLOOKUP($C42,'[1]A1.)RatesInput'!$B$195:$L$281,HLOOKUP(H$40,'[1]A1.)RatesInput'!$D$195:$L$281,3,0),0)),VLOOKUP($C42,'[1]A1.)RatesInput'!$B$195:$L$281,HLOOKUP(H$40,'[1]A1.)RatesInput'!$D$195:$L$281,3,0),0),0)</f>
        <v>0</v>
      </c>
    </row>
    <row r="43" spans="2:8" x14ac:dyDescent="0.35">
      <c r="C43" s="1" t="str">
        <f>'13C.)TODM_RateDesign_SC9_III'!$A$9</f>
        <v>SC9 Rate III (Winter)_(8-10)</v>
      </c>
      <c r="D43" s="645">
        <f>IF('[1]A1.)RatesInput'!$P$99="Y",IF(ISNUMBER(VLOOKUP($C43,'[1]A1.)RatesInput'!$B$195:$Q$281,HLOOKUP(D$40,'[1]A1.)RatesInput'!$O$195:$Q$197,3,0),0)),VLOOKUP($C43,'[1]A1.)RatesInput'!$B$195:$Q$281,HLOOKUP(D$40,'[1]A1.)RatesInput'!$O$195:$Q$197,3,0),0),0),IF(ISNUMBER(VLOOKUP($C43,'[1]A1.)RatesInput'!$B$195:$I$281,HLOOKUP(D$40,'[1]A1.)RatesInput'!$D$195:$I$281,3,0),0)),VLOOKUP($C43,'[1]A1.)RatesInput'!$B$195:$I$281,HLOOKUP(D$40,'[1]A1.)RatesInput'!$D$195:$I$281,3,0),0),0))</f>
        <v>12.43</v>
      </c>
      <c r="E43" s="645">
        <f>'13C.)TODM_RateDesign_SC9_III'!$H$9</f>
        <v>12.89</v>
      </c>
      <c r="F43" s="1092">
        <f t="shared" si="1"/>
        <v>3.7007240547063613E-2</v>
      </c>
      <c r="H43" s="488">
        <f>IF(ISNUMBER(VLOOKUP($C43,'[1]A1.)RatesInput'!$B$195:$L$281,HLOOKUP(H$40,'[1]A1.)RatesInput'!$D$195:$L$281,3,0),0)),VLOOKUP($C43,'[1]A1.)RatesInput'!$B$195:$L$281,HLOOKUP(H$40,'[1]A1.)RatesInput'!$D$195:$L$281,3,0),0),0)</f>
        <v>12.43</v>
      </c>
    </row>
    <row r="44" spans="2:8" x14ac:dyDescent="0.35">
      <c r="C44" s="1" t="str">
        <f>'13C.)TODM_RateDesign_SC9_III'!$A$10</f>
        <v>SC9 Rate III (Winter)_(All Day)</v>
      </c>
      <c r="D44" s="645">
        <f>IF('[1]A1.)RatesInput'!$P$99="Y",IF(ISNUMBER(VLOOKUP($C44,'[1]A1.)RatesInput'!$B$195:$Q$281,HLOOKUP(D$40,'[1]A1.)RatesInput'!$O$195:$Q$197,3,0),0)),VLOOKUP($C44,'[1]A1.)RatesInput'!$B$195:$Q$281,HLOOKUP(D$40,'[1]A1.)RatesInput'!$O$195:$Q$197,3,0),0),0),IF(ISNUMBER(VLOOKUP($C44,'[1]A1.)RatesInput'!$B$195:$I$281,HLOOKUP(D$40,'[1]A1.)RatesInput'!$D$195:$I$281,3,0),0)),VLOOKUP($C44,'[1]A1.)RatesInput'!$B$195:$I$281,HLOOKUP(D$40,'[1]A1.)RatesInput'!$D$195:$I$281,3,0),0),0))</f>
        <v>5.26</v>
      </c>
      <c r="E44" s="645">
        <f>'13C.)TODM_RateDesign_SC9_III'!$H$10</f>
        <v>5.4600000000000009</v>
      </c>
      <c r="F44" s="1092">
        <f t="shared" si="1"/>
        <v>3.8022813688213031E-2</v>
      </c>
      <c r="H44" s="488">
        <f>IF(ISNUMBER(VLOOKUP($C44,'[1]A1.)RatesInput'!$B$195:$L$281,HLOOKUP(H$40,'[1]A1.)RatesInput'!$D$195:$L$281,3,0),0)),VLOOKUP($C44,'[1]A1.)RatesInput'!$B$195:$L$281,HLOOKUP(H$40,'[1]A1.)RatesInput'!$D$195:$L$281,3,0),0),0)</f>
        <v>5.26</v>
      </c>
    </row>
    <row r="45" spans="2:8" x14ac:dyDescent="0.35">
      <c r="C45" s="1" t="str">
        <f>'13C.)TODM_RateDesign_SC9_III'!$A$11</f>
        <v>SC9 Rate III (Summer)_(8-6)</v>
      </c>
      <c r="D45" s="645">
        <f>IF('[1]A1.)RatesInput'!$P$99="Y",IF(ISNUMBER(VLOOKUP($C45,'[1]A1.)RatesInput'!$B$195:$Q$281,HLOOKUP(D$40,'[1]A1.)RatesInput'!$O$195:$Q$197,3,0),0)),VLOOKUP($C45,'[1]A1.)RatesInput'!$B$195:$Q$281,HLOOKUP(D$40,'[1]A1.)RatesInput'!$O$195:$Q$197,3,0),0),0),IF(ISNUMBER(VLOOKUP($C45,'[1]A1.)RatesInput'!$B$195:$I$281,HLOOKUP(D$40,'[1]A1.)RatesInput'!$D$195:$I$281,3,0),0)),VLOOKUP($C45,'[1]A1.)RatesInput'!$B$195:$I$281,HLOOKUP(D$40,'[1]A1.)RatesInput'!$D$195:$I$281,3,0),0),0))</f>
        <v>8.9499999999999993</v>
      </c>
      <c r="E45" s="645">
        <f>'13C.)TODM_RateDesign_SC9_III'!$H$11</f>
        <v>9.2800000000000011</v>
      </c>
      <c r="F45" s="1092">
        <f t="shared" si="1"/>
        <v>3.6871508379888507E-2</v>
      </c>
      <c r="H45" s="488">
        <f>IF(ISNUMBER(VLOOKUP($C45,'[1]A1.)RatesInput'!$B$195:$L$281,HLOOKUP(H$40,'[1]A1.)RatesInput'!$D$195:$L$281,3,0),0)),VLOOKUP($C45,'[1]A1.)RatesInput'!$B$195:$L$281,HLOOKUP(H$40,'[1]A1.)RatesInput'!$D$195:$L$281,3,0),0),0)</f>
        <v>8.9499999999999993</v>
      </c>
    </row>
    <row r="46" spans="2:8" x14ac:dyDescent="0.35">
      <c r="C46" s="1" t="str">
        <f>'13C.)TODM_RateDesign_SC9_III'!$A$12</f>
        <v>SC9 Rate III (Summer)_(8-10)</v>
      </c>
      <c r="D46" s="645">
        <f>IF('[1]A1.)RatesInput'!$P$99="Y",IF(ISNUMBER(VLOOKUP($C46,'[1]A1.)RatesInput'!$B$195:$Q$281,HLOOKUP(D$40,'[1]A1.)RatesInput'!$O$195:$Q$197,3,0),0)),VLOOKUP($C46,'[1]A1.)RatesInput'!$B$195:$Q$281,HLOOKUP(D$40,'[1]A1.)RatesInput'!$O$195:$Q$197,3,0),0),0),IF(ISNUMBER(VLOOKUP($C46,'[1]A1.)RatesInput'!$B$195:$I$281,HLOOKUP(D$40,'[1]A1.)RatesInput'!$D$195:$I$281,3,0),0)),VLOOKUP($C46,'[1]A1.)RatesInput'!$B$195:$I$281,HLOOKUP(D$40,'[1]A1.)RatesInput'!$D$195:$I$281,3,0),0),0))</f>
        <v>19.2</v>
      </c>
      <c r="E46" s="645">
        <f>'13C.)TODM_RateDesign_SC9_III'!$H$12</f>
        <v>19.91</v>
      </c>
      <c r="F46" s="1092">
        <f t="shared" si="1"/>
        <v>3.6979166666666785E-2</v>
      </c>
      <c r="H46" s="488">
        <f>IF(ISNUMBER(VLOOKUP($C46,'[1]A1.)RatesInput'!$B$195:$L$281,HLOOKUP(H$40,'[1]A1.)RatesInput'!$D$195:$L$281,3,0),0)),VLOOKUP($C46,'[1]A1.)RatesInput'!$B$195:$L$281,HLOOKUP(H$40,'[1]A1.)RatesInput'!$D$195:$L$281,3,0),0),0)</f>
        <v>19.2</v>
      </c>
    </row>
    <row r="47" spans="2:8" x14ac:dyDescent="0.35">
      <c r="C47" s="1" t="str">
        <f>'13C.)TODM_RateDesign_SC9_III'!$A$13</f>
        <v>SC9 Rate III (Summer)_(All Day)</v>
      </c>
      <c r="D47" s="645">
        <f>IF('[1]A1.)RatesInput'!$P$99="Y",IF(ISNUMBER(VLOOKUP($C47,'[1]A1.)RatesInput'!$B$195:$Q$281,HLOOKUP(D$40,'[1]A1.)RatesInput'!$O$195:$Q$197,3,0),0)),VLOOKUP($C47,'[1]A1.)RatesInput'!$B$195:$Q$281,HLOOKUP(D$40,'[1]A1.)RatesInput'!$O$195:$Q$197,3,0),0),0),IF(ISNUMBER(VLOOKUP($C47,'[1]A1.)RatesInput'!$B$195:$I$281,HLOOKUP(D$40,'[1]A1.)RatesInput'!$D$195:$I$281,3,0),0)),VLOOKUP($C47,'[1]A1.)RatesInput'!$B$195:$I$281,HLOOKUP(D$40,'[1]A1.)RatesInput'!$D$195:$I$281,3,0),0),0))</f>
        <v>18.36</v>
      </c>
      <c r="E47" s="645">
        <f>'13C.)TODM_RateDesign_SC9_III'!$H$13</f>
        <v>19.04</v>
      </c>
      <c r="F47" s="1092">
        <f t="shared" si="1"/>
        <v>3.7037037037036979E-2</v>
      </c>
      <c r="H47" s="488">
        <f>IF(ISNUMBER(VLOOKUP($C47,'[1]A1.)RatesInput'!$B$195:$L$281,HLOOKUP(H$40,'[1]A1.)RatesInput'!$D$195:$L$281,3,0),0)),VLOOKUP($C47,'[1]A1.)RatesInput'!$B$195:$L$281,HLOOKUP(H$40,'[1]A1.)RatesInput'!$D$195:$L$281,3,0),0),0)</f>
        <v>18.36</v>
      </c>
    </row>
    <row r="48" spans="2:8" x14ac:dyDescent="0.35">
      <c r="C48" s="1" t="str">
        <f>'13C.)TODM_RateDesign_SC9_III'!$A$14</f>
        <v>Rate III LT - Energy (Summer)_OnPeak</v>
      </c>
      <c r="D48" s="645">
        <f>IF('[1]A1.)RatesInput'!$P$99="Y",IF(ISNUMBER(VLOOKUP($C48,'[1]A1.)RatesInput'!$B$195:$Q$281,HLOOKUP(D$40,'[1]A1.)RatesInput'!$O$195:$Q$197,3,0),0)),VLOOKUP($C48,'[1]A1.)RatesInput'!$B$195:$Q$281,HLOOKUP(D$40,'[1]A1.)RatesInput'!$O$195:$Q$197,3,0),0),0),IF(ISNUMBER(VLOOKUP($C48,'[1]A1.)RatesInput'!$B$195:$I$281,HLOOKUP(D$40,'[1]A1.)RatesInput'!$D$195:$I$281,3,0),0)),VLOOKUP($C48,'[1]A1.)RatesInput'!$B$195:$I$281,HLOOKUP(D$40,'[1]A1.)RatesInput'!$D$195:$I$281,3,0),0),0))</f>
        <v>7.9000000000000008E-3</v>
      </c>
      <c r="E48" s="645">
        <f>'13C.)TODM_RateDesign_SC9_III'!$H$14</f>
        <v>7.9000000000000008E-3</v>
      </c>
      <c r="F48" s="1092">
        <f t="shared" si="1"/>
        <v>0</v>
      </c>
      <c r="H48" s="488">
        <f>IF(ISNUMBER(VLOOKUP($C48,'[1]A1.)RatesInput'!$B$195:$L$281,HLOOKUP(H$40,'[1]A1.)RatesInput'!$D$195:$L$281,3,0),0)),VLOOKUP($C48,'[1]A1.)RatesInput'!$B$195:$L$281,HLOOKUP(H$40,'[1]A1.)RatesInput'!$D$195:$L$281,3,0),0),0)</f>
        <v>7.9000000000000008E-3</v>
      </c>
    </row>
    <row r="49" spans="3:8" x14ac:dyDescent="0.35">
      <c r="C49" s="1" t="str">
        <f>'13C.)TODM_RateDesign_SC9_III'!$A$15</f>
        <v>Rate III LT - Energy (Summer)_OffPeak</v>
      </c>
      <c r="D49" s="645">
        <f>IF('[1]A1.)RatesInput'!$P$99="Y",IF(ISNUMBER(VLOOKUP($C49,'[1]A1.)RatesInput'!$B$195:$Q$281,HLOOKUP(D$40,'[1]A1.)RatesInput'!$O$195:$Q$197,3,0),0)),VLOOKUP($C49,'[1]A1.)RatesInput'!$B$195:$Q$281,HLOOKUP(D$40,'[1]A1.)RatesInput'!$O$195:$Q$197,3,0),0),0),IF(ISNUMBER(VLOOKUP($C49,'[1]A1.)RatesInput'!$B$195:$I$281,HLOOKUP(D$40,'[1]A1.)RatesInput'!$D$195:$I$281,3,0),0)),VLOOKUP($C49,'[1]A1.)RatesInput'!$B$195:$I$281,HLOOKUP(D$40,'[1]A1.)RatesInput'!$D$195:$I$281,3,0),0),0))</f>
        <v>7.9000000000000008E-3</v>
      </c>
      <c r="E49" s="645">
        <f>'13C.)TODM_RateDesign_SC9_III'!$H$15</f>
        <v>7.9000000000000008E-3</v>
      </c>
      <c r="F49" s="1092">
        <f t="shared" si="1"/>
        <v>0</v>
      </c>
      <c r="H49" s="488">
        <f>IF(ISNUMBER(VLOOKUP($C49,'[1]A1.)RatesInput'!$B$195:$L$281,HLOOKUP(H$40,'[1]A1.)RatesInput'!$D$195:$L$281,3,0),0)),VLOOKUP($C49,'[1]A1.)RatesInput'!$B$195:$L$281,HLOOKUP(H$40,'[1]A1.)RatesInput'!$D$195:$L$281,3,0),0),0)</f>
        <v>7.9000000000000008E-3</v>
      </c>
    </row>
    <row r="50" spans="3:8" x14ac:dyDescent="0.35">
      <c r="C50" s="1" t="str">
        <f>'13C.)TODM_RateDesign_SC9_III'!$A$16</f>
        <v>Rate III LT - Energy (Winter)_OnPeak</v>
      </c>
      <c r="D50" s="645">
        <f>IF('[1]A1.)RatesInput'!$P$99="Y",IF(ISNUMBER(VLOOKUP($C50,'[1]A1.)RatesInput'!$B$195:$Q$281,HLOOKUP(D$40,'[1]A1.)RatesInput'!$O$195:$Q$197,3,0),0)),VLOOKUP($C50,'[1]A1.)RatesInput'!$B$195:$Q$281,HLOOKUP(D$40,'[1]A1.)RatesInput'!$O$195:$Q$197,3,0),0),0),IF(ISNUMBER(VLOOKUP($C50,'[1]A1.)RatesInput'!$B$195:$I$281,HLOOKUP(D$40,'[1]A1.)RatesInput'!$D$195:$I$281,3,0),0)),VLOOKUP($C50,'[1]A1.)RatesInput'!$B$195:$I$281,HLOOKUP(D$40,'[1]A1.)RatesInput'!$D$195:$I$281,3,0),0),0))</f>
        <v>7.9000000000000008E-3</v>
      </c>
      <c r="E50" s="645">
        <f>'13C.)TODM_RateDesign_SC9_III'!$H$16</f>
        <v>7.9000000000000008E-3</v>
      </c>
      <c r="F50" s="1092">
        <f t="shared" si="1"/>
        <v>0</v>
      </c>
      <c r="H50" s="488">
        <f>IF(ISNUMBER(VLOOKUP($C50,'[1]A1.)RatesInput'!$B$195:$L$281,HLOOKUP(H$40,'[1]A1.)RatesInput'!$D$195:$L$281,3,0),0)),VLOOKUP($C50,'[1]A1.)RatesInput'!$B$195:$L$281,HLOOKUP(H$40,'[1]A1.)RatesInput'!$D$195:$L$281,3,0),0),0)</f>
        <v>7.9000000000000008E-3</v>
      </c>
    </row>
    <row r="51" spans="3:8" x14ac:dyDescent="0.35">
      <c r="C51" s="1" t="str">
        <f>'13C.)TODM_RateDesign_SC9_III'!$A$17</f>
        <v>Rate III LT - Energy (Winter)_OffPeak</v>
      </c>
      <c r="D51" s="645">
        <f>IF('[1]A1.)RatesInput'!$P$99="Y",IF(ISNUMBER(VLOOKUP($C51,'[1]A1.)RatesInput'!$B$195:$Q$281,HLOOKUP(D$40,'[1]A1.)RatesInput'!$O$195:$Q$197,3,0),0)),VLOOKUP($C51,'[1]A1.)RatesInput'!$B$195:$Q$281,HLOOKUP(D$40,'[1]A1.)RatesInput'!$O$195:$Q$197,3,0),0),0),IF(ISNUMBER(VLOOKUP($C51,'[1]A1.)RatesInput'!$B$195:$I$281,HLOOKUP(D$40,'[1]A1.)RatesInput'!$D$195:$I$281,3,0),0)),VLOOKUP($C51,'[1]A1.)RatesInput'!$B$195:$I$281,HLOOKUP(D$40,'[1]A1.)RatesInput'!$D$195:$I$281,3,0),0),0))</f>
        <v>7.9000000000000008E-3</v>
      </c>
      <c r="E51" s="645">
        <f>'13C.)TODM_RateDesign_SC9_III'!$H$17</f>
        <v>7.9000000000000008E-3</v>
      </c>
      <c r="F51" s="1092">
        <f t="shared" si="1"/>
        <v>0</v>
      </c>
      <c r="H51" s="488">
        <f>IF(ISNUMBER(VLOOKUP($C51,'[1]A1.)RatesInput'!$B$195:$L$281,HLOOKUP(H$40,'[1]A1.)RatesInput'!$D$195:$L$281,3,0),0)),VLOOKUP($C51,'[1]A1.)RatesInput'!$B$195:$L$281,HLOOKUP(H$40,'[1]A1.)RatesInput'!$D$195:$L$281,3,0),0),0)</f>
        <v>7.9000000000000008E-3</v>
      </c>
    </row>
    <row r="52" spans="3:8" x14ac:dyDescent="0.35">
      <c r="C52" s="1" t="str">
        <f>'13C.)TODM_RateDesign_SC9_III'!$A$18</f>
        <v>Rate III HT - Energy (Summer)_OnPeak</v>
      </c>
      <c r="D52" s="645">
        <f>IF('[1]A1.)RatesInput'!$P$99="Y",IF(ISNUMBER(VLOOKUP($C52,'[1]A1.)RatesInput'!$B$195:$Q$281,HLOOKUP(D$40,'[1]A1.)RatesInput'!$O$195:$Q$197,3,0),0)),VLOOKUP($C52,'[1]A1.)RatesInput'!$B$195:$Q$281,HLOOKUP(D$40,'[1]A1.)RatesInput'!$O$195:$Q$197,3,0),0),0),IF(ISNUMBER(VLOOKUP($C52,'[1]A1.)RatesInput'!$B$195:$I$281,HLOOKUP(D$40,'[1]A1.)RatesInput'!$D$195:$I$281,3,0),0)),VLOOKUP($C52,'[1]A1.)RatesInput'!$B$195:$I$281,HLOOKUP(D$40,'[1]A1.)RatesInput'!$D$195:$I$281,3,0),0),0))</f>
        <v>7.9000000000000008E-3</v>
      </c>
      <c r="E52" s="645">
        <f>'13C.)TODM_RateDesign_SC9_III'!$H$18</f>
        <v>7.9000000000000008E-3</v>
      </c>
      <c r="F52" s="1092">
        <f t="shared" si="1"/>
        <v>0</v>
      </c>
      <c r="H52" s="488">
        <f>IF(ISNUMBER(VLOOKUP($C52,'[1]A1.)RatesInput'!$B$195:$L$281,HLOOKUP(H$40,'[1]A1.)RatesInput'!$D$195:$L$281,3,0),0)),VLOOKUP($C52,'[1]A1.)RatesInput'!$B$195:$L$281,HLOOKUP(H$40,'[1]A1.)RatesInput'!$D$195:$L$281,3,0),0),0)</f>
        <v>7.9000000000000008E-3</v>
      </c>
    </row>
    <row r="53" spans="3:8" x14ac:dyDescent="0.35">
      <c r="C53" s="1" t="str">
        <f>'13C.)TODM_RateDesign_SC9_III'!$A$19</f>
        <v>Rate III HT - Energy (Summer)_OffPeak</v>
      </c>
      <c r="D53" s="645">
        <f>IF('[1]A1.)RatesInput'!$P$99="Y",IF(ISNUMBER(VLOOKUP($C53,'[1]A1.)RatesInput'!$B$195:$Q$281,HLOOKUP(D$40,'[1]A1.)RatesInput'!$O$195:$Q$197,3,0),0)),VLOOKUP($C53,'[1]A1.)RatesInput'!$B$195:$Q$281,HLOOKUP(D$40,'[1]A1.)RatesInput'!$O$195:$Q$197,3,0),0),0),IF(ISNUMBER(VLOOKUP($C53,'[1]A1.)RatesInput'!$B$195:$I$281,HLOOKUP(D$40,'[1]A1.)RatesInput'!$D$195:$I$281,3,0),0)),VLOOKUP($C53,'[1]A1.)RatesInput'!$B$195:$I$281,HLOOKUP(D$40,'[1]A1.)RatesInput'!$D$195:$I$281,3,0),0),0))</f>
        <v>7.9000000000000008E-3</v>
      </c>
      <c r="E53" s="645">
        <f>'13C.)TODM_RateDesign_SC9_III'!$H$19</f>
        <v>7.9000000000000008E-3</v>
      </c>
      <c r="F53" s="1092">
        <f t="shared" si="1"/>
        <v>0</v>
      </c>
      <c r="H53" s="488">
        <f>IF(ISNUMBER(VLOOKUP($C53,'[1]A1.)RatesInput'!$B$195:$L$281,HLOOKUP(H$40,'[1]A1.)RatesInput'!$D$195:$L$281,3,0),0)),VLOOKUP($C53,'[1]A1.)RatesInput'!$B$195:$L$281,HLOOKUP(H$40,'[1]A1.)RatesInput'!$D$195:$L$281,3,0),0),0)</f>
        <v>7.9000000000000008E-3</v>
      </c>
    </row>
    <row r="54" spans="3:8" x14ac:dyDescent="0.35">
      <c r="C54" s="1" t="str">
        <f>'13C.)TODM_RateDesign_SC9_III'!$A$20</f>
        <v>Rate III HT - Energy (Winter)_OnPeak</v>
      </c>
      <c r="D54" s="645">
        <f>IF('[1]A1.)RatesInput'!$P$99="Y",IF(ISNUMBER(VLOOKUP($C54,'[1]A1.)RatesInput'!$B$195:$Q$281,HLOOKUP(D$40,'[1]A1.)RatesInput'!$O$195:$Q$197,3,0),0)),VLOOKUP($C54,'[1]A1.)RatesInput'!$B$195:$Q$281,HLOOKUP(D$40,'[1]A1.)RatesInput'!$O$195:$Q$197,3,0),0),0),IF(ISNUMBER(VLOOKUP($C54,'[1]A1.)RatesInput'!$B$195:$I$281,HLOOKUP(D$40,'[1]A1.)RatesInput'!$D$195:$I$281,3,0),0)),VLOOKUP($C54,'[1]A1.)RatesInput'!$B$195:$I$281,HLOOKUP(D$40,'[1]A1.)RatesInput'!$D$195:$I$281,3,0),0),0))</f>
        <v>7.9000000000000008E-3</v>
      </c>
      <c r="E54" s="645">
        <f>'13C.)TODM_RateDesign_SC9_III'!$H$20</f>
        <v>7.9000000000000008E-3</v>
      </c>
      <c r="F54" s="1092">
        <f t="shared" si="1"/>
        <v>0</v>
      </c>
      <c r="H54" s="488">
        <f>IF(ISNUMBER(VLOOKUP($C54,'[1]A1.)RatesInput'!$B$195:$L$281,HLOOKUP(H$40,'[1]A1.)RatesInput'!$D$195:$L$281,3,0),0)),VLOOKUP($C54,'[1]A1.)RatesInput'!$B$195:$L$281,HLOOKUP(H$40,'[1]A1.)RatesInput'!$D$195:$L$281,3,0),0),0)</f>
        <v>7.9000000000000008E-3</v>
      </c>
    </row>
    <row r="55" spans="3:8" x14ac:dyDescent="0.35">
      <c r="C55" s="1" t="str">
        <f>'13C.)TODM_RateDesign_SC9_III'!$A$21</f>
        <v>Rate III HT - Energy (Winter)_OffPeak</v>
      </c>
      <c r="D55" s="644">
        <f>IF('[1]A1.)RatesInput'!$P$99="Y",IF(ISNUMBER(VLOOKUP($C55,'[1]A1.)RatesInput'!$B$195:$Q$281,HLOOKUP(D$40,'[1]A1.)RatesInput'!$O$195:$Q$197,3,0),0)),VLOOKUP($C55,'[1]A1.)RatesInput'!$B$195:$Q$281,HLOOKUP(D$40,'[1]A1.)RatesInput'!$O$195:$Q$197,3,0),0),0),IF(ISNUMBER(VLOOKUP($C55,'[1]A1.)RatesInput'!$B$195:$I$281,HLOOKUP(D$40,'[1]A1.)RatesInput'!$D$195:$I$281,3,0),0)),VLOOKUP($C55,'[1]A1.)RatesInput'!$B$195:$I$281,HLOOKUP(D$40,'[1]A1.)RatesInput'!$D$195:$I$281,3,0),0),0))</f>
        <v>7.9000000000000008E-3</v>
      </c>
      <c r="E55" s="644">
        <f>'13C.)TODM_RateDesign_SC9_III'!$H$21</f>
        <v>7.9000000000000008E-3</v>
      </c>
      <c r="F55" s="1093">
        <f t="shared" si="1"/>
        <v>0</v>
      </c>
      <c r="H55" s="489">
        <f>IF(ISNUMBER(VLOOKUP($C55,'[1]A1.)RatesInput'!$B$195:$L$281,HLOOKUP(H$40,'[1]A1.)RatesInput'!$D$195:$L$281,3,0),0)),VLOOKUP($C55,'[1]A1.)RatesInput'!$B$195:$L$281,HLOOKUP(H$40,'[1]A1.)RatesInput'!$D$195:$L$281,3,0),0),0)</f>
        <v>7.9000000000000008E-3</v>
      </c>
    </row>
    <row r="56" spans="3:8" x14ac:dyDescent="0.35">
      <c r="C56" s="464" t="s">
        <v>2232</v>
      </c>
      <c r="D56" s="1"/>
      <c r="E56" s="1282">
        <f>'13C.)TODM_RateDesign_SC9_III'!H24</f>
        <v>12.45</v>
      </c>
      <c r="F56" s="1090"/>
    </row>
    <row r="57" spans="3:8" hidden="1" x14ac:dyDescent="0.35">
      <c r="C57" s="1"/>
      <c r="D57" s="1"/>
      <c r="E57" s="1"/>
      <c r="F57" s="1090"/>
    </row>
    <row r="58" spans="3:8" hidden="1" x14ac:dyDescent="0.35">
      <c r="C58" s="1"/>
      <c r="D58" s="464"/>
      <c r="E58" s="464"/>
      <c r="F58" s="1284"/>
    </row>
    <row r="59" spans="3:8" x14ac:dyDescent="0.35">
      <c r="C59" s="1283" t="s">
        <v>1147</v>
      </c>
      <c r="D59" s="1220" t="s">
        <v>1148</v>
      </c>
      <c r="E59" s="1220" t="s">
        <v>521</v>
      </c>
      <c r="F59" s="1284"/>
    </row>
    <row r="60" spans="3:8" x14ac:dyDescent="0.35">
      <c r="C60" s="1" t="s">
        <v>1152</v>
      </c>
      <c r="D60" s="464"/>
      <c r="E60" s="809">
        <f>'13C.)TODM_RateDesign_SC9_III'!M221</f>
        <v>1516381370.2468894</v>
      </c>
      <c r="F60" s="1284"/>
    </row>
    <row r="61" spans="3:8" x14ac:dyDescent="0.35">
      <c r="C61" s="1" t="s">
        <v>45</v>
      </c>
      <c r="D61" s="464"/>
      <c r="E61" s="809">
        <f>'13C.)TODM_RateDesign_SC9_III'!M222</f>
        <v>144582391</v>
      </c>
      <c r="F61" s="1284"/>
    </row>
    <row r="62" spans="3:8" x14ac:dyDescent="0.35">
      <c r="C62" s="1" t="s">
        <v>757</v>
      </c>
      <c r="D62" s="464"/>
      <c r="E62" s="1285">
        <f>E60+E61</f>
        <v>1660963761.2468894</v>
      </c>
      <c r="F62" s="1284"/>
    </row>
    <row r="63" spans="3:8" hidden="1" x14ac:dyDescent="0.35">
      <c r="C63" s="87" t="s">
        <v>753</v>
      </c>
      <c r="D63" s="464"/>
      <c r="E63" s="1290">
        <f>'13C.)TODM_RateDesign_SC9_III'!L229</f>
        <v>0</v>
      </c>
      <c r="F63" s="1284"/>
    </row>
    <row r="64" spans="3:8" hidden="1" x14ac:dyDescent="0.35">
      <c r="C64" s="87" t="s">
        <v>754</v>
      </c>
      <c r="D64" s="464"/>
      <c r="E64" s="1291">
        <f>'13C.)TODM_RateDesign_SC9_III'!L230</f>
        <v>0</v>
      </c>
      <c r="F64" s="1284"/>
    </row>
    <row r="65" spans="2:8" hidden="1" x14ac:dyDescent="0.35">
      <c r="C65" s="87" t="s">
        <v>755</v>
      </c>
      <c r="D65" s="464"/>
      <c r="E65" s="1292">
        <f>'13C.)TODM_RateDesign_SC9_III'!L231</f>
        <v>0</v>
      </c>
      <c r="F65" s="1284"/>
    </row>
    <row r="66" spans="2:8" ht="15" thickBot="1" x14ac:dyDescent="0.4">
      <c r="C66" s="1"/>
      <c r="D66" s="464"/>
      <c r="E66" s="1286"/>
      <c r="F66" s="1284"/>
    </row>
    <row r="67" spans="2:8" ht="15.5" thickTop="1" thickBot="1" x14ac:dyDescent="0.4">
      <c r="C67" s="1" t="s">
        <v>752</v>
      </c>
      <c r="D67" s="1019">
        <f>'13C.)TODM_RateDesign_SC9_III'!M235</f>
        <v>1660027094.2468894</v>
      </c>
      <c r="E67" s="1019">
        <f>E62+E63+E64+E65</f>
        <v>1660963761.2468894</v>
      </c>
      <c r="F67" s="1288">
        <f>IF(ISNUMBER(E67/D67-1),E67/D67-1,"")</f>
        <v>5.6424801935239799E-4</v>
      </c>
    </row>
    <row r="68" spans="2:8" ht="15" thickTop="1" x14ac:dyDescent="0.35">
      <c r="C68" s="1"/>
      <c r="D68" s="1"/>
      <c r="E68" s="1"/>
      <c r="F68" s="1090"/>
    </row>
    <row r="69" spans="2:8" ht="15" thickBot="1" x14ac:dyDescent="0.4">
      <c r="C69" s="1"/>
      <c r="D69" s="1"/>
      <c r="E69" s="1"/>
      <c r="F69" s="1090"/>
    </row>
    <row r="70" spans="2:8" ht="15" thickBot="1" x14ac:dyDescent="0.4">
      <c r="B70" s="131" t="s">
        <v>531</v>
      </c>
      <c r="C70" s="1104" t="s">
        <v>529</v>
      </c>
      <c r="D70" s="1098" t="str">
        <f>'13D.)TODM_RateDesign_SC12_III'!$A$4</f>
        <v>SC12 Rate III</v>
      </c>
      <c r="E70" s="1102"/>
      <c r="F70" s="1090"/>
    </row>
    <row r="71" spans="2:8" x14ac:dyDescent="0.35">
      <c r="C71" s="1104" t="s">
        <v>528</v>
      </c>
      <c r="D71" s="1101" t="s">
        <v>875</v>
      </c>
      <c r="E71" s="1"/>
      <c r="F71" s="1090"/>
    </row>
    <row r="72" spans="2:8" x14ac:dyDescent="0.35">
      <c r="C72" s="1"/>
      <c r="D72" s="1"/>
      <c r="E72" s="1"/>
      <c r="F72" s="1090"/>
    </row>
    <row r="73" spans="2:8" x14ac:dyDescent="0.35">
      <c r="C73" s="1104" t="s">
        <v>527</v>
      </c>
      <c r="D73" s="1252" t="str">
        <f>D$9</f>
        <v>Current(RY1)</v>
      </c>
      <c r="E73" s="1252" t="str">
        <f>E$9</f>
        <v>Proposed</v>
      </c>
      <c r="F73" s="1252" t="s">
        <v>526</v>
      </c>
      <c r="H73" s="428">
        <f>H$9</f>
        <v>2019</v>
      </c>
    </row>
    <row r="74" spans="2:8" x14ac:dyDescent="0.35">
      <c r="C74" s="1"/>
      <c r="D74" s="1289"/>
      <c r="E74" s="1289" t="str">
        <f>E$10</f>
        <v>Year 1</v>
      </c>
      <c r="F74" s="1090"/>
      <c r="H74" s="296" t="str">
        <f>H$10</f>
        <v>(Current - Original)</v>
      </c>
    </row>
    <row r="75" spans="2:8" x14ac:dyDescent="0.35">
      <c r="C75" s="1" t="str">
        <f>'13D.)TODM_RateDesign_SC12_III'!$A$8</f>
        <v>SC12 Rate III (Winter)_(8-6)</v>
      </c>
      <c r="D75" s="643">
        <f>IF('[1]A1.)RatesInput'!$P$99="Y",IF(ISNUMBER(VLOOKUP($C75,'[1]A1.)RatesInput'!$B$195:$Q$281,HLOOKUP(D$73,'[1]A1.)RatesInput'!$O$195:$Q$197,3,0),0)),VLOOKUP($C75,'[1]A1.)RatesInput'!$B$195:$Q$281,HLOOKUP(D$73,'[1]A1.)RatesInput'!$O$195:$Q$197,3,0),0),0),IF(ISNUMBER(VLOOKUP($C75,'[1]A1.)RatesInput'!$B$195:$I$281,HLOOKUP(D$73,'[1]A1.)RatesInput'!$D$195:$I$281,3,0),0)),VLOOKUP($C75,'[1]A1.)RatesInput'!$B$195:$I$281,HLOOKUP(D$73,'[1]A1.)RatesInput'!$D$195:$I$281,3,0),0),0))</f>
        <v>0</v>
      </c>
      <c r="E75" s="643">
        <f>'13D.)TODM_RateDesign_SC12_III'!$H$8</f>
        <v>0</v>
      </c>
      <c r="F75" s="1091" t="str">
        <f t="shared" ref="F75:F88" si="2">IF(ISNUMBER(E75/D75-1),E75/D75-1,"")</f>
        <v/>
      </c>
      <c r="H75" s="211">
        <f>IF(ISNUMBER(VLOOKUP($C75,'[1]A1.)RatesInput'!$B$195:$L$281,HLOOKUP(H$73,'[1]A1.)RatesInput'!$D$195:$L$281,3,0),0)),VLOOKUP($C75,'[1]A1.)RatesInput'!$B$195:$L$281,HLOOKUP(H$73,'[1]A1.)RatesInput'!$D$195:$L$281,3,0),0),0)</f>
        <v>0</v>
      </c>
    </row>
    <row r="76" spans="2:8" x14ac:dyDescent="0.35">
      <c r="C76" s="1" t="str">
        <f>'13D.)TODM_RateDesign_SC12_III'!$A$9</f>
        <v>SC12 Rate III (Winter)_(8-10)</v>
      </c>
      <c r="D76" s="645">
        <f>IF('[1]A1.)RatesInput'!$P$99="Y",IF(ISNUMBER(VLOOKUP($C76,'[1]A1.)RatesInput'!$B$195:$Q$281,HLOOKUP(D$73,'[1]A1.)RatesInput'!$O$195:$Q$197,3,0),0)),VLOOKUP($C76,'[1]A1.)RatesInput'!$B$195:$Q$281,HLOOKUP(D$73,'[1]A1.)RatesInput'!$O$195:$Q$197,3,0),0),0),IF(ISNUMBER(VLOOKUP($C76,'[1]A1.)RatesInput'!$B$195:$I$281,HLOOKUP(D$73,'[1]A1.)RatesInput'!$D$195:$I$281,3,0),0)),VLOOKUP($C76,'[1]A1.)RatesInput'!$B$195:$I$281,HLOOKUP(D$73,'[1]A1.)RatesInput'!$D$195:$I$281,3,0),0),0))</f>
        <v>7.88</v>
      </c>
      <c r="E76" s="645">
        <f>'13D.)TODM_RateDesign_SC12_III'!$H$9</f>
        <v>8.1300000000000008</v>
      </c>
      <c r="F76" s="1092">
        <f t="shared" si="2"/>
        <v>3.1725888324873219E-2</v>
      </c>
      <c r="H76" s="488">
        <f>IF(ISNUMBER(VLOOKUP($C76,'[1]A1.)RatesInput'!$B$195:$L$281,HLOOKUP(H$73,'[1]A1.)RatesInput'!$D$195:$L$281,3,0),0)),VLOOKUP($C76,'[1]A1.)RatesInput'!$B$195:$L$281,HLOOKUP(H$73,'[1]A1.)RatesInput'!$D$195:$L$281,3,0),0),0)</f>
        <v>7.88</v>
      </c>
    </row>
    <row r="77" spans="2:8" x14ac:dyDescent="0.35">
      <c r="C77" s="1" t="str">
        <f>'13D.)TODM_RateDesign_SC12_III'!$A$10</f>
        <v>SC12 Rate III (Winter)_(All Day)</v>
      </c>
      <c r="D77" s="645">
        <f>IF('[1]A1.)RatesInput'!$P$99="Y",IF(ISNUMBER(VLOOKUP($C77,'[1]A1.)RatesInput'!$B$195:$Q$281,HLOOKUP(D$73,'[1]A1.)RatesInput'!$O$195:$Q$197,3,0),0)),VLOOKUP($C77,'[1]A1.)RatesInput'!$B$195:$Q$281,HLOOKUP(D$73,'[1]A1.)RatesInput'!$O$195:$Q$197,3,0),0),0),IF(ISNUMBER(VLOOKUP($C77,'[1]A1.)RatesInput'!$B$195:$I$281,HLOOKUP(D$73,'[1]A1.)RatesInput'!$D$195:$I$281,3,0),0)),VLOOKUP($C77,'[1]A1.)RatesInput'!$B$195:$I$281,HLOOKUP(D$73,'[1]A1.)RatesInput'!$D$195:$I$281,3,0),0),0))</f>
        <v>13.969999999999999</v>
      </c>
      <c r="E77" s="645">
        <f>'13D.)TODM_RateDesign_SC12_III'!$H$10</f>
        <v>14.420000000000002</v>
      </c>
      <c r="F77" s="1092">
        <f t="shared" si="2"/>
        <v>3.2211882605583497E-2</v>
      </c>
      <c r="H77" s="488">
        <f>IF(ISNUMBER(VLOOKUP($C77,'[1]A1.)RatesInput'!$B$195:$L$281,HLOOKUP(H$73,'[1]A1.)RatesInput'!$D$195:$L$281,3,0),0)),VLOOKUP($C77,'[1]A1.)RatesInput'!$B$195:$L$281,HLOOKUP(H$73,'[1]A1.)RatesInput'!$D$195:$L$281,3,0),0),0)</f>
        <v>13.969999999999999</v>
      </c>
    </row>
    <row r="78" spans="2:8" x14ac:dyDescent="0.35">
      <c r="C78" s="1" t="str">
        <f>'13D.)TODM_RateDesign_SC12_III'!$A$11</f>
        <v>SC12 Rate III (Summer)_(8-6)</v>
      </c>
      <c r="D78" s="645">
        <f>IF('[1]A1.)RatesInput'!$P$99="Y",IF(ISNUMBER(VLOOKUP($C78,'[1]A1.)RatesInput'!$B$195:$Q$281,HLOOKUP(D$73,'[1]A1.)RatesInput'!$O$195:$Q$197,3,0),0)),VLOOKUP($C78,'[1]A1.)RatesInput'!$B$195:$Q$281,HLOOKUP(D$73,'[1]A1.)RatesInput'!$O$195:$Q$197,3,0),0),0),IF(ISNUMBER(VLOOKUP($C78,'[1]A1.)RatesInput'!$B$195:$I$281,HLOOKUP(D$73,'[1]A1.)RatesInput'!$D$195:$I$281,3,0),0)),VLOOKUP($C78,'[1]A1.)RatesInput'!$B$195:$I$281,HLOOKUP(D$73,'[1]A1.)RatesInput'!$D$195:$I$281,3,0),0),0))</f>
        <v>7.55</v>
      </c>
      <c r="E78" s="645">
        <f>'13D.)TODM_RateDesign_SC12_III'!$H$11</f>
        <v>7.7900000000000009</v>
      </c>
      <c r="F78" s="1092">
        <f t="shared" si="2"/>
        <v>3.1788079470198793E-2</v>
      </c>
      <c r="H78" s="488">
        <f>IF(ISNUMBER(VLOOKUP($C78,'[1]A1.)RatesInput'!$B$195:$L$281,HLOOKUP(H$73,'[1]A1.)RatesInput'!$D$195:$L$281,3,0),0)),VLOOKUP($C78,'[1]A1.)RatesInput'!$B$195:$L$281,HLOOKUP(H$73,'[1]A1.)RatesInput'!$D$195:$L$281,3,0),0),0)</f>
        <v>7.55</v>
      </c>
    </row>
    <row r="79" spans="2:8" x14ac:dyDescent="0.35">
      <c r="C79" s="1" t="str">
        <f>'13D.)TODM_RateDesign_SC12_III'!$A$12</f>
        <v>SC12 Rate III (Summer)_(8-10)</v>
      </c>
      <c r="D79" s="645">
        <f>IF('[1]A1.)RatesInput'!$P$99="Y",IF(ISNUMBER(VLOOKUP($C79,'[1]A1.)RatesInput'!$B$195:$Q$281,HLOOKUP(D$73,'[1]A1.)RatesInput'!$O$195:$Q$197,3,0),0)),VLOOKUP($C79,'[1]A1.)RatesInput'!$B$195:$Q$281,HLOOKUP(D$73,'[1]A1.)RatesInput'!$O$195:$Q$197,3,0),0),0),IF(ISNUMBER(VLOOKUP($C79,'[1]A1.)RatesInput'!$B$195:$I$281,HLOOKUP(D$73,'[1]A1.)RatesInput'!$D$195:$I$281,3,0),0)),VLOOKUP($C79,'[1]A1.)RatesInput'!$B$195:$I$281,HLOOKUP(D$73,'[1]A1.)RatesInput'!$D$195:$I$281,3,0),0),0))</f>
        <v>17.84</v>
      </c>
      <c r="E79" s="645">
        <f>'13D.)TODM_RateDesign_SC12_III'!$H$12</f>
        <v>18.41</v>
      </c>
      <c r="F79" s="1092">
        <f t="shared" si="2"/>
        <v>3.1950672645739919E-2</v>
      </c>
      <c r="H79" s="488">
        <f>IF(ISNUMBER(VLOOKUP($C79,'[1]A1.)RatesInput'!$B$195:$L$281,HLOOKUP(H$73,'[1]A1.)RatesInput'!$D$195:$L$281,3,0),0)),VLOOKUP($C79,'[1]A1.)RatesInput'!$B$195:$L$281,HLOOKUP(H$73,'[1]A1.)RatesInput'!$D$195:$L$281,3,0),0),0)</f>
        <v>17.84</v>
      </c>
    </row>
    <row r="80" spans="2:8" x14ac:dyDescent="0.35">
      <c r="C80" s="1" t="str">
        <f>'13D.)TODM_RateDesign_SC12_III'!$A$13</f>
        <v>SC12 Rate III (Summer)_(All Day)</v>
      </c>
      <c r="D80" s="645">
        <f>IF('[1]A1.)RatesInput'!$P$99="Y",IF(ISNUMBER(VLOOKUP($C80,'[1]A1.)RatesInput'!$B$195:$Q$281,HLOOKUP(D$73,'[1]A1.)RatesInput'!$O$195:$Q$197,3,0),0)),VLOOKUP($C80,'[1]A1.)RatesInput'!$B$195:$Q$281,HLOOKUP(D$73,'[1]A1.)RatesInput'!$O$195:$Q$197,3,0),0),0),IF(ISNUMBER(VLOOKUP($C80,'[1]A1.)RatesInput'!$B$195:$I$281,HLOOKUP(D$73,'[1]A1.)RatesInput'!$D$195:$I$281,3,0),0)),VLOOKUP($C80,'[1]A1.)RatesInput'!$B$195:$I$281,HLOOKUP(D$73,'[1]A1.)RatesInput'!$D$195:$I$281,3,0),0),0))</f>
        <v>18.350000000000001</v>
      </c>
      <c r="E80" s="645">
        <f>'13D.)TODM_RateDesign_SC12_III'!$H$13</f>
        <v>18.940000000000001</v>
      </c>
      <c r="F80" s="1092">
        <f t="shared" si="2"/>
        <v>3.215258855585823E-2</v>
      </c>
      <c r="H80" s="488">
        <f>IF(ISNUMBER(VLOOKUP($C80,'[1]A1.)RatesInput'!$B$195:$L$281,HLOOKUP(H$73,'[1]A1.)RatesInput'!$D$195:$L$281,3,0),0)),VLOOKUP($C80,'[1]A1.)RatesInput'!$B$195:$L$281,HLOOKUP(H$73,'[1]A1.)RatesInput'!$D$195:$L$281,3,0),0),0)</f>
        <v>18.350000000000001</v>
      </c>
    </row>
    <row r="81" spans="3:8" x14ac:dyDescent="0.35">
      <c r="C81" s="1" t="str">
        <f>'13D.)TODM_RateDesign_SC12_III'!$A$14</f>
        <v>Rate III LT - Energy (Summer)_OnPeak</v>
      </c>
      <c r="D81" s="645">
        <f>IF('[1]A1.)RatesInput'!$P$99="Y",IF(ISNUMBER(VLOOKUP($C81,'[1]A1.)RatesInput'!$B$195:$Q$281,HLOOKUP(D$73,'[1]A1.)RatesInput'!$O$195:$Q$197,3,0),0)),VLOOKUP($C81,'[1]A1.)RatesInput'!$B$195:$Q$281,HLOOKUP(D$73,'[1]A1.)RatesInput'!$O$195:$Q$197,3,0),0),0),IF(ISNUMBER(VLOOKUP($C81,'[1]A1.)RatesInput'!$B$195:$I$281,HLOOKUP(D$73,'[1]A1.)RatesInput'!$D$195:$I$281,3,0),0)),VLOOKUP($C81,'[1]A1.)RatesInput'!$B$195:$I$281,HLOOKUP(D$73,'[1]A1.)RatesInput'!$D$195:$I$281,3,0),0),0))</f>
        <v>7.9000000000000008E-3</v>
      </c>
      <c r="E81" s="645">
        <f>'13D.)TODM_RateDesign_SC12_III'!$H$14</f>
        <v>7.9000000000000008E-3</v>
      </c>
      <c r="F81" s="1092">
        <f t="shared" si="2"/>
        <v>0</v>
      </c>
      <c r="H81" s="488">
        <f>IF(ISNUMBER(VLOOKUP($C81,'[1]A1.)RatesInput'!$B$195:$L$281,HLOOKUP(H$73,'[1]A1.)RatesInput'!$D$195:$L$281,3,0),0)),VLOOKUP($C81,'[1]A1.)RatesInput'!$B$195:$L$281,HLOOKUP(H$73,'[1]A1.)RatesInput'!$D$195:$L$281,3,0),0),0)</f>
        <v>7.9000000000000008E-3</v>
      </c>
    </row>
    <row r="82" spans="3:8" x14ac:dyDescent="0.35">
      <c r="C82" s="1" t="str">
        <f>'13D.)TODM_RateDesign_SC12_III'!$A$15</f>
        <v>Rate III LT - Energy (Summer)_OffPeak</v>
      </c>
      <c r="D82" s="645">
        <f>IF('[1]A1.)RatesInput'!$P$99="Y",IF(ISNUMBER(VLOOKUP($C82,'[1]A1.)RatesInput'!$B$195:$Q$281,HLOOKUP(D$73,'[1]A1.)RatesInput'!$O$195:$Q$197,3,0),0)),VLOOKUP($C82,'[1]A1.)RatesInput'!$B$195:$Q$281,HLOOKUP(D$73,'[1]A1.)RatesInput'!$O$195:$Q$197,3,0),0),0),IF(ISNUMBER(VLOOKUP($C82,'[1]A1.)RatesInput'!$B$195:$I$281,HLOOKUP(D$73,'[1]A1.)RatesInput'!$D$195:$I$281,3,0),0)),VLOOKUP($C82,'[1]A1.)RatesInput'!$B$195:$I$281,HLOOKUP(D$73,'[1]A1.)RatesInput'!$D$195:$I$281,3,0),0),0))</f>
        <v>7.9000000000000008E-3</v>
      </c>
      <c r="E82" s="645">
        <f>'13D.)TODM_RateDesign_SC12_III'!$H$15</f>
        <v>7.9000000000000008E-3</v>
      </c>
      <c r="F82" s="1092">
        <f t="shared" si="2"/>
        <v>0</v>
      </c>
      <c r="H82" s="488">
        <f>IF(ISNUMBER(VLOOKUP($C82,'[1]A1.)RatesInput'!$B$195:$L$281,HLOOKUP(H$73,'[1]A1.)RatesInput'!$D$195:$L$281,3,0),0)),VLOOKUP($C82,'[1]A1.)RatesInput'!$B$195:$L$281,HLOOKUP(H$73,'[1]A1.)RatesInput'!$D$195:$L$281,3,0),0),0)</f>
        <v>7.9000000000000008E-3</v>
      </c>
    </row>
    <row r="83" spans="3:8" x14ac:dyDescent="0.35">
      <c r="C83" s="1" t="str">
        <f>'13D.)TODM_RateDesign_SC12_III'!$A$16</f>
        <v>Rate III LT - Energy (Winter)_OnPeak</v>
      </c>
      <c r="D83" s="645">
        <f>IF('[1]A1.)RatesInput'!$P$99="Y",IF(ISNUMBER(VLOOKUP($C83,'[1]A1.)RatesInput'!$B$195:$Q$281,HLOOKUP(D$73,'[1]A1.)RatesInput'!$O$195:$Q$197,3,0),0)),VLOOKUP($C83,'[1]A1.)RatesInput'!$B$195:$Q$281,HLOOKUP(D$73,'[1]A1.)RatesInput'!$O$195:$Q$197,3,0),0),0),IF(ISNUMBER(VLOOKUP($C83,'[1]A1.)RatesInput'!$B$195:$I$281,HLOOKUP(D$73,'[1]A1.)RatesInput'!$D$195:$I$281,3,0),0)),VLOOKUP($C83,'[1]A1.)RatesInput'!$B$195:$I$281,HLOOKUP(D$73,'[1]A1.)RatesInput'!$D$195:$I$281,3,0),0),0))</f>
        <v>7.9000000000000008E-3</v>
      </c>
      <c r="E83" s="645">
        <f>'13D.)TODM_RateDesign_SC12_III'!$H$16</f>
        <v>7.9000000000000008E-3</v>
      </c>
      <c r="F83" s="1092">
        <f t="shared" si="2"/>
        <v>0</v>
      </c>
      <c r="H83" s="488">
        <f>IF(ISNUMBER(VLOOKUP($C83,'[1]A1.)RatesInput'!$B$195:$L$281,HLOOKUP(H$73,'[1]A1.)RatesInput'!$D$195:$L$281,3,0),0)),VLOOKUP($C83,'[1]A1.)RatesInput'!$B$195:$L$281,HLOOKUP(H$73,'[1]A1.)RatesInput'!$D$195:$L$281,3,0),0),0)</f>
        <v>7.9000000000000008E-3</v>
      </c>
    </row>
    <row r="84" spans="3:8" x14ac:dyDescent="0.35">
      <c r="C84" s="1" t="str">
        <f>'13D.)TODM_RateDesign_SC12_III'!$A$17</f>
        <v>Rate III LT - Energy (Winter)_OffPeak</v>
      </c>
      <c r="D84" s="645">
        <f>IF('[1]A1.)RatesInput'!$P$99="Y",IF(ISNUMBER(VLOOKUP($C84,'[1]A1.)RatesInput'!$B$195:$Q$281,HLOOKUP(D$73,'[1]A1.)RatesInput'!$O$195:$Q$197,3,0),0)),VLOOKUP($C84,'[1]A1.)RatesInput'!$B$195:$Q$281,HLOOKUP(D$73,'[1]A1.)RatesInput'!$O$195:$Q$197,3,0),0),0),IF(ISNUMBER(VLOOKUP($C84,'[1]A1.)RatesInput'!$B$195:$I$281,HLOOKUP(D$73,'[1]A1.)RatesInput'!$D$195:$I$281,3,0),0)),VLOOKUP($C84,'[1]A1.)RatesInput'!$B$195:$I$281,HLOOKUP(D$73,'[1]A1.)RatesInput'!$D$195:$I$281,3,0),0),0))</f>
        <v>7.9000000000000008E-3</v>
      </c>
      <c r="E84" s="645">
        <f>'13D.)TODM_RateDesign_SC12_III'!$H$17</f>
        <v>7.9000000000000008E-3</v>
      </c>
      <c r="F84" s="1092">
        <f t="shared" si="2"/>
        <v>0</v>
      </c>
      <c r="H84" s="488">
        <f>IF(ISNUMBER(VLOOKUP($C84,'[1]A1.)RatesInput'!$B$195:$L$281,HLOOKUP(H$73,'[1]A1.)RatesInput'!$D$195:$L$281,3,0),0)),VLOOKUP($C84,'[1]A1.)RatesInput'!$B$195:$L$281,HLOOKUP(H$73,'[1]A1.)RatesInput'!$D$195:$L$281,3,0),0),0)</f>
        <v>7.9000000000000008E-3</v>
      </c>
    </row>
    <row r="85" spans="3:8" x14ac:dyDescent="0.35">
      <c r="C85" s="1" t="str">
        <f>'13D.)TODM_RateDesign_SC12_III'!$A$18</f>
        <v>Rate III HT - Energy (Summer)_OnPeak</v>
      </c>
      <c r="D85" s="645">
        <f>IF('[1]A1.)RatesInput'!$P$99="Y",IF(ISNUMBER(VLOOKUP($C85,'[1]A1.)RatesInput'!$B$195:$Q$281,HLOOKUP(D$73,'[1]A1.)RatesInput'!$O$195:$Q$197,3,0),0)),VLOOKUP($C85,'[1]A1.)RatesInput'!$B$195:$Q$281,HLOOKUP(D$73,'[1]A1.)RatesInput'!$O$195:$Q$197,3,0),0),0),IF(ISNUMBER(VLOOKUP($C85,'[1]A1.)RatesInput'!$B$195:$I$281,HLOOKUP(D$73,'[1]A1.)RatesInput'!$D$195:$I$281,3,0),0)),VLOOKUP($C85,'[1]A1.)RatesInput'!$B$195:$I$281,HLOOKUP(D$73,'[1]A1.)RatesInput'!$D$195:$I$281,3,0),0),0))</f>
        <v>7.9000000000000008E-3</v>
      </c>
      <c r="E85" s="645">
        <f>'13D.)TODM_RateDesign_SC12_III'!$H$18</f>
        <v>7.9000000000000008E-3</v>
      </c>
      <c r="F85" s="1092">
        <f t="shared" si="2"/>
        <v>0</v>
      </c>
      <c r="H85" s="488">
        <f>IF(ISNUMBER(VLOOKUP($C85,'[1]A1.)RatesInput'!$B$195:$L$281,HLOOKUP(H$73,'[1]A1.)RatesInput'!$D$195:$L$281,3,0),0)),VLOOKUP($C85,'[1]A1.)RatesInput'!$B$195:$L$281,HLOOKUP(H$73,'[1]A1.)RatesInput'!$D$195:$L$281,3,0),0),0)</f>
        <v>7.9000000000000008E-3</v>
      </c>
    </row>
    <row r="86" spans="3:8" x14ac:dyDescent="0.35">
      <c r="C86" s="1" t="str">
        <f>'13D.)TODM_RateDesign_SC12_III'!$A$19</f>
        <v>Rate III HT - Energy (Summer)_OffPeak</v>
      </c>
      <c r="D86" s="645">
        <f>IF('[1]A1.)RatesInput'!$P$99="Y",IF(ISNUMBER(VLOOKUP($C86,'[1]A1.)RatesInput'!$B$195:$Q$281,HLOOKUP(D$73,'[1]A1.)RatesInput'!$O$195:$Q$197,3,0),0)),VLOOKUP($C86,'[1]A1.)RatesInput'!$B$195:$Q$281,HLOOKUP(D$73,'[1]A1.)RatesInput'!$O$195:$Q$197,3,0),0),0),IF(ISNUMBER(VLOOKUP($C86,'[1]A1.)RatesInput'!$B$195:$I$281,HLOOKUP(D$73,'[1]A1.)RatesInput'!$D$195:$I$281,3,0),0)),VLOOKUP($C86,'[1]A1.)RatesInput'!$B$195:$I$281,HLOOKUP(D$73,'[1]A1.)RatesInput'!$D$195:$I$281,3,0),0),0))</f>
        <v>7.9000000000000008E-3</v>
      </c>
      <c r="E86" s="645">
        <f>'13D.)TODM_RateDesign_SC12_III'!$H$19</f>
        <v>7.9000000000000008E-3</v>
      </c>
      <c r="F86" s="1092">
        <f t="shared" si="2"/>
        <v>0</v>
      </c>
      <c r="H86" s="488">
        <f>IF(ISNUMBER(VLOOKUP($C86,'[1]A1.)RatesInput'!$B$195:$L$281,HLOOKUP(H$73,'[1]A1.)RatesInput'!$D$195:$L$281,3,0),0)),VLOOKUP($C86,'[1]A1.)RatesInput'!$B$195:$L$281,HLOOKUP(H$73,'[1]A1.)RatesInput'!$D$195:$L$281,3,0),0),0)</f>
        <v>7.9000000000000008E-3</v>
      </c>
    </row>
    <row r="87" spans="3:8" x14ac:dyDescent="0.35">
      <c r="C87" s="1" t="str">
        <f>'13D.)TODM_RateDesign_SC12_III'!$A$20</f>
        <v>Rate III HT - Energy (Winter)_OnPeak</v>
      </c>
      <c r="D87" s="645">
        <f>IF('[1]A1.)RatesInput'!$P$99="Y",IF(ISNUMBER(VLOOKUP($C87,'[1]A1.)RatesInput'!$B$195:$Q$281,HLOOKUP(D$73,'[1]A1.)RatesInput'!$O$195:$Q$197,3,0),0)),VLOOKUP($C87,'[1]A1.)RatesInput'!$B$195:$Q$281,HLOOKUP(D$73,'[1]A1.)RatesInput'!$O$195:$Q$197,3,0),0),0),IF(ISNUMBER(VLOOKUP($C87,'[1]A1.)RatesInput'!$B$195:$I$281,HLOOKUP(D$73,'[1]A1.)RatesInput'!$D$195:$I$281,3,0),0)),VLOOKUP($C87,'[1]A1.)RatesInput'!$B$195:$I$281,HLOOKUP(D$73,'[1]A1.)RatesInput'!$D$195:$I$281,3,0),0),0))</f>
        <v>7.9000000000000008E-3</v>
      </c>
      <c r="E87" s="645">
        <f>'13D.)TODM_RateDesign_SC12_III'!$H$20</f>
        <v>7.9000000000000008E-3</v>
      </c>
      <c r="F87" s="1092">
        <f t="shared" si="2"/>
        <v>0</v>
      </c>
      <c r="H87" s="488">
        <f>IF(ISNUMBER(VLOOKUP($C87,'[1]A1.)RatesInput'!$B$195:$L$281,HLOOKUP(H$73,'[1]A1.)RatesInput'!$D$195:$L$281,3,0),0)),VLOOKUP($C87,'[1]A1.)RatesInput'!$B$195:$L$281,HLOOKUP(H$73,'[1]A1.)RatesInput'!$D$195:$L$281,3,0),0),0)</f>
        <v>7.9000000000000008E-3</v>
      </c>
    </row>
    <row r="88" spans="3:8" x14ac:dyDescent="0.35">
      <c r="C88" s="1" t="str">
        <f>'13D.)TODM_RateDesign_SC12_III'!$A$21</f>
        <v>Rate III HT - Energy (Winter)_OffPeak</v>
      </c>
      <c r="D88" s="644">
        <f>IF('[1]A1.)RatesInput'!$P$99="Y",IF(ISNUMBER(VLOOKUP($C88,'[1]A1.)RatesInput'!$B$195:$Q$281,HLOOKUP(D$73,'[1]A1.)RatesInput'!$O$195:$Q$197,3,0),0)),VLOOKUP($C88,'[1]A1.)RatesInput'!$B$195:$Q$281,HLOOKUP(D$73,'[1]A1.)RatesInput'!$O$195:$Q$197,3,0),0),0),IF(ISNUMBER(VLOOKUP($C88,'[1]A1.)RatesInput'!$B$195:$I$281,HLOOKUP(D$73,'[1]A1.)RatesInput'!$D$195:$I$281,3,0),0)),VLOOKUP($C88,'[1]A1.)RatesInput'!$B$195:$I$281,HLOOKUP(D$73,'[1]A1.)RatesInput'!$D$195:$I$281,3,0),0),0))</f>
        <v>7.9000000000000008E-3</v>
      </c>
      <c r="E88" s="644">
        <f>'13D.)TODM_RateDesign_SC12_III'!$H$21</f>
        <v>7.9000000000000008E-3</v>
      </c>
      <c r="F88" s="1093">
        <f t="shared" si="2"/>
        <v>0</v>
      </c>
      <c r="H88" s="489">
        <f>IF(ISNUMBER(VLOOKUP($C88,'[1]A1.)RatesInput'!$B$195:$L$281,HLOOKUP(H$73,'[1]A1.)RatesInput'!$D$195:$L$281,3,0),0)),VLOOKUP($C88,'[1]A1.)RatesInput'!$B$195:$L$281,HLOOKUP(H$73,'[1]A1.)RatesInput'!$D$195:$L$281,3,0),0),0)</f>
        <v>7.9000000000000008E-3</v>
      </c>
    </row>
    <row r="89" spans="3:8" x14ac:dyDescent="0.35">
      <c r="C89" s="464" t="s">
        <v>2230</v>
      </c>
      <c r="D89" s="1"/>
      <c r="E89" s="1282">
        <f>'13D.)TODM_RateDesign_SC12_III'!H24</f>
        <v>12.45</v>
      </c>
      <c r="F89" s="1090"/>
    </row>
    <row r="90" spans="3:8" hidden="1" x14ac:dyDescent="0.35"/>
    <row r="91" spans="3:8" hidden="1" x14ac:dyDescent="0.35"/>
    <row r="92" spans="3:8" x14ac:dyDescent="0.35">
      <c r="C92" s="133" t="s">
        <v>1147</v>
      </c>
      <c r="D92" s="408" t="s">
        <v>1148</v>
      </c>
      <c r="E92" s="408" t="s">
        <v>521</v>
      </c>
      <c r="F92" s="955"/>
    </row>
    <row r="93" spans="3:8" x14ac:dyDescent="0.35">
      <c r="C93" t="s">
        <v>1152</v>
      </c>
      <c r="D93" s="406"/>
      <c r="E93" s="956">
        <f>'13D.)TODM_RateDesign_SC12_III'!M216</f>
        <v>10343842</v>
      </c>
      <c r="F93" s="955"/>
    </row>
    <row r="94" spans="3:8" x14ac:dyDescent="0.35">
      <c r="C94" t="s">
        <v>45</v>
      </c>
      <c r="D94" s="406"/>
      <c r="E94" s="956">
        <f>'13D.)TODM_RateDesign_SC12_III'!M217</f>
        <v>1233764</v>
      </c>
      <c r="F94" s="955"/>
    </row>
    <row r="95" spans="3:8" x14ac:dyDescent="0.35">
      <c r="C95" t="s">
        <v>757</v>
      </c>
      <c r="D95" s="406"/>
      <c r="E95" s="957">
        <f>E93+E94</f>
        <v>11577606</v>
      </c>
      <c r="F95" s="955"/>
    </row>
    <row r="96" spans="3:8" ht="15" thickBot="1" x14ac:dyDescent="0.4">
      <c r="D96" s="406"/>
      <c r="E96" s="962"/>
      <c r="F96" s="955"/>
    </row>
    <row r="97" spans="3:8" ht="15.5" thickTop="1" thickBot="1" x14ac:dyDescent="0.4">
      <c r="C97" t="s">
        <v>752</v>
      </c>
      <c r="D97" s="440">
        <f>'13D.)TODM_RateDesign_SC12_III'!M230</f>
        <v>11578991.170842405</v>
      </c>
      <c r="E97" s="440">
        <f>E95</f>
        <v>11577606</v>
      </c>
      <c r="F97" s="959">
        <f>IF(ISNUMBER(E97/D97-1),E97/D97-1,"")</f>
        <v>-1.196279383901544E-4</v>
      </c>
      <c r="H97" s="440">
        <f>'13D.)TODM_RateDesign_SC12_III'!Q230</f>
        <v>0</v>
      </c>
    </row>
    <row r="98" spans="3:8" ht="15" thickTop="1" x14ac:dyDescent="0.35"/>
  </sheetData>
  <printOptions horizontalCentered="1"/>
  <pageMargins left="0.45" right="0.45" top="0.5" bottom="0.25" header="0.3" footer="0.05"/>
  <pageSetup scale="60" orientation="landscape" r:id="rId1"/>
  <headerFooter>
    <oddFooter>&amp;C&amp;F (Tab: &amp;A)&amp;RPage &amp;P / &amp;N</oddFooter>
  </headerFooter>
  <rowBreaks count="1" manualBreakCount="1">
    <brk id="67" max="16383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8"/>
  <dimension ref="A1:AJ287"/>
  <sheetViews>
    <sheetView tabSelected="1" workbookViewId="0">
      <selection activeCell="H26" sqref="H26"/>
    </sheetView>
  </sheetViews>
  <sheetFormatPr defaultRowHeight="14.5" outlineLevelRow="1" x14ac:dyDescent="0.35"/>
  <cols>
    <col min="1" max="1" width="7.453125" customWidth="1"/>
    <col min="2" max="2" width="15.81640625" customWidth="1"/>
    <col min="3" max="3" width="17.7265625" customWidth="1"/>
    <col min="4" max="4" width="10.453125" customWidth="1"/>
    <col min="5" max="5" width="7.1796875" customWidth="1"/>
    <col min="6" max="6" width="11.54296875" customWidth="1"/>
    <col min="7" max="7" width="14.453125" customWidth="1"/>
    <col min="8" max="8" width="17.1796875" customWidth="1"/>
    <col min="9" max="9" width="16.7265625" customWidth="1"/>
    <col min="10" max="10" width="20.81640625" customWidth="1"/>
    <col min="11" max="11" width="15.26953125" customWidth="1"/>
    <col min="12" max="12" width="17" customWidth="1"/>
    <col min="13" max="13" width="14.1796875" customWidth="1"/>
    <col min="14" max="14" width="15.81640625" customWidth="1"/>
    <col min="15" max="15" width="12.453125" customWidth="1"/>
    <col min="16" max="16" width="12.54296875" style="1" customWidth="1"/>
    <col min="17" max="17" width="8.453125" customWidth="1"/>
    <col min="18" max="18" width="9" customWidth="1"/>
    <col min="19" max="19" width="11.54296875" customWidth="1"/>
    <col min="20" max="20" width="9.54296875" customWidth="1"/>
    <col min="21" max="21" width="14.453125" customWidth="1"/>
    <col min="22" max="22" width="7.81640625" customWidth="1"/>
    <col min="23" max="23" width="11.7265625" customWidth="1"/>
    <col min="24" max="24" width="12.54296875" customWidth="1"/>
    <col min="25" max="25" width="8.7265625" customWidth="1"/>
    <col min="26" max="26" width="14.453125" customWidth="1"/>
    <col min="27" max="27" width="14.26953125" customWidth="1"/>
    <col min="28" max="28" width="13.54296875" customWidth="1"/>
    <col min="30" max="30" width="17.453125" customWidth="1"/>
    <col min="31" max="36" width="12" customWidth="1"/>
  </cols>
  <sheetData>
    <row r="1" spans="1:36" ht="18.5" x14ac:dyDescent="0.45">
      <c r="A1" s="448" t="s">
        <v>1251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2" spans="1:36" x14ac:dyDescent="0.35">
      <c r="B2" s="372"/>
    </row>
    <row r="3" spans="1:36" ht="15.5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749" t="s">
        <v>2308</v>
      </c>
      <c r="Q3" s="479"/>
      <c r="S3" s="3"/>
      <c r="W3" s="1293" t="str">
        <f>P3</f>
        <v>SC8 Rate I &amp; III</v>
      </c>
    </row>
    <row r="4" spans="1:36" outlineLevel="1" x14ac:dyDescent="0.35">
      <c r="A4" s="864" t="s">
        <v>716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  <c r="W4" s="476" t="s">
        <v>249</v>
      </c>
      <c r="X4" s="476" t="s">
        <v>717</v>
      </c>
      <c r="Y4" s="143"/>
      <c r="Z4" s="476" t="s">
        <v>249</v>
      </c>
      <c r="AA4" s="476" t="s">
        <v>717</v>
      </c>
    </row>
    <row r="5" spans="1:36" outlineLevel="1" x14ac:dyDescent="0.35">
      <c r="A5" s="180"/>
      <c r="B5" s="180"/>
      <c r="C5" s="3"/>
      <c r="D5" s="3"/>
      <c r="E5" s="3"/>
      <c r="F5" s="3"/>
      <c r="G5" s="3"/>
      <c r="H5" s="3"/>
      <c r="J5" s="180"/>
      <c r="K5" s="180"/>
      <c r="L5" s="180"/>
      <c r="M5" s="3"/>
      <c r="P5" s="2"/>
      <c r="Q5" s="3"/>
      <c r="R5" s="3"/>
      <c r="S5" s="30" t="s">
        <v>25</v>
      </c>
      <c r="U5" s="30" t="s">
        <v>12</v>
      </c>
      <c r="W5" s="30" t="s">
        <v>25</v>
      </c>
      <c r="X5" s="30" t="s">
        <v>25</v>
      </c>
      <c r="Z5" s="30" t="s">
        <v>12</v>
      </c>
      <c r="AA5" s="30" t="s">
        <v>12</v>
      </c>
      <c r="AD5" s="1135"/>
      <c r="AE5" s="1143" t="s">
        <v>249</v>
      </c>
      <c r="AF5" s="1144" t="s">
        <v>114</v>
      </c>
      <c r="AG5" s="1144" t="s">
        <v>113</v>
      </c>
      <c r="AH5" s="1144" t="s">
        <v>112</v>
      </c>
      <c r="AI5" s="1145" t="s">
        <v>111</v>
      </c>
      <c r="AJ5" s="406"/>
    </row>
    <row r="6" spans="1:36" outlineLevel="1" x14ac:dyDescent="0.35">
      <c r="A6" s="180"/>
      <c r="B6" s="180"/>
      <c r="C6" s="180"/>
      <c r="D6" s="180"/>
      <c r="E6" s="180"/>
      <c r="F6" s="3"/>
      <c r="G6" s="490" t="str">
        <f>'13A.)TODM_RateDesignSummary'!D9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161"/>
      <c r="T6" s="164" t="s">
        <v>444</v>
      </c>
      <c r="U6" s="161"/>
      <c r="V6" s="367" t="s">
        <v>643</v>
      </c>
      <c r="W6" s="386">
        <f>'[1]D4.)RateIII_RateDevelopment'!$D$41</f>
        <v>1358669.02</v>
      </c>
      <c r="X6" s="386">
        <f>'[1]D4.)RateIII_RateDevelopment'!$D$62</f>
        <v>147810</v>
      </c>
      <c r="Y6" s="367" t="s">
        <v>1393</v>
      </c>
      <c r="Z6" s="386">
        <f>'[1]D4.)RateIII_RateDevelopment'!$D$36</f>
        <v>264104302</v>
      </c>
      <c r="AA6" s="386">
        <f>ROUND('[1]D4.)RateIII_RateDevelopment'!$D$58/('[1]D4.)RateIII_RateDevelopment'!$D$58+'[1]D4.)RateIII_RateDevelopment'!$D$59)*$AA$9,0)</f>
        <v>29108778</v>
      </c>
      <c r="AB6" s="1" t="str">
        <f>P6</f>
        <v>Summer (LT)</v>
      </c>
      <c r="AD6" s="1136" t="s">
        <v>2209</v>
      </c>
      <c r="AE6" s="1166">
        <f>'[2]3C.)HY_Metering PxOut'!$B$37</f>
        <v>17699</v>
      </c>
      <c r="AF6" s="1129">
        <f>ROUND($AE6*$W$10/($W$10+$W$15+$W$20+$W$25),0)</f>
        <v>5903</v>
      </c>
      <c r="AG6" s="1129">
        <f>AE6-AF6-AH6-AI6</f>
        <v>11796</v>
      </c>
      <c r="AH6" s="1129">
        <f>ROUND($AE6*$W$20/($W$10+$W$15+$W$20+$W$25),0)</f>
        <v>0</v>
      </c>
      <c r="AI6" s="1130">
        <f>ROUND($AE6*$W$25/($W$10+$W$15+$W$20+$W$25),0)</f>
        <v>0</v>
      </c>
      <c r="AJ6" s="1009">
        <f>AE6-SUM(AF6:AI6)</f>
        <v>0</v>
      </c>
    </row>
    <row r="7" spans="1:36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SC8 Rate III</v>
      </c>
      <c r="M7" s="3"/>
      <c r="P7" s="170" t="s">
        <v>114</v>
      </c>
      <c r="Q7" s="159" t="s">
        <v>641</v>
      </c>
      <c r="R7" s="158" t="s">
        <v>888</v>
      </c>
      <c r="S7" s="156"/>
      <c r="T7" s="159" t="s">
        <v>445</v>
      </c>
      <c r="U7" s="156"/>
      <c r="V7" s="367" t="s">
        <v>644</v>
      </c>
      <c r="W7" s="387">
        <f>'[1]D4.)RateIII_RateDevelopment'!$D$42</f>
        <v>1505420.89</v>
      </c>
      <c r="X7" s="387">
        <f>'[1]D4.)RateIII_RateDevelopment'!$D$63</f>
        <v>156215</v>
      </c>
      <c r="Y7" s="367" t="s">
        <v>445</v>
      </c>
      <c r="Z7" s="387">
        <f>'[1]D4.)RateIII_RateDevelopment'!$D$37</f>
        <v>338190574</v>
      </c>
      <c r="AA7" s="387">
        <f>AA9-AA6</f>
        <v>37853707</v>
      </c>
      <c r="AB7" s="1" t="str">
        <f>P7</f>
        <v>Summer (LT)</v>
      </c>
      <c r="AD7" s="1136" t="s">
        <v>2210</v>
      </c>
      <c r="AE7" s="1166">
        <f>'[2]3C.)HY_Metering PxOut'!$C$37</f>
        <v>3048</v>
      </c>
      <c r="AF7" s="1129">
        <f>ROUND($AE7*$W$10/($W$10+$W$15+$W$20+$W$25),0)</f>
        <v>1016</v>
      </c>
      <c r="AG7" s="1129">
        <f>AE7-AF7-AH7-AI7</f>
        <v>2032</v>
      </c>
      <c r="AH7" s="1129">
        <f>ROUND($AE7*$W$20/($W$10+$W$15+$W$20+$W$25),0)</f>
        <v>0</v>
      </c>
      <c r="AI7" s="1130">
        <f>ROUND($AE7*$W$25/($W$10+$W$15+$W$20+$W$25),0)</f>
        <v>0</v>
      </c>
      <c r="AJ7" s="1009">
        <f>AE7-SUM(AF7:AI7)</f>
        <v>0</v>
      </c>
    </row>
    <row r="8" spans="1:36" ht="15.5" outlineLevel="1" thickTop="1" thickBot="1" x14ac:dyDescent="0.4">
      <c r="A8" s="410" t="s">
        <v>944</v>
      </c>
      <c r="B8" s="410"/>
      <c r="C8" s="410"/>
      <c r="D8" s="410"/>
      <c r="E8" s="410"/>
      <c r="F8" s="3"/>
      <c r="G8" s="309">
        <f>'13A.)TODM_RateDesignSummary'!D11</f>
        <v>0</v>
      </c>
      <c r="H8" s="177">
        <f>J108</f>
        <v>0</v>
      </c>
      <c r="I8" s="3"/>
      <c r="J8" s="33"/>
      <c r="K8" s="17"/>
      <c r="L8" s="688"/>
      <c r="M8" s="3"/>
      <c r="P8" s="168" t="s">
        <v>114</v>
      </c>
      <c r="Q8" s="154" t="s">
        <v>642</v>
      </c>
      <c r="R8" s="176" t="s">
        <v>645</v>
      </c>
      <c r="S8" s="153"/>
      <c r="T8" s="453"/>
      <c r="U8" s="477"/>
      <c r="V8" s="367" t="s">
        <v>645</v>
      </c>
      <c r="W8" s="172">
        <f>'[1]D4.)RateIII_RateDevelopment'!$D$43</f>
        <v>1515483.7</v>
      </c>
      <c r="X8" s="172">
        <f>'[1]D4.)RateIII_RateDevelopment'!$D$64</f>
        <v>157028</v>
      </c>
      <c r="Y8" s="367"/>
      <c r="Z8" s="477"/>
      <c r="AA8" s="477"/>
      <c r="AB8" s="1"/>
      <c r="AD8" s="1137"/>
      <c r="AE8" s="1138">
        <f>AE6+AE7-W10-W15-W20-W25</f>
        <v>0</v>
      </c>
      <c r="AF8" s="1139"/>
      <c r="AG8" s="1139"/>
      <c r="AH8" s="1139"/>
      <c r="AI8" s="1140"/>
      <c r="AJ8" s="406"/>
    </row>
    <row r="9" spans="1:36" ht="15.5" outlineLevel="1" thickTop="1" thickBot="1" x14ac:dyDescent="0.4">
      <c r="A9" s="410" t="s">
        <v>945</v>
      </c>
      <c r="B9" s="410"/>
      <c r="C9" s="410"/>
      <c r="D9" s="410"/>
      <c r="E9" s="410"/>
      <c r="F9" s="3"/>
      <c r="G9" s="310">
        <f>'13A.)TODM_RateDesignSummary'!D12</f>
        <v>15.9</v>
      </c>
      <c r="H9" s="169">
        <f t="shared" ref="H9:H10" si="0">J109</f>
        <v>16.43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W10+X10</f>
        <v>7507</v>
      </c>
      <c r="S9" s="915">
        <f>W9+X9</f>
        <v>1672511.7</v>
      </c>
      <c r="U9" s="915">
        <f>Z9+AA9</f>
        <v>669257361</v>
      </c>
      <c r="V9" s="367"/>
      <c r="W9" s="761">
        <f>'[1]D4.)RateIII_RateDevelopment'!$D$40</f>
        <v>1515483.7</v>
      </c>
      <c r="X9" s="761">
        <f>'[1]D4.)RateIII_RateDevelopment'!$D$61</f>
        <v>157028</v>
      </c>
      <c r="Y9" s="367"/>
      <c r="Z9" s="915">
        <f>'[1]D4.)RateIII_RateDevelopment'!$D$35</f>
        <v>602294876</v>
      </c>
      <c r="AA9" s="1005">
        <f>ROUND('[1]D4.)RateIII_RateDevelopment'!$D$57,0)</f>
        <v>66962485</v>
      </c>
      <c r="AB9" s="1"/>
      <c r="AD9" s="1137"/>
      <c r="AE9" s="1139"/>
      <c r="AF9" s="1139"/>
      <c r="AG9" s="1139"/>
      <c r="AH9" s="1139"/>
      <c r="AI9" s="1140"/>
      <c r="AJ9" s="406"/>
    </row>
    <row r="10" spans="1:36" ht="15.5" outlineLevel="1" thickTop="1" thickBot="1" x14ac:dyDescent="0.4">
      <c r="A10" s="410" t="s">
        <v>946</v>
      </c>
      <c r="B10" s="410"/>
      <c r="C10" s="410"/>
      <c r="D10" s="410"/>
      <c r="E10" s="410"/>
      <c r="F10" s="3"/>
      <c r="G10" s="310">
        <f>'13A.)TODM_RateDesignSummary'!D13</f>
        <v>6.3100000000000005</v>
      </c>
      <c r="H10" s="169">
        <f t="shared" si="0"/>
        <v>6.52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V10" s="1165" t="s">
        <v>2207</v>
      </c>
      <c r="W10" s="1294">
        <f>'11C.)Demand_RateDesign_SC8_I'!T9</f>
        <v>6919</v>
      </c>
      <c r="X10" s="1295">
        <f>'[1]B1.)HYAdjSalesDatabase'!$T$246</f>
        <v>588</v>
      </c>
      <c r="Y10" s="367"/>
      <c r="Z10" s="366"/>
      <c r="AA10" s="472"/>
      <c r="AB10" s="1"/>
      <c r="AD10" s="1137"/>
      <c r="AE10" s="1146" t="s">
        <v>717</v>
      </c>
      <c r="AF10" s="1147" t="s">
        <v>114</v>
      </c>
      <c r="AG10" s="1147" t="s">
        <v>113</v>
      </c>
      <c r="AH10" s="1147" t="s">
        <v>112</v>
      </c>
      <c r="AI10" s="1148" t="s">
        <v>111</v>
      </c>
      <c r="AJ10" s="406"/>
    </row>
    <row r="11" spans="1:36" ht="15" outlineLevel="1" thickTop="1" x14ac:dyDescent="0.35">
      <c r="A11" s="410" t="s">
        <v>947</v>
      </c>
      <c r="B11" s="410"/>
      <c r="C11" s="410"/>
      <c r="D11" s="410"/>
      <c r="E11" s="410"/>
      <c r="F11" s="3"/>
      <c r="G11" s="310">
        <f>'13A.)TODM_RateDesignSummary'!D14</f>
        <v>9.02</v>
      </c>
      <c r="H11" s="169">
        <f>H108</f>
        <v>9.32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161"/>
      <c r="V11" s="367" t="s">
        <v>643</v>
      </c>
      <c r="W11" s="386">
        <f>'[1]D4.)RateIII_RateDevelopment'!$I$41</f>
        <v>0</v>
      </c>
      <c r="X11" s="386">
        <f>'[1]D4.)RateIII_RateDevelopment'!$I$62</f>
        <v>0</v>
      </c>
      <c r="Y11" s="367" t="s">
        <v>1393</v>
      </c>
      <c r="Z11" s="386">
        <f>'[1]D4.)RateIII_RateDevelopment'!$I$36</f>
        <v>401180677</v>
      </c>
      <c r="AA11" s="386">
        <f>ROUND('[1]D4.)RateIII_RateDevelopment'!$I$58/('[1]D4.)RateIII_RateDevelopment'!$I$58+'[1]D4.)RateIII_RateDevelopment'!$I$59)*AA14,0)</f>
        <v>44048571</v>
      </c>
      <c r="AB11" s="1" t="str">
        <f>P11</f>
        <v>Winter (LT)</v>
      </c>
      <c r="AD11" s="1136" t="s">
        <v>2209</v>
      </c>
      <c r="AE11" s="1166">
        <f>'[2]3C.)HY_Metering PxOut'!$B$38</f>
        <v>1531</v>
      </c>
      <c r="AF11" s="1129">
        <f>ROUND($AE11*$X$10/($X$10+$X$15+$X$20+$X$25),0)</f>
        <v>512</v>
      </c>
      <c r="AG11" s="1129">
        <f>AE11-AF11-AH11-AI11</f>
        <v>1019</v>
      </c>
      <c r="AH11" s="1129">
        <f>ROUND($AE11*$X$20/($X$10+$X$15+$X$20+$X$25),0)</f>
        <v>0</v>
      </c>
      <c r="AI11" s="1130">
        <f>ROUND($AE11*$X$25/($X$10+$X$15+$X$20+$X$25),0)</f>
        <v>0</v>
      </c>
      <c r="AJ11" s="1009">
        <f t="shared" ref="AJ11:AJ12" si="1">AE11-SUM(AF11:AI11)</f>
        <v>0</v>
      </c>
    </row>
    <row r="12" spans="1:36" outlineLevel="1" x14ac:dyDescent="0.35">
      <c r="A12" s="410" t="s">
        <v>948</v>
      </c>
      <c r="B12" s="410"/>
      <c r="C12" s="410"/>
      <c r="D12" s="410"/>
      <c r="E12" s="410"/>
      <c r="F12" s="3"/>
      <c r="G12" s="310">
        <f>'13A.)TODM_RateDesignSummary'!D15</f>
        <v>21.52</v>
      </c>
      <c r="H12" s="169">
        <f t="shared" ref="H12:H13" si="2">H109</f>
        <v>22.24</v>
      </c>
      <c r="I12" s="3"/>
      <c r="J12" s="33"/>
      <c r="L12" s="454"/>
      <c r="P12" s="160" t="s">
        <v>113</v>
      </c>
      <c r="Q12" s="157" t="str">
        <f>Q$7</f>
        <v>D2</v>
      </c>
      <c r="R12" s="157" t="str">
        <f>R$7</f>
        <v>8-10</v>
      </c>
      <c r="S12" s="156"/>
      <c r="T12" s="159" t="str">
        <f>T$7</f>
        <v>Off Peak</v>
      </c>
      <c r="U12" s="156"/>
      <c r="V12" s="367" t="s">
        <v>644</v>
      </c>
      <c r="W12" s="387">
        <f>'[1]D4.)RateIII_RateDevelopment'!$I$42</f>
        <v>2029382.22</v>
      </c>
      <c r="X12" s="387">
        <f>'[1]D4.)RateIII_RateDevelopment'!$I$63</f>
        <v>215552</v>
      </c>
      <c r="Y12" s="367" t="s">
        <v>445</v>
      </c>
      <c r="Z12" s="387">
        <f>'[1]D4.)RateIII_RateDevelopment'!$I$37</f>
        <v>510620302.00999999</v>
      </c>
      <c r="AA12" s="387">
        <f>AA14-AA11</f>
        <v>55647957</v>
      </c>
      <c r="AB12" s="1" t="str">
        <f>P12</f>
        <v>Winter (LT)</v>
      </c>
      <c r="AD12" s="1136" t="s">
        <v>2210</v>
      </c>
      <c r="AE12" s="1166">
        <f>'[2]3C.)HY_Metering PxOut'!$C$38</f>
        <v>228</v>
      </c>
      <c r="AF12" s="1129">
        <f>ROUND($AE12*$X$10/($X$10+$X$15+$X$20+$X$25),0)</f>
        <v>76</v>
      </c>
      <c r="AG12" s="1129">
        <f>AE12-AF12-AH12-AI12</f>
        <v>152</v>
      </c>
      <c r="AH12" s="1129">
        <f>ROUND($AE12*$X$20/($X$10+$X$15+$X$20+$X$25),0)</f>
        <v>0</v>
      </c>
      <c r="AI12" s="1130">
        <f>ROUND($AE12*$X$25/($X$10+$X$15+$X$20+$X$25),0)</f>
        <v>0</v>
      </c>
      <c r="AJ12" s="1009">
        <f t="shared" si="1"/>
        <v>0</v>
      </c>
    </row>
    <row r="13" spans="1:36" ht="15" outlineLevel="1" thickBot="1" x14ac:dyDescent="0.4">
      <c r="A13" s="410" t="s">
        <v>949</v>
      </c>
      <c r="B13" s="410"/>
      <c r="C13" s="410"/>
      <c r="D13" s="410"/>
      <c r="E13" s="410"/>
      <c r="F13" s="3"/>
      <c r="G13" s="310">
        <f>'13A.)TODM_RateDesignSummary'!D16</f>
        <v>19.82</v>
      </c>
      <c r="H13" s="169">
        <f t="shared" si="2"/>
        <v>20.48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53"/>
      <c r="T13" s="453"/>
      <c r="U13" s="477"/>
      <c r="V13" s="367" t="s">
        <v>645</v>
      </c>
      <c r="W13" s="172">
        <f>'[1]D4.)RateIII_RateDevelopment'!$I$43</f>
        <v>2083661.6</v>
      </c>
      <c r="X13" s="172">
        <f>'[1]D4.)RateIII_RateDevelopment'!$I$64</f>
        <v>218386</v>
      </c>
      <c r="Y13" s="367"/>
      <c r="Z13" s="477"/>
      <c r="AA13" s="477"/>
      <c r="AB13" s="1"/>
      <c r="AD13" s="1137"/>
      <c r="AE13" s="1141">
        <f>AE11+AE12-X10-X15-X20-X25</f>
        <v>0</v>
      </c>
      <c r="AF13" s="1139"/>
      <c r="AG13" s="1139"/>
      <c r="AH13" s="1139"/>
      <c r="AI13" s="1140"/>
      <c r="AJ13" s="406"/>
    </row>
    <row r="14" spans="1:36" ht="15.5" outlineLevel="1" thickTop="1" thickBot="1" x14ac:dyDescent="0.4">
      <c r="A14" s="406" t="s">
        <v>2141</v>
      </c>
      <c r="B14" s="406"/>
      <c r="C14" s="406"/>
      <c r="D14" s="406"/>
      <c r="E14" s="406"/>
      <c r="F14" s="3"/>
      <c r="G14" s="310">
        <f>'13A.)TODM_RateDesignSummary'!D17</f>
        <v>7.9000000000000008E-3</v>
      </c>
      <c r="H14" s="169">
        <f>H167</f>
        <v>7.9000000000000008E-3</v>
      </c>
      <c r="I14" s="3"/>
      <c r="J14" s="33" t="s">
        <v>1477</v>
      </c>
      <c r="K14" s="17"/>
      <c r="L14" s="964">
        <f>'[2]6A.)RateChange'!BF42</f>
        <v>2.522425E-2</v>
      </c>
      <c r="P14" s="1158" t="s">
        <v>2207</v>
      </c>
      <c r="Q14" s="1161">
        <f>W15+X15</f>
        <v>14999</v>
      </c>
      <c r="R14" s="3"/>
      <c r="S14" s="915">
        <f>W14+X14</f>
        <v>2302047.6</v>
      </c>
      <c r="U14" s="915">
        <f>Z14+AA14</f>
        <v>1011497507.01</v>
      </c>
      <c r="V14" s="367"/>
      <c r="W14" s="761">
        <f>'[1]D4.)RateIII_RateDevelopment'!$I$40</f>
        <v>2083661.6</v>
      </c>
      <c r="X14" s="761">
        <f>'[1]D4.)RateIII_RateDevelopment'!$I$61</f>
        <v>218386</v>
      </c>
      <c r="Y14" s="367"/>
      <c r="Z14" s="915">
        <f>'[1]D4.)RateIII_RateDevelopment'!$I$35</f>
        <v>911800979.00999999</v>
      </c>
      <c r="AA14" s="1005">
        <f>ROUND('[1]D4.)RateIII_RateDevelopment'!$I$57,0)</f>
        <v>99696528</v>
      </c>
      <c r="AB14" s="1"/>
      <c r="AD14" s="1137"/>
      <c r="AE14" s="1139"/>
      <c r="AF14" s="1139"/>
      <c r="AG14" s="1139"/>
      <c r="AH14" s="1139"/>
      <c r="AI14" s="1140"/>
      <c r="AJ14" s="406"/>
    </row>
    <row r="15" spans="1:36" ht="15.5" outlineLevel="1" thickTop="1" thickBot="1" x14ac:dyDescent="0.4">
      <c r="A15" s="406" t="s">
        <v>2142</v>
      </c>
      <c r="B15" s="406"/>
      <c r="C15" s="406"/>
      <c r="D15" s="406"/>
      <c r="E15" s="406"/>
      <c r="F15" s="3"/>
      <c r="G15" s="310">
        <f>'13A.)TODM_RateDesignSummary'!D18</f>
        <v>7.9000000000000008E-3</v>
      </c>
      <c r="H15" s="169">
        <f>H168</f>
        <v>7.9000000000000008E-3</v>
      </c>
      <c r="I15" s="3"/>
      <c r="V15" s="1165" t="s">
        <v>2207</v>
      </c>
      <c r="W15" s="1294">
        <f>'11C.)Demand_RateDesign_SC8_I'!T14</f>
        <v>13828</v>
      </c>
      <c r="X15" s="1295">
        <f>'[1]B1.)HYAdjSalesDatabase'!$U$246</f>
        <v>1171</v>
      </c>
      <c r="Y15" s="367"/>
      <c r="Z15" s="482"/>
      <c r="AA15" s="472"/>
      <c r="AB15" s="1"/>
      <c r="AD15" s="1137"/>
      <c r="AE15" s="1146" t="s">
        <v>2212</v>
      </c>
      <c r="AF15" s="1147" t="s">
        <v>114</v>
      </c>
      <c r="AG15" s="1147" t="s">
        <v>113</v>
      </c>
      <c r="AH15" s="1147" t="s">
        <v>112</v>
      </c>
      <c r="AI15" s="1148" t="s">
        <v>111</v>
      </c>
      <c r="AJ15" s="406"/>
    </row>
    <row r="16" spans="1:36" ht="15" outlineLevel="1" thickTop="1" x14ac:dyDescent="0.35">
      <c r="A16" s="406" t="s">
        <v>2143</v>
      </c>
      <c r="B16" s="406"/>
      <c r="C16" s="406"/>
      <c r="D16" s="406"/>
      <c r="E16" s="406"/>
      <c r="F16" s="3"/>
      <c r="G16" s="310">
        <f>'13A.)TODM_RateDesignSummary'!D19</f>
        <v>7.9000000000000008E-3</v>
      </c>
      <c r="H16" s="169">
        <f>J167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161"/>
      <c r="T16" s="164" t="str">
        <f>T$6</f>
        <v>on Peak</v>
      </c>
      <c r="U16" s="161"/>
      <c r="V16" s="367" t="s">
        <v>643</v>
      </c>
      <c r="W16" s="386">
        <f>'[1]D4.)RateIII_RateDevelopment'!$D$32</f>
        <v>0</v>
      </c>
      <c r="X16" s="386">
        <f>'[1]D4.)RateIII_RateDevelopment'!$D$54</f>
        <v>0</v>
      </c>
      <c r="Y16" s="367" t="s">
        <v>1393</v>
      </c>
      <c r="Z16" s="1002">
        <f>'[1]D4.)RateIII_RateDevelopment'!$D$28</f>
        <v>0</v>
      </c>
      <c r="AA16" s="386">
        <f>'[1]D4.)RateIII_RateDevelopment'!$D$50</f>
        <v>0</v>
      </c>
      <c r="AB16" s="1" t="str">
        <f>P16</f>
        <v>Summer (HT)</v>
      </c>
      <c r="AD16" s="1136" t="s">
        <v>2209</v>
      </c>
      <c r="AE16" s="1166">
        <f>AE6+AE11</f>
        <v>19230</v>
      </c>
      <c r="AF16" s="1129">
        <f t="shared" ref="AF16:AI17" si="3">AF6+AF11</f>
        <v>6415</v>
      </c>
      <c r="AG16" s="1129">
        <f t="shared" si="3"/>
        <v>12815</v>
      </c>
      <c r="AH16" s="1129">
        <f t="shared" si="3"/>
        <v>0</v>
      </c>
      <c r="AI16" s="1130">
        <f t="shared" si="3"/>
        <v>0</v>
      </c>
      <c r="AJ16" s="1009">
        <f t="shared" ref="AJ16:AJ17" si="4">AE16-SUM(AF16:AI16)</f>
        <v>0</v>
      </c>
    </row>
    <row r="17" spans="1:36" outlineLevel="1" x14ac:dyDescent="0.35">
      <c r="A17" s="406" t="s">
        <v>2144</v>
      </c>
      <c r="B17" s="406"/>
      <c r="C17" s="406"/>
      <c r="D17" s="406"/>
      <c r="E17" s="406"/>
      <c r="F17" s="3"/>
      <c r="G17" s="310">
        <f>'13A.)TODM_RateDesignSummary'!D20</f>
        <v>7.9000000000000008E-3</v>
      </c>
      <c r="H17" s="169">
        <f>J168</f>
        <v>7.9000000000000008E-3</v>
      </c>
      <c r="I17" s="3"/>
      <c r="J17" s="33" t="s">
        <v>133</v>
      </c>
      <c r="L17" s="245">
        <f>'[2]6B.)RateChgAllocation'!$N$42</f>
        <v>3747119</v>
      </c>
      <c r="M17" s="701">
        <f>ROUND(L17/L$9,0)</f>
        <v>3706056</v>
      </c>
      <c r="P17" s="170" t="s">
        <v>112</v>
      </c>
      <c r="Q17" s="157" t="str">
        <f>Q$7</f>
        <v>D2</v>
      </c>
      <c r="R17" s="157" t="str">
        <f>R$7</f>
        <v>8-10</v>
      </c>
      <c r="S17" s="156"/>
      <c r="T17" s="159" t="str">
        <f>T$7</f>
        <v>Off Peak</v>
      </c>
      <c r="U17" s="156"/>
      <c r="V17" s="367" t="s">
        <v>644</v>
      </c>
      <c r="W17" s="387">
        <f>'[1]D4.)RateIII_RateDevelopment'!$D$33</f>
        <v>0</v>
      </c>
      <c r="X17" s="387">
        <f>'[1]D4.)RateIII_RateDevelopment'!$D$55</f>
        <v>0</v>
      </c>
      <c r="Y17" s="367" t="s">
        <v>445</v>
      </c>
      <c r="Z17" s="1003">
        <f>'[1]D4.)RateIII_RateDevelopment'!$D$29</f>
        <v>0</v>
      </c>
      <c r="AA17" s="387">
        <f>'[1]D4.)RateIII_RateDevelopment'!$D$51</f>
        <v>0</v>
      </c>
      <c r="AB17" s="1" t="str">
        <f>P17</f>
        <v>Summer (HT)</v>
      </c>
      <c r="AD17" s="1142" t="s">
        <v>2210</v>
      </c>
      <c r="AE17" s="1167">
        <f>AE7+AE12</f>
        <v>3276</v>
      </c>
      <c r="AF17" s="1131">
        <f t="shared" si="3"/>
        <v>1092</v>
      </c>
      <c r="AG17" s="1131">
        <f t="shared" si="3"/>
        <v>2184</v>
      </c>
      <c r="AH17" s="1131">
        <f t="shared" si="3"/>
        <v>0</v>
      </c>
      <c r="AI17" s="1132">
        <f t="shared" si="3"/>
        <v>0</v>
      </c>
      <c r="AJ17" s="1009">
        <f t="shared" si="4"/>
        <v>0</v>
      </c>
    </row>
    <row r="18" spans="1:36" ht="15" outlineLevel="1" thickBot="1" x14ac:dyDescent="0.4">
      <c r="A18" s="406" t="s">
        <v>2145</v>
      </c>
      <c r="B18" s="406"/>
      <c r="C18" s="406"/>
      <c r="D18" s="406"/>
      <c r="E18" s="406"/>
      <c r="F18" s="3"/>
      <c r="G18" s="310">
        <f>'13A.)TODM_RateDesignSummary'!D21</f>
        <v>7.9000000000000008E-3</v>
      </c>
      <c r="H18" s="169">
        <f>H14</f>
        <v>7.9000000000000008E-3</v>
      </c>
      <c r="I18" s="3"/>
      <c r="J18" s="33" t="s">
        <v>738</v>
      </c>
      <c r="L18" s="701">
        <f>'[2]6B.)RateChgAllocation'!$J$42</f>
        <v>148521178</v>
      </c>
      <c r="M18" s="701"/>
      <c r="P18" s="168" t="s">
        <v>112</v>
      </c>
      <c r="Q18" s="154" t="str">
        <f>Q8</f>
        <v>D3</v>
      </c>
      <c r="R18" s="154" t="str">
        <f>R8</f>
        <v>All Day</v>
      </c>
      <c r="S18" s="477"/>
      <c r="T18" s="453"/>
      <c r="U18" s="477"/>
      <c r="V18" s="367" t="s">
        <v>645</v>
      </c>
      <c r="W18" s="477"/>
      <c r="X18" s="477"/>
      <c r="Y18" s="367"/>
      <c r="Z18" s="483"/>
      <c r="AA18" s="477"/>
      <c r="AB18" s="1"/>
      <c r="AD18" s="406"/>
      <c r="AE18" s="1009">
        <f>AE16+AE17-Q9-Q14-Q19-Q24</f>
        <v>0</v>
      </c>
      <c r="AF18" s="406"/>
      <c r="AG18" s="406"/>
      <c r="AH18" s="406"/>
      <c r="AI18" s="406"/>
      <c r="AJ18" s="406"/>
    </row>
    <row r="19" spans="1:36" ht="15.5" outlineLevel="1" thickTop="1" thickBot="1" x14ac:dyDescent="0.4">
      <c r="A19" s="406" t="s">
        <v>2146</v>
      </c>
      <c r="B19" s="406"/>
      <c r="C19" s="406"/>
      <c r="D19" s="406"/>
      <c r="E19" s="406"/>
      <c r="F19" s="3"/>
      <c r="G19" s="310">
        <f>'13A.)TODM_RateDesignSummary'!D22</f>
        <v>7.9000000000000008E-3</v>
      </c>
      <c r="H19" s="169">
        <f t="shared" ref="H19:H21" si="5">H15</f>
        <v>7.9000000000000008E-3</v>
      </c>
      <c r="I19" s="3"/>
      <c r="J19" s="33" t="s">
        <v>123</v>
      </c>
      <c r="L19" s="245">
        <f>'[2]6B.)RateChgAllocation'!$M$42</f>
        <v>0</v>
      </c>
      <c r="M19" s="701">
        <f>ROUND(L19/L$9,0)</f>
        <v>0</v>
      </c>
      <c r="P19" s="1158" t="s">
        <v>2207</v>
      </c>
      <c r="Q19" s="1161">
        <f>W20+X20</f>
        <v>0</v>
      </c>
      <c r="S19" s="915">
        <f>W19+X19</f>
        <v>0</v>
      </c>
      <c r="U19" s="915">
        <f>Z19+AA19</f>
        <v>0</v>
      </c>
      <c r="V19" s="367"/>
      <c r="W19" s="761">
        <f>'[1]D4.)RateIII_RateDevelopment'!$D$31</f>
        <v>0</v>
      </c>
      <c r="X19" s="761">
        <f>'[1]D4.)RateIII_RateDevelopment'!$D$53</f>
        <v>0</v>
      </c>
      <c r="Y19" s="367"/>
      <c r="Z19" s="1004">
        <f>'[1]D4.)RateIII_RateDevelopment'!$D$27</f>
        <v>0</v>
      </c>
      <c r="AA19" s="1005">
        <f>'[1]D4.)RateIII_RateDevelopment'!$D$49</f>
        <v>0</v>
      </c>
      <c r="AB19" s="1"/>
    </row>
    <row r="20" spans="1:36" ht="15.5" outlineLevel="1" thickTop="1" thickBot="1" x14ac:dyDescent="0.4">
      <c r="A20" s="406" t="s">
        <v>2147</v>
      </c>
      <c r="B20" s="406"/>
      <c r="C20" s="406"/>
      <c r="D20" s="406"/>
      <c r="E20" s="406"/>
      <c r="F20" s="3"/>
      <c r="G20" s="310">
        <f>'13A.)TODM_RateDesignSummary'!D23</f>
        <v>7.9000000000000008E-3</v>
      </c>
      <c r="H20" s="169">
        <f t="shared" si="5"/>
        <v>7.9000000000000008E-3</v>
      </c>
      <c r="I20" s="3"/>
      <c r="J20" s="33" t="s">
        <v>750</v>
      </c>
      <c r="L20" s="701">
        <f>'[2]4E-1.)HY_TODMRatePxOut(SC8)'!$Y$80</f>
        <v>1316606</v>
      </c>
      <c r="M20" s="245">
        <f>'[2]4E-1.)HY_TODMRatePxOut(SC8)'!$W$80</f>
        <v>1316606</v>
      </c>
      <c r="V20" s="1165" t="s">
        <v>2207</v>
      </c>
      <c r="W20" s="1294">
        <f>'11C.)Demand_RateDesign_SC8_I'!T19</f>
        <v>0</v>
      </c>
      <c r="X20" s="1295">
        <f>'[1]B1.)HYAdjSalesDatabase'!$T$245</f>
        <v>0</v>
      </c>
      <c r="Y20" s="367"/>
      <c r="Z20" s="482"/>
      <c r="AA20" s="472"/>
      <c r="AB20" s="1"/>
    </row>
    <row r="21" spans="1:36" ht="15.5" outlineLevel="1" thickTop="1" thickBot="1" x14ac:dyDescent="0.4">
      <c r="A21" s="406" t="s">
        <v>2148</v>
      </c>
      <c r="B21" s="406"/>
      <c r="C21" s="406"/>
      <c r="D21" s="406"/>
      <c r="E21" s="406"/>
      <c r="F21" s="3"/>
      <c r="G21" s="311">
        <f>'13A.)TODM_RateDesignSummary'!D24</f>
        <v>7.9000000000000008E-3</v>
      </c>
      <c r="H21" s="167">
        <f t="shared" si="5"/>
        <v>7.9000000000000008E-3</v>
      </c>
      <c r="I21" s="3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161"/>
      <c r="V21" s="367" t="s">
        <v>643</v>
      </c>
      <c r="W21" s="386">
        <f>'[1]D4.)RateIII_RateDevelopment'!$I$32</f>
        <v>0</v>
      </c>
      <c r="X21" s="386">
        <f>'[1]D4.)RateIII_RateDevelopment'!$I$54</f>
        <v>0</v>
      </c>
      <c r="Y21" s="367" t="s">
        <v>1393</v>
      </c>
      <c r="Z21" s="1002">
        <f>'[1]D4.)RateIII_RateDevelopment'!$I$28</f>
        <v>0</v>
      </c>
      <c r="AA21" s="386">
        <f>'[1]D4.)RateIII_RateDevelopment'!$I$50</f>
        <v>0</v>
      </c>
      <c r="AB21" s="1" t="str">
        <f>P21</f>
        <v>Winter (HT)</v>
      </c>
    </row>
    <row r="22" spans="1:36" ht="15.5" outlineLevel="1" thickTop="1" thickBot="1" x14ac:dyDescent="0.4">
      <c r="F22" s="3"/>
      <c r="J22" s="33" t="str">
        <f>CONCATENATE(A4," - T&amp;D Target:")</f>
        <v>SC8 Rate III - T&amp;D Target:</v>
      </c>
      <c r="L22" s="701">
        <f>'[2]6A.)RateChange'!$BN$42</f>
        <v>152299351.30661654</v>
      </c>
      <c r="M22" s="372"/>
      <c r="P22" s="160" t="s">
        <v>111</v>
      </c>
      <c r="Q22" s="157" t="str">
        <f>Q$7</f>
        <v>D2</v>
      </c>
      <c r="R22" s="157" t="str">
        <f>R$7</f>
        <v>8-10</v>
      </c>
      <c r="S22" s="156"/>
      <c r="T22" s="159" t="str">
        <f>T$7</f>
        <v>Off Peak</v>
      </c>
      <c r="U22" s="156"/>
      <c r="V22" s="367" t="s">
        <v>644</v>
      </c>
      <c r="W22" s="387">
        <f>'[1]D4.)RateIII_RateDevelopment'!$I$33</f>
        <v>0</v>
      </c>
      <c r="X22" s="387">
        <f>'[1]D4.)RateIII_RateDevelopment'!$I$55</f>
        <v>0</v>
      </c>
      <c r="Y22" s="367" t="s">
        <v>445</v>
      </c>
      <c r="Z22" s="1003">
        <f>'[1]D4.)RateIII_RateDevelopment'!$I$29</f>
        <v>0</v>
      </c>
      <c r="AA22" s="387">
        <f>'[1]D4.)RateIII_RateDevelopment'!$I$51</f>
        <v>0</v>
      </c>
      <c r="AB22" s="1" t="str">
        <f>P22</f>
        <v>Winter (HT)</v>
      </c>
    </row>
    <row r="23" spans="1:36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477"/>
      <c r="T23" s="453"/>
      <c r="U23" s="477"/>
      <c r="V23" s="367" t="s">
        <v>645</v>
      </c>
      <c r="W23" s="477"/>
      <c r="X23" s="477"/>
      <c r="Y23" s="367"/>
      <c r="Z23" s="483"/>
      <c r="AA23" s="477"/>
      <c r="AB23" s="1"/>
    </row>
    <row r="24" spans="1:36" ht="15.5" outlineLevel="1" thickTop="1" thickBot="1" x14ac:dyDescent="0.4">
      <c r="A24" s="1174" t="s">
        <v>2229</v>
      </c>
      <c r="B24" s="1175"/>
      <c r="C24" s="1176"/>
      <c r="H24" s="1170">
        <f>'7C.)CustCharge_DemandClasses'!$I$15</f>
        <v>12.45</v>
      </c>
      <c r="J24" s="474" t="s">
        <v>698</v>
      </c>
      <c r="L24" s="397"/>
      <c r="M24" s="465"/>
      <c r="P24" s="1158" t="s">
        <v>2207</v>
      </c>
      <c r="Q24" s="1161">
        <f>W25+X25</f>
        <v>0</v>
      </c>
      <c r="S24" s="915">
        <f>W24+X24</f>
        <v>0</v>
      </c>
      <c r="U24" s="915">
        <f>Z24+AA24</f>
        <v>0</v>
      </c>
      <c r="V24" s="367"/>
      <c r="W24" s="761">
        <f>'[1]D4.)RateIII_RateDevelopment'!$I$31</f>
        <v>0</v>
      </c>
      <c r="X24" s="761">
        <f>'[1]D4.)RateIII_RateDevelopment'!$I$53</f>
        <v>0</v>
      </c>
      <c r="Z24" s="1004">
        <f>'[1]D4.)RateIII_RateDevelopment'!$I$27</f>
        <v>0</v>
      </c>
      <c r="AA24" s="1005">
        <f>'[1]D4.)RateIII_RateDevelopment'!$I$49</f>
        <v>0</v>
      </c>
      <c r="AB24" s="1"/>
    </row>
    <row r="25" spans="1:36" ht="15.5" outlineLevel="1" thickTop="1" thickBot="1" x14ac:dyDescent="0.4">
      <c r="J25" s="474" t="s">
        <v>697</v>
      </c>
      <c r="L25" s="397"/>
      <c r="M25" s="465"/>
      <c r="S25" s="150"/>
      <c r="V25" s="1165" t="s">
        <v>2207</v>
      </c>
      <c r="W25" s="1294">
        <f>'11C.)Demand_RateDesign_SC8_I'!T24</f>
        <v>0</v>
      </c>
      <c r="X25" s="1295">
        <f>'[1]B1.)HYAdjSalesDatabase'!$U$245</f>
        <v>0</v>
      </c>
      <c r="Z25" s="482"/>
      <c r="AA25" s="472"/>
    </row>
    <row r="26" spans="1:36" ht="15.5" outlineLevel="1" thickTop="1" thickBot="1" x14ac:dyDescent="0.4">
      <c r="J26" s="33" t="s">
        <v>699</v>
      </c>
      <c r="L26" s="701">
        <f>'[1]F3.)Standby'!$E$27</f>
        <v>31054.306616539892</v>
      </c>
      <c r="M26" s="465"/>
      <c r="R26" t="s">
        <v>205</v>
      </c>
      <c r="S26" s="151">
        <f>S9+S14+S19+S24</f>
        <v>3974559.3</v>
      </c>
      <c r="U26" s="151">
        <f>U9+U14+U19+U24</f>
        <v>1680754868.01</v>
      </c>
      <c r="W26" s="685">
        <f t="shared" ref="W26:X26" si="6">W9+W14+W19+W24</f>
        <v>3599145.3</v>
      </c>
      <c r="X26" s="685">
        <f t="shared" si="6"/>
        <v>375414</v>
      </c>
      <c r="Z26" s="151">
        <f t="shared" ref="Z26:AA26" si="7">Z9+Z14+Z19+Z24</f>
        <v>1514095855.01</v>
      </c>
      <c r="AA26" s="151">
        <f t="shared" si="7"/>
        <v>166659013</v>
      </c>
    </row>
    <row r="27" spans="1:36" ht="15" outlineLevel="1" thickTop="1" x14ac:dyDescent="0.35"/>
    <row r="28" spans="1:36" s="148" customFormat="1" outlineLevel="1" x14ac:dyDescent="0.35">
      <c r="A28" s="999"/>
    </row>
    <row r="29" spans="1:36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I29" s="1"/>
      <c r="J29" s="1"/>
      <c r="K29" s="1"/>
      <c r="L29" s="1178" t="s">
        <v>2212</v>
      </c>
      <c r="M29" s="1169" t="s">
        <v>2240</v>
      </c>
      <c r="N29" s="1"/>
    </row>
    <row r="30" spans="1:36" x14ac:dyDescent="0.35">
      <c r="A30" s="407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I30" s="1"/>
      <c r="J30" s="1"/>
      <c r="K30" s="1"/>
      <c r="L30" s="1165" t="s">
        <v>2214</v>
      </c>
      <c r="M30" s="1157">
        <f>H24</f>
        <v>12.45</v>
      </c>
      <c r="N30" s="1"/>
    </row>
    <row r="31" spans="1:36" x14ac:dyDescent="0.35">
      <c r="A31" s="406"/>
      <c r="B31" s="41" t="str">
        <f>$A$4</f>
        <v>SC8 Rate III</v>
      </c>
      <c r="C31" s="133" t="s">
        <v>662</v>
      </c>
      <c r="D31" s="133"/>
      <c r="E31" s="133"/>
      <c r="F31" s="133"/>
      <c r="I31" s="1"/>
      <c r="J31" s="1"/>
      <c r="K31" s="1"/>
      <c r="L31" s="1158"/>
      <c r="M31" s="1158"/>
      <c r="N31" s="1"/>
      <c r="P31"/>
    </row>
    <row r="32" spans="1:36" x14ac:dyDescent="0.35">
      <c r="A32" s="406"/>
      <c r="C32" s="464" t="s">
        <v>1468</v>
      </c>
      <c r="I32" s="370">
        <f>L17</f>
        <v>3747119</v>
      </c>
      <c r="J32" s="1121"/>
      <c r="K32" s="1"/>
      <c r="L32" s="1165" t="s">
        <v>2215</v>
      </c>
      <c r="M32" s="1159">
        <f>AF16+AF17</f>
        <v>7507</v>
      </c>
      <c r="N32" s="1"/>
      <c r="P32"/>
    </row>
    <row r="33" spans="1:16" x14ac:dyDescent="0.35">
      <c r="A33" s="406"/>
      <c r="C33" t="s">
        <v>2219</v>
      </c>
      <c r="I33" s="1156">
        <f>I32-M38</f>
        <v>3463815</v>
      </c>
      <c r="J33" s="1121" t="s">
        <v>79</v>
      </c>
      <c r="K33" s="1"/>
      <c r="L33" s="1165" t="s">
        <v>2216</v>
      </c>
      <c r="M33" s="1159">
        <f>AG16+AG17</f>
        <v>14999</v>
      </c>
      <c r="N33" s="1"/>
      <c r="P33"/>
    </row>
    <row r="34" spans="1:16" x14ac:dyDescent="0.35">
      <c r="A34" s="406"/>
      <c r="C34" t="s">
        <v>696</v>
      </c>
      <c r="H34" s="964">
        <f>L14</f>
        <v>2.522425E-2</v>
      </c>
      <c r="I34" s="1"/>
      <c r="J34" s="1121" t="s">
        <v>78</v>
      </c>
      <c r="K34" s="1"/>
      <c r="L34" s="1158"/>
      <c r="M34" s="1158"/>
      <c r="N34" s="1"/>
      <c r="P34"/>
    </row>
    <row r="35" spans="1:16" x14ac:dyDescent="0.35">
      <c r="A35" s="406"/>
      <c r="H35" s="467"/>
      <c r="I35" s="1"/>
      <c r="J35" s="1014"/>
      <c r="K35" s="1"/>
      <c r="L35" s="1165" t="s">
        <v>2217</v>
      </c>
      <c r="M35" s="1159">
        <f>AH16+AH17</f>
        <v>0</v>
      </c>
      <c r="N35" s="1"/>
      <c r="P35"/>
    </row>
    <row r="36" spans="1:16" x14ac:dyDescent="0.35">
      <c r="A36" s="406"/>
      <c r="C36" t="s">
        <v>703</v>
      </c>
      <c r="G36" s="135"/>
      <c r="H36" s="135" t="s">
        <v>702</v>
      </c>
      <c r="I36" s="370"/>
      <c r="J36" s="1014"/>
      <c r="K36" s="1"/>
      <c r="L36" s="1165" t="s">
        <v>2218</v>
      </c>
      <c r="M36" s="1159">
        <f>AI16+AI17</f>
        <v>0</v>
      </c>
      <c r="N36" s="1"/>
      <c r="P36"/>
    </row>
    <row r="37" spans="1:16" x14ac:dyDescent="0.35">
      <c r="A37" s="406"/>
      <c r="C37" t="s">
        <v>704</v>
      </c>
      <c r="G37" s="819">
        <f>L24</f>
        <v>0</v>
      </c>
      <c r="H37" s="819">
        <f>ROUND(G37*H$34,0)</f>
        <v>0</v>
      </c>
      <c r="I37" s="370"/>
      <c r="J37" s="1121" t="s">
        <v>1878</v>
      </c>
      <c r="K37" s="1"/>
      <c r="L37" s="1158"/>
      <c r="M37" s="1159"/>
      <c r="N37" s="1"/>
      <c r="P37"/>
    </row>
    <row r="38" spans="1:16" x14ac:dyDescent="0.35">
      <c r="A38" s="406"/>
      <c r="C38" t="s">
        <v>705</v>
      </c>
      <c r="G38" s="819">
        <f>L25</f>
        <v>0</v>
      </c>
      <c r="H38" s="819">
        <f>ROUND(G38*H$34,0)</f>
        <v>0</v>
      </c>
      <c r="I38" s="370"/>
      <c r="J38" s="1121" t="s">
        <v>1879</v>
      </c>
      <c r="K38" s="1"/>
      <c r="L38" s="1165" t="s">
        <v>2282</v>
      </c>
      <c r="M38" s="1160">
        <f>ROUND((M32+M33+M35+M36)*M30*L9,0)</f>
        <v>283304</v>
      </c>
      <c r="N38" s="1"/>
      <c r="P38"/>
    </row>
    <row r="39" spans="1:16" x14ac:dyDescent="0.35">
      <c r="A39" s="406"/>
      <c r="C39" t="s">
        <v>721</v>
      </c>
      <c r="G39" s="819">
        <f>L26</f>
        <v>31054.306616539892</v>
      </c>
      <c r="H39" s="903">
        <f>ROUND(G39*H$34,0)</f>
        <v>783</v>
      </c>
      <c r="I39" s="1"/>
      <c r="J39" s="1121" t="s">
        <v>1880</v>
      </c>
      <c r="K39" s="1"/>
      <c r="L39" s="1"/>
      <c r="M39" s="1"/>
      <c r="N39" s="1"/>
      <c r="P39"/>
    </row>
    <row r="40" spans="1:16" x14ac:dyDescent="0.35">
      <c r="A40" s="406"/>
      <c r="C40" t="s">
        <v>726</v>
      </c>
      <c r="G40" s="130"/>
      <c r="I40" s="1214">
        <f>SUM(H37:H39)</f>
        <v>783</v>
      </c>
      <c r="J40" s="1014" t="s">
        <v>1881</v>
      </c>
      <c r="K40" s="1"/>
      <c r="L40" s="1"/>
      <c r="M40" s="1"/>
      <c r="N40" s="1"/>
      <c r="P40"/>
    </row>
    <row r="41" spans="1:16" x14ac:dyDescent="0.35">
      <c r="A41" s="406"/>
      <c r="C41" t="s">
        <v>722</v>
      </c>
      <c r="G41" s="130"/>
      <c r="H41" s="130"/>
      <c r="I41" s="130">
        <f>I33-I40</f>
        <v>3463032</v>
      </c>
      <c r="J41" s="136" t="s">
        <v>1979</v>
      </c>
      <c r="P41"/>
    </row>
    <row r="42" spans="1:16" x14ac:dyDescent="0.35">
      <c r="A42" s="406"/>
      <c r="G42" s="130"/>
      <c r="H42" s="130"/>
      <c r="I42" s="130"/>
      <c r="P42"/>
    </row>
    <row r="43" spans="1:16" x14ac:dyDescent="0.35">
      <c r="A43" s="406"/>
      <c r="C43" t="s">
        <v>719</v>
      </c>
      <c r="I43" s="130">
        <f>L18</f>
        <v>148521178</v>
      </c>
      <c r="J43" s="136" t="s">
        <v>1583</v>
      </c>
      <c r="P43"/>
    </row>
    <row r="44" spans="1:16" x14ac:dyDescent="0.35">
      <c r="A44" s="406"/>
      <c r="C44" t="s">
        <v>723</v>
      </c>
      <c r="I44" s="130">
        <f>I120+K148</f>
        <v>13277963</v>
      </c>
      <c r="J44" s="1014" t="s">
        <v>2038</v>
      </c>
      <c r="P44"/>
    </row>
    <row r="45" spans="1:16" x14ac:dyDescent="0.35">
      <c r="A45" s="406"/>
      <c r="C45" t="s">
        <v>724</v>
      </c>
      <c r="I45" s="140">
        <f>I41+I43-I44</f>
        <v>138706247</v>
      </c>
      <c r="J45" s="1014" t="s">
        <v>1980</v>
      </c>
      <c r="P45"/>
    </row>
    <row r="46" spans="1:16" ht="15" thickBot="1" x14ac:dyDescent="0.4">
      <c r="A46" s="406"/>
      <c r="C46" s="466" t="s">
        <v>701</v>
      </c>
      <c r="H46" s="822">
        <f>L9</f>
        <v>1.01108</v>
      </c>
      <c r="I46" s="345"/>
      <c r="J46" s="136" t="s">
        <v>1302</v>
      </c>
      <c r="P46"/>
    </row>
    <row r="47" spans="1:16" ht="15.5" thickTop="1" thickBot="1" x14ac:dyDescent="0.4">
      <c r="A47" s="406"/>
      <c r="C47" t="s">
        <v>725</v>
      </c>
      <c r="I47" s="991">
        <f>I45/H46</f>
        <v>137186223.64204612</v>
      </c>
      <c r="J47" s="136" t="s">
        <v>1981</v>
      </c>
      <c r="P47"/>
    </row>
    <row r="48" spans="1:16" ht="15" thickTop="1" x14ac:dyDescent="0.35">
      <c r="A48" s="406"/>
      <c r="I48" s="345"/>
      <c r="P48"/>
    </row>
    <row r="49" spans="1:16" x14ac:dyDescent="0.35">
      <c r="A49" s="406"/>
      <c r="B49" s="480" t="s">
        <v>734</v>
      </c>
      <c r="C49" s="380" t="s">
        <v>731</v>
      </c>
      <c r="P49"/>
    </row>
    <row r="50" spans="1:16" x14ac:dyDescent="0.35">
      <c r="A50" s="406"/>
      <c r="B50" s="480"/>
      <c r="C50" s="380"/>
      <c r="F50" s="135" t="s">
        <v>735</v>
      </c>
      <c r="G50" s="135" t="s">
        <v>732</v>
      </c>
      <c r="H50" s="135" t="s">
        <v>733</v>
      </c>
      <c r="P50"/>
    </row>
    <row r="51" spans="1:16" x14ac:dyDescent="0.35">
      <c r="A51" s="406"/>
      <c r="C51" s="3" t="s">
        <v>196</v>
      </c>
      <c r="D51" s="3" t="s">
        <v>42</v>
      </c>
      <c r="F51" s="911">
        <f>H66</f>
        <v>9.02</v>
      </c>
      <c r="G51" s="1006">
        <f>W6+W16</f>
        <v>1358669.02</v>
      </c>
      <c r="H51" s="1006">
        <f>X6+X16</f>
        <v>147810</v>
      </c>
      <c r="I51" s="134">
        <f>ROUND(F51*(G51+H51),0)</f>
        <v>13588441</v>
      </c>
      <c r="J51" s="136" t="s">
        <v>1982</v>
      </c>
      <c r="P51"/>
    </row>
    <row r="52" spans="1:16" x14ac:dyDescent="0.35">
      <c r="A52" s="406"/>
      <c r="C52" s="3"/>
      <c r="D52" s="3" t="s">
        <v>40</v>
      </c>
      <c r="F52" s="911">
        <f>J66</f>
        <v>0</v>
      </c>
      <c r="G52" s="1006">
        <f>W11+W21</f>
        <v>0</v>
      </c>
      <c r="H52" s="1006">
        <f>X11+X21</f>
        <v>0</v>
      </c>
      <c r="I52" s="134">
        <f t="shared" ref="I52:I56" si="8">ROUND(F52*(G52+H52),0)</f>
        <v>0</v>
      </c>
      <c r="P52"/>
    </row>
    <row r="53" spans="1:16" x14ac:dyDescent="0.35">
      <c r="A53" s="406"/>
      <c r="C53" s="3" t="s">
        <v>202</v>
      </c>
      <c r="D53" s="3" t="s">
        <v>42</v>
      </c>
      <c r="F53" s="911">
        <f>H67</f>
        <v>21.52</v>
      </c>
      <c r="G53" s="1007">
        <f>W7+W17</f>
        <v>1505420.89</v>
      </c>
      <c r="H53" s="1007">
        <f>X7+X17</f>
        <v>156215</v>
      </c>
      <c r="I53" s="134">
        <f t="shared" si="8"/>
        <v>35758404</v>
      </c>
      <c r="J53" s="136" t="s">
        <v>1983</v>
      </c>
      <c r="P53"/>
    </row>
    <row r="54" spans="1:16" x14ac:dyDescent="0.35">
      <c r="A54" s="406"/>
      <c r="C54" s="3"/>
      <c r="D54" s="3" t="s">
        <v>40</v>
      </c>
      <c r="F54" s="911">
        <f>J67</f>
        <v>15.9</v>
      </c>
      <c r="G54" s="1006">
        <f>W12+W22</f>
        <v>2029382.22</v>
      </c>
      <c r="H54" s="1006">
        <f>X12+X22</f>
        <v>215552</v>
      </c>
      <c r="I54" s="134">
        <f t="shared" si="8"/>
        <v>35694454</v>
      </c>
      <c r="J54" s="136" t="s">
        <v>1984</v>
      </c>
      <c r="P54"/>
    </row>
    <row r="55" spans="1:16" x14ac:dyDescent="0.35">
      <c r="A55" s="406"/>
      <c r="C55" s="3" t="s">
        <v>198</v>
      </c>
      <c r="D55" s="3" t="s">
        <v>42</v>
      </c>
      <c r="F55" s="911">
        <f>H68</f>
        <v>19.82</v>
      </c>
      <c r="G55" s="1006">
        <f>W8+W18</f>
        <v>1515483.7</v>
      </c>
      <c r="H55" s="1006">
        <f>X8+X18</f>
        <v>157028</v>
      </c>
      <c r="I55" s="134">
        <f t="shared" si="8"/>
        <v>33149182</v>
      </c>
      <c r="J55" s="136" t="s">
        <v>1985</v>
      </c>
      <c r="P55"/>
    </row>
    <row r="56" spans="1:16" ht="15" thickBot="1" x14ac:dyDescent="0.4">
      <c r="A56" s="406"/>
      <c r="C56" s="3"/>
      <c r="D56" s="3" t="s">
        <v>40</v>
      </c>
      <c r="F56" s="911">
        <f>J68</f>
        <v>6.3100000000000005</v>
      </c>
      <c r="G56" s="1006">
        <f>W13+W23</f>
        <v>2083661.6</v>
      </c>
      <c r="H56" s="1006">
        <f>X13+X23</f>
        <v>218386</v>
      </c>
      <c r="I56" s="134">
        <f t="shared" si="8"/>
        <v>14525920</v>
      </c>
      <c r="J56" s="136" t="s">
        <v>1986</v>
      </c>
      <c r="P56"/>
    </row>
    <row r="57" spans="1:16" ht="15.5" thickTop="1" thickBot="1" x14ac:dyDescent="0.4">
      <c r="A57" s="406"/>
      <c r="C57" t="s">
        <v>736</v>
      </c>
      <c r="I57" s="128">
        <f>SUM(I51:I56)</f>
        <v>132716401</v>
      </c>
      <c r="J57" s="136" t="s">
        <v>1987</v>
      </c>
      <c r="P57"/>
    </row>
    <row r="58" spans="1:16" ht="15" thickTop="1" x14ac:dyDescent="0.35">
      <c r="A58" s="406"/>
      <c r="P58"/>
    </row>
    <row r="59" spans="1:16" x14ac:dyDescent="0.35">
      <c r="A59" s="406"/>
      <c r="C59" s="75" t="s">
        <v>658</v>
      </c>
      <c r="D59" s="75"/>
      <c r="E59" s="75"/>
      <c r="F59" s="75"/>
      <c r="I59" s="964">
        <f>ROUND(I47/I57-1,8)</f>
        <v>3.3679500000000001E-2</v>
      </c>
      <c r="J59" s="136" t="s">
        <v>1988</v>
      </c>
      <c r="P59"/>
    </row>
    <row r="60" spans="1:16" x14ac:dyDescent="0.35">
      <c r="A60" s="406"/>
      <c r="P60"/>
    </row>
    <row r="61" spans="1:16" x14ac:dyDescent="0.35">
      <c r="A61" s="406"/>
      <c r="P61"/>
    </row>
    <row r="62" spans="1:16" x14ac:dyDescent="0.35">
      <c r="A62" s="858" t="s">
        <v>666</v>
      </c>
      <c r="P62"/>
    </row>
    <row r="63" spans="1:16" ht="15" thickBot="1" x14ac:dyDescent="0.4">
      <c r="A63" s="406"/>
      <c r="P63"/>
    </row>
    <row r="64" spans="1:16" ht="15.5" thickTop="1" thickBot="1" x14ac:dyDescent="0.4">
      <c r="A64" s="406"/>
      <c r="B64" s="41" t="str">
        <f>$A$4</f>
        <v>SC8 Rate III</v>
      </c>
      <c r="C64" s="3"/>
      <c r="D64" s="3"/>
      <c r="E64" s="3"/>
      <c r="F64" s="3"/>
      <c r="G64" s="3"/>
      <c r="H64" s="1316" t="s">
        <v>82</v>
      </c>
      <c r="I64" s="1317"/>
      <c r="J64" s="1318"/>
      <c r="K64" s="3"/>
      <c r="L64" s="1307" t="s">
        <v>81</v>
      </c>
      <c r="M64" s="1308"/>
      <c r="N64" s="1309"/>
    </row>
    <row r="65" spans="1:21" ht="15" thickTop="1" x14ac:dyDescent="0.35">
      <c r="A65" s="406"/>
      <c r="B65" s="3"/>
      <c r="C65" s="3"/>
      <c r="E65" s="30" t="s">
        <v>80</v>
      </c>
      <c r="F65" s="3"/>
      <c r="G65" s="3"/>
      <c r="H65" s="30" t="s">
        <v>42</v>
      </c>
      <c r="I65" s="30"/>
      <c r="J65" s="30" t="s">
        <v>40</v>
      </c>
      <c r="K65" s="3"/>
      <c r="L65" s="30" t="s">
        <v>42</v>
      </c>
      <c r="M65" s="86"/>
      <c r="N65" s="30" t="s">
        <v>40</v>
      </c>
    </row>
    <row r="66" spans="1:21" x14ac:dyDescent="0.35">
      <c r="B66" s="3" t="s">
        <v>656</v>
      </c>
      <c r="C66" s="3"/>
      <c r="D66" s="121" t="str">
        <f>Q6</f>
        <v>D1</v>
      </c>
      <c r="E66" s="122"/>
      <c r="F66" s="121" t="str">
        <f>R6</f>
        <v>8-6</v>
      </c>
      <c r="G66" s="123"/>
      <c r="H66" s="35">
        <f>G11</f>
        <v>9.02</v>
      </c>
      <c r="I66" s="136" t="s">
        <v>165</v>
      </c>
      <c r="J66" s="35">
        <f>G8</f>
        <v>0</v>
      </c>
      <c r="K66" s="3"/>
      <c r="L66" s="27">
        <f>H66-$J$67</f>
        <v>-6.8800000000000008</v>
      </c>
      <c r="M66" s="1014" t="s">
        <v>1885</v>
      </c>
      <c r="N66" s="3"/>
    </row>
    <row r="67" spans="1:21" x14ac:dyDescent="0.35">
      <c r="B67" s="3"/>
      <c r="C67" s="3"/>
      <c r="D67" s="121" t="str">
        <f>Q7</f>
        <v>D2</v>
      </c>
      <c r="E67" s="122"/>
      <c r="F67" s="121" t="str">
        <f>R7</f>
        <v>8-10</v>
      </c>
      <c r="G67" s="36"/>
      <c r="H67" s="35">
        <f>G12</f>
        <v>21.52</v>
      </c>
      <c r="I67" s="136" t="s">
        <v>166</v>
      </c>
      <c r="J67" s="35">
        <f>G9</f>
        <v>15.9</v>
      </c>
      <c r="K67" s="136" t="s">
        <v>101</v>
      </c>
      <c r="L67" s="27">
        <f>H67-$J$67</f>
        <v>5.6199999999999992</v>
      </c>
      <c r="M67" s="1014" t="s">
        <v>1886</v>
      </c>
      <c r="N67" s="112"/>
      <c r="O67" s="1014" t="s">
        <v>1556</v>
      </c>
    </row>
    <row r="68" spans="1:21" x14ac:dyDescent="0.35">
      <c r="B68" s="3"/>
      <c r="C68" s="3"/>
      <c r="D68" s="121" t="str">
        <f>Q8</f>
        <v>D3</v>
      </c>
      <c r="E68" s="122"/>
      <c r="F68" s="121" t="str">
        <f>R8</f>
        <v>All Day</v>
      </c>
      <c r="G68" s="36"/>
      <c r="H68" s="35">
        <f>G13</f>
        <v>19.82</v>
      </c>
      <c r="I68" s="136" t="s">
        <v>138</v>
      </c>
      <c r="J68" s="35">
        <f>G10</f>
        <v>6.3100000000000005</v>
      </c>
      <c r="K68" s="136" t="s">
        <v>100</v>
      </c>
      <c r="L68" s="27">
        <f>H68-$J$67</f>
        <v>3.92</v>
      </c>
      <c r="M68" s="1014" t="s">
        <v>1887</v>
      </c>
      <c r="N68" s="27">
        <f>J68-$J$67</f>
        <v>-9.59</v>
      </c>
      <c r="O68" s="1014" t="s">
        <v>1888</v>
      </c>
    </row>
    <row r="69" spans="1:21" x14ac:dyDescent="0.35">
      <c r="B69" s="3"/>
      <c r="C69" s="3"/>
      <c r="D69" s="3"/>
      <c r="E69" s="123"/>
      <c r="F69" s="123"/>
      <c r="G69" s="36"/>
      <c r="H69" s="120"/>
      <c r="J69" s="120"/>
      <c r="L69" s="27"/>
      <c r="N69" s="61"/>
    </row>
    <row r="70" spans="1:21" ht="15" thickBot="1" x14ac:dyDescent="0.4">
      <c r="K70" s="100" t="s">
        <v>688</v>
      </c>
      <c r="L70" s="906">
        <f>I59</f>
        <v>3.3679500000000001E-2</v>
      </c>
      <c r="M70" s="136" t="s">
        <v>60</v>
      </c>
    </row>
    <row r="71" spans="1:21" ht="15.5" thickTop="1" thickBot="1" x14ac:dyDescent="0.4">
      <c r="B71" s="119" t="s">
        <v>77</v>
      </c>
      <c r="L71" s="1307" t="s">
        <v>76</v>
      </c>
      <c r="M71" s="1308"/>
      <c r="N71" s="1309"/>
    </row>
    <row r="72" spans="1:21" ht="15.5" thickTop="1" thickBot="1" x14ac:dyDescent="0.4">
      <c r="C72" s="41" t="str">
        <f>B64</f>
        <v>SC8 Rate III</v>
      </c>
      <c r="D72" s="41" t="str">
        <f>$B$66</f>
        <v>(HT &amp; LT)</v>
      </c>
      <c r="H72" s="118" t="s">
        <v>42</v>
      </c>
      <c r="I72" s="118" t="s">
        <v>40</v>
      </c>
      <c r="L72" s="30" t="s">
        <v>42</v>
      </c>
      <c r="M72" s="86"/>
      <c r="N72" s="30" t="s">
        <v>40</v>
      </c>
    </row>
    <row r="73" spans="1:21" x14ac:dyDescent="0.35">
      <c r="C73" s="121" t="str">
        <f>D66</f>
        <v>D1</v>
      </c>
      <c r="D73" s="121" t="str">
        <f>F66</f>
        <v>8-6</v>
      </c>
      <c r="H73" s="117" t="str">
        <f>CONCATENATE("X + ",L73)</f>
        <v>X + -7.11</v>
      </c>
      <c r="I73" s="457"/>
      <c r="L73" s="27">
        <f>ROUND(L66*(1+$L$70),2)</f>
        <v>-7.11</v>
      </c>
      <c r="M73" s="1043" t="s">
        <v>2047</v>
      </c>
    </row>
    <row r="74" spans="1:21" x14ac:dyDescent="0.35">
      <c r="C74" s="121" t="str">
        <f>D67</f>
        <v>D2</v>
      </c>
      <c r="D74" s="121" t="str">
        <f>F67</f>
        <v>8-10</v>
      </c>
      <c r="H74" s="114" t="str">
        <f>CONCATENATE("X + ",L74)</f>
        <v>X + 5.81</v>
      </c>
      <c r="I74" s="115" t="s">
        <v>32</v>
      </c>
      <c r="L74" s="27">
        <f>ROUND(L67*(1+$L$70),2)</f>
        <v>5.81</v>
      </c>
      <c r="M74" s="1043" t="s">
        <v>2048</v>
      </c>
      <c r="N74" s="112"/>
      <c r="O74" s="1014" t="s">
        <v>1556</v>
      </c>
    </row>
    <row r="75" spans="1:21" s="1" customFormat="1" ht="15" thickBot="1" x14ac:dyDescent="0.4">
      <c r="A75"/>
      <c r="C75" s="121" t="str">
        <f>D68</f>
        <v>D3</v>
      </c>
      <c r="D75" s="121" t="str">
        <f>F68</f>
        <v>All Day</v>
      </c>
      <c r="E75"/>
      <c r="F75"/>
      <c r="H75" s="111" t="str">
        <f>CONCATENATE("X + ",L75)</f>
        <v>X + 4.05</v>
      </c>
      <c r="I75" s="110" t="str">
        <f>CONCATENATE("X + ",N75)</f>
        <v>X + -9.91</v>
      </c>
      <c r="J75"/>
      <c r="K75"/>
      <c r="L75" s="27">
        <f>ROUND(L68*(1+$L$70),2)</f>
        <v>4.05</v>
      </c>
      <c r="M75" s="1043" t="s">
        <v>2049</v>
      </c>
      <c r="N75" s="27">
        <f>ROUND(N68*(1+$L$70),2)</f>
        <v>-9.91</v>
      </c>
      <c r="O75" s="1043" t="s">
        <v>2046</v>
      </c>
      <c r="Q75"/>
      <c r="R75"/>
      <c r="S75"/>
      <c r="T75"/>
      <c r="U75"/>
    </row>
    <row r="76" spans="1:21" s="1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N76"/>
      <c r="O76"/>
      <c r="Q76"/>
      <c r="R76"/>
      <c r="S76"/>
      <c r="T76"/>
      <c r="U76"/>
    </row>
    <row r="77" spans="1:21" s="1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Q77"/>
      <c r="R77"/>
      <c r="S77"/>
      <c r="T77"/>
      <c r="U77"/>
    </row>
    <row r="78" spans="1:21" s="1" customFormat="1" x14ac:dyDescent="0.35">
      <c r="A78"/>
      <c r="B78" s="334" t="s">
        <v>70</v>
      </c>
      <c r="C78"/>
      <c r="D78"/>
      <c r="E78"/>
      <c r="F78"/>
      <c r="G78"/>
      <c r="H78"/>
      <c r="I78"/>
      <c r="J78"/>
      <c r="K78"/>
      <c r="L78"/>
      <c r="M78"/>
      <c r="N78"/>
      <c r="O78"/>
      <c r="Q78"/>
      <c r="R78"/>
      <c r="S78"/>
      <c r="T78"/>
      <c r="U78"/>
    </row>
    <row r="79" spans="1:21" s="1" customFormat="1" x14ac:dyDescent="0.35">
      <c r="A79"/>
      <c r="B79" s="41" t="str">
        <f>$A$4</f>
        <v>SC8 Rate III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ht="15" thickBot="1" x14ac:dyDescent="0.4">
      <c r="A80"/>
      <c r="B80" s="70" t="s">
        <v>69</v>
      </c>
      <c r="C80" s="70"/>
      <c r="D80" s="70"/>
      <c r="E80" s="3"/>
      <c r="F80" s="3"/>
      <c r="G80" s="135" t="s">
        <v>732</v>
      </c>
      <c r="H80" s="135" t="s">
        <v>733</v>
      </c>
      <c r="I80" s="135" t="s">
        <v>737</v>
      </c>
      <c r="J80" s="3"/>
      <c r="K80" s="3"/>
      <c r="L80"/>
      <c r="M80"/>
      <c r="N80"/>
      <c r="O80"/>
      <c r="Q80"/>
      <c r="R80"/>
      <c r="S80"/>
      <c r="T80"/>
      <c r="U80"/>
    </row>
    <row r="81" spans="1:21" s="1" customFormat="1" x14ac:dyDescent="0.35">
      <c r="A81"/>
      <c r="B81" s="3"/>
      <c r="C81" s="392" t="str">
        <f>CONCATENATE(D66,": ",F66)</f>
        <v>D1: 8-6</v>
      </c>
      <c r="D81" s="3" t="s">
        <v>42</v>
      </c>
      <c r="F81" s="3"/>
      <c r="G81" s="515">
        <f>G51</f>
        <v>1358669.02</v>
      </c>
      <c r="H81" s="515">
        <f t="shared" ref="H81:H86" si="9">H51</f>
        <v>147810</v>
      </c>
      <c r="I81" s="905">
        <f>G81+H81</f>
        <v>1506479.02</v>
      </c>
      <c r="J81" s="36"/>
      <c r="K81" s="74" t="str">
        <f>CONCATENATE("[",H73,"]")</f>
        <v>[X + -7.11]</v>
      </c>
      <c r="L81" s="362" t="s">
        <v>1560</v>
      </c>
      <c r="M81"/>
      <c r="N81"/>
      <c r="O81"/>
      <c r="Q81"/>
      <c r="R81"/>
      <c r="S81"/>
      <c r="T81"/>
      <c r="U81"/>
    </row>
    <row r="82" spans="1:21" s="1" customFormat="1" x14ac:dyDescent="0.35">
      <c r="A82"/>
      <c r="B82" s="3"/>
      <c r="C82" s="464"/>
      <c r="D82" s="3" t="s">
        <v>40</v>
      </c>
      <c r="F82" s="3"/>
      <c r="G82" s="515">
        <f t="shared" ref="G82" si="10">G52</f>
        <v>0</v>
      </c>
      <c r="H82" s="515">
        <f t="shared" si="9"/>
        <v>0</v>
      </c>
      <c r="I82" s="1008">
        <f t="shared" ref="I82:I86" si="11">G82+H82</f>
        <v>0</v>
      </c>
      <c r="J82" s="36" t="s">
        <v>39</v>
      </c>
      <c r="K82" s="456"/>
      <c r="L82" s="142"/>
      <c r="M82"/>
      <c r="N82"/>
      <c r="O82"/>
      <c r="Q82"/>
      <c r="R82"/>
      <c r="S82"/>
      <c r="T82"/>
      <c r="U82"/>
    </row>
    <row r="83" spans="1:21" s="1" customFormat="1" x14ac:dyDescent="0.35">
      <c r="A83"/>
      <c r="B83" s="3"/>
      <c r="C83" s="392" t="str">
        <f>CONCATENATE(D67,": ",F67)</f>
        <v>D2: 8-10</v>
      </c>
      <c r="D83" s="3" t="s">
        <v>42</v>
      </c>
      <c r="F83" s="3"/>
      <c r="G83" s="515">
        <f t="shared" ref="G83" si="12">G53</f>
        <v>1505420.89</v>
      </c>
      <c r="H83" s="515">
        <f t="shared" si="9"/>
        <v>156215</v>
      </c>
      <c r="I83" s="905">
        <f t="shared" si="11"/>
        <v>1661635.89</v>
      </c>
      <c r="J83" s="36"/>
      <c r="K83" s="73" t="str">
        <f>CONCATENATE("[",H74,"]")</f>
        <v>[X + 5.81]</v>
      </c>
      <c r="L83" s="362" t="s">
        <v>1557</v>
      </c>
      <c r="M83"/>
      <c r="N83"/>
      <c r="O83"/>
      <c r="Q83"/>
      <c r="R83"/>
      <c r="S83"/>
      <c r="T83"/>
      <c r="U83"/>
    </row>
    <row r="84" spans="1:21" s="1" customFormat="1" x14ac:dyDescent="0.35">
      <c r="A84"/>
      <c r="B84" s="3"/>
      <c r="C84" s="464"/>
      <c r="D84" s="3" t="s">
        <v>40</v>
      </c>
      <c r="F84" s="3"/>
      <c r="G84" s="515">
        <f t="shared" ref="G84" si="13">G54</f>
        <v>2029382.22</v>
      </c>
      <c r="H84" s="515">
        <f t="shared" si="9"/>
        <v>215552</v>
      </c>
      <c r="I84" s="1009">
        <f t="shared" si="11"/>
        <v>2244934.2199999997</v>
      </c>
      <c r="J84" s="36" t="s">
        <v>39</v>
      </c>
      <c r="K84" s="73" t="str">
        <f>CONCATENATE("[",I74,"]")</f>
        <v>[X]</v>
      </c>
      <c r="L84" s="362" t="s">
        <v>1642</v>
      </c>
      <c r="M84"/>
      <c r="N84"/>
      <c r="O84"/>
      <c r="Q84"/>
      <c r="R84"/>
      <c r="S84"/>
      <c r="T84"/>
      <c r="U84"/>
    </row>
    <row r="85" spans="1:21" s="1" customFormat="1" x14ac:dyDescent="0.35">
      <c r="A85"/>
      <c r="B85" s="3"/>
      <c r="C85" s="392" t="str">
        <f>CONCATENATE(D68,": ",F68)</f>
        <v>D3: All Day</v>
      </c>
      <c r="D85" s="3" t="s">
        <v>42</v>
      </c>
      <c r="F85" s="3"/>
      <c r="G85" s="515">
        <f t="shared" ref="G85" si="14">G55</f>
        <v>1515483.7</v>
      </c>
      <c r="H85" s="515">
        <f t="shared" si="9"/>
        <v>157028</v>
      </c>
      <c r="I85" s="905">
        <f t="shared" si="11"/>
        <v>1672511.7</v>
      </c>
      <c r="J85" s="36" t="s">
        <v>39</v>
      </c>
      <c r="K85" s="73" t="str">
        <f>CONCATENATE("[",H75,"]")</f>
        <v>[X + 4.05]</v>
      </c>
      <c r="L85" s="362" t="s">
        <v>1893</v>
      </c>
      <c r="M85"/>
      <c r="N85"/>
      <c r="O85"/>
      <c r="Q85"/>
      <c r="R85"/>
      <c r="S85"/>
      <c r="T85"/>
      <c r="U85"/>
    </row>
    <row r="86" spans="1:21" s="1" customFormat="1" ht="15" thickBot="1" x14ac:dyDescent="0.4">
      <c r="A86"/>
      <c r="B86" s="3"/>
      <c r="C86" s="410"/>
      <c r="D86" s="3" t="s">
        <v>40</v>
      </c>
      <c r="F86" s="3"/>
      <c r="G86" s="515">
        <f t="shared" ref="G86" si="15">G56</f>
        <v>2083661.6</v>
      </c>
      <c r="H86" s="515">
        <f t="shared" si="9"/>
        <v>218386</v>
      </c>
      <c r="I86" s="1010">
        <f t="shared" si="11"/>
        <v>2302047.6</v>
      </c>
      <c r="J86" s="36" t="s">
        <v>39</v>
      </c>
      <c r="K86" s="71" t="str">
        <f>CONCATENATE("[",I75,"]")</f>
        <v>[X + -9.91]</v>
      </c>
      <c r="L86" s="362" t="s">
        <v>1894</v>
      </c>
      <c r="M86"/>
      <c r="N86"/>
      <c r="O86"/>
      <c r="Q86"/>
      <c r="R86"/>
      <c r="S86"/>
      <c r="T86"/>
      <c r="U86"/>
    </row>
    <row r="87" spans="1:21" s="1" customFormat="1" x14ac:dyDescent="0.35">
      <c r="A87"/>
      <c r="B87" s="3"/>
      <c r="C87" s="3"/>
      <c r="D87" s="3"/>
      <c r="E87" s="3"/>
      <c r="F87" s="3"/>
      <c r="H87"/>
      <c r="I87" s="28">
        <f>SUM(I81:I86)</f>
        <v>9387608.4299999997</v>
      </c>
      <c r="J87" s="61" t="s">
        <v>1568</v>
      </c>
      <c r="K87"/>
      <c r="L87"/>
      <c r="M87"/>
      <c r="N87"/>
      <c r="O87"/>
      <c r="Q87"/>
      <c r="R87"/>
      <c r="S87"/>
      <c r="T87"/>
      <c r="U87"/>
    </row>
    <row r="88" spans="1:21" x14ac:dyDescent="0.35">
      <c r="B88" s="70" t="s">
        <v>660</v>
      </c>
    </row>
    <row r="89" spans="1:21" x14ac:dyDescent="0.35">
      <c r="B89" s="41" t="str">
        <f>$A$4</f>
        <v>SC8 Rate III</v>
      </c>
      <c r="C89" s="3" t="s">
        <v>656</v>
      </c>
      <c r="F89" s="3"/>
      <c r="G89" s="3"/>
      <c r="H89" s="3"/>
      <c r="I89" s="69" t="s">
        <v>25</v>
      </c>
      <c r="J89" s="3"/>
      <c r="K89" s="106"/>
      <c r="L89" s="3"/>
      <c r="M89" s="3"/>
      <c r="N89" s="17"/>
    </row>
    <row r="90" spans="1:21" x14ac:dyDescent="0.35">
      <c r="C90" s="3" t="str">
        <f>C81</f>
        <v>D1: 8-6</v>
      </c>
      <c r="D90" s="3" t="str">
        <f>D81</f>
        <v>Summer</v>
      </c>
      <c r="F90" s="3"/>
      <c r="G90" s="3"/>
      <c r="H90" s="3"/>
      <c r="I90" s="105">
        <f t="shared" ref="I90:I95" si="16">I81</f>
        <v>1506479.02</v>
      </c>
      <c r="J90" s="65" t="s">
        <v>63</v>
      </c>
      <c r="K90" s="103">
        <f>ROUND(I90*L73,0)</f>
        <v>-10711066</v>
      </c>
      <c r="L90" s="3" t="s">
        <v>62</v>
      </c>
      <c r="M90" s="362" t="s">
        <v>1566</v>
      </c>
      <c r="N90" s="17"/>
    </row>
    <row r="91" spans="1:21" x14ac:dyDescent="0.35">
      <c r="C91" s="3"/>
      <c r="D91" s="3" t="str">
        <f>D82</f>
        <v>Winter</v>
      </c>
      <c r="F91" s="3"/>
      <c r="G91" s="3"/>
      <c r="H91" s="3"/>
      <c r="I91" s="105">
        <f t="shared" si="16"/>
        <v>0</v>
      </c>
      <c r="J91" s="65" t="s">
        <v>63</v>
      </c>
      <c r="K91" s="103">
        <f>ROUND(I91*N73,0)</f>
        <v>0</v>
      </c>
      <c r="L91" s="3" t="s">
        <v>62</v>
      </c>
      <c r="M91" s="362"/>
      <c r="N91" s="17"/>
    </row>
    <row r="92" spans="1:21" x14ac:dyDescent="0.35">
      <c r="C92" s="3" t="str">
        <f>C83</f>
        <v>D2: 8-10</v>
      </c>
      <c r="D92" s="3" t="str">
        <f>D83</f>
        <v>Summer</v>
      </c>
      <c r="F92" s="3"/>
      <c r="G92" s="3"/>
      <c r="H92" s="3"/>
      <c r="I92" s="105">
        <f t="shared" si="16"/>
        <v>1661635.89</v>
      </c>
      <c r="J92" s="65" t="s">
        <v>63</v>
      </c>
      <c r="K92" s="103">
        <f>ROUND(I92*L74,0)</f>
        <v>9654105</v>
      </c>
      <c r="L92" s="3" t="s">
        <v>62</v>
      </c>
      <c r="M92" s="362" t="s">
        <v>1561</v>
      </c>
      <c r="N92" s="17"/>
    </row>
    <row r="93" spans="1:21" x14ac:dyDescent="0.35">
      <c r="C93" s="3"/>
      <c r="D93" s="3" t="str">
        <f>D84</f>
        <v>Winter</v>
      </c>
      <c r="F93" s="3"/>
      <c r="G93" s="3"/>
      <c r="H93" s="3"/>
      <c r="I93" s="105">
        <f t="shared" si="16"/>
        <v>2244934.2199999997</v>
      </c>
      <c r="J93" s="65" t="s">
        <v>63</v>
      </c>
      <c r="K93" s="134">
        <f>ROUND(I93*N74,0)</f>
        <v>0</v>
      </c>
      <c r="L93" s="3" t="s">
        <v>62</v>
      </c>
      <c r="M93" s="362" t="s">
        <v>1707</v>
      </c>
      <c r="N93" s="17"/>
    </row>
    <row r="94" spans="1:21" x14ac:dyDescent="0.35">
      <c r="C94" s="3" t="str">
        <f>C85</f>
        <v>D3: All Day</v>
      </c>
      <c r="D94" s="3" t="str">
        <f>D85</f>
        <v>Summer</v>
      </c>
      <c r="F94" s="3"/>
      <c r="G94" s="3"/>
      <c r="H94" s="3"/>
      <c r="I94" s="105">
        <f t="shared" si="16"/>
        <v>1672511.7</v>
      </c>
      <c r="J94" s="65" t="s">
        <v>63</v>
      </c>
      <c r="K94" s="103">
        <f>ROUND(I94*L75,0)</f>
        <v>6773672</v>
      </c>
      <c r="L94" s="3" t="s">
        <v>62</v>
      </c>
      <c r="M94" s="362" t="s">
        <v>1562</v>
      </c>
      <c r="N94" s="17"/>
    </row>
    <row r="95" spans="1:21" x14ac:dyDescent="0.35">
      <c r="C95" s="3"/>
      <c r="D95" s="3" t="str">
        <f>D86</f>
        <v>Winter</v>
      </c>
      <c r="F95" s="3"/>
      <c r="G95" s="3"/>
      <c r="H95" s="3"/>
      <c r="I95" s="351">
        <f t="shared" si="16"/>
        <v>2302047.6</v>
      </c>
      <c r="J95" s="104" t="s">
        <v>63</v>
      </c>
      <c r="K95" s="977">
        <f>ROUND(I95*N75,0)</f>
        <v>-22813292</v>
      </c>
      <c r="L95" s="44" t="s">
        <v>62</v>
      </c>
      <c r="M95" s="362" t="s">
        <v>1997</v>
      </c>
      <c r="N95" s="17"/>
    </row>
    <row r="96" spans="1:21" x14ac:dyDescent="0.35">
      <c r="C96" s="3" t="s">
        <v>659</v>
      </c>
      <c r="F96" s="66"/>
      <c r="G96" s="824">
        <f>I47</f>
        <v>137186223.64204612</v>
      </c>
      <c r="H96" s="63" t="s">
        <v>31</v>
      </c>
      <c r="I96" s="28">
        <f>SUM(I90:I95)</f>
        <v>9387608.4299999997</v>
      </c>
      <c r="J96" s="65" t="s">
        <v>63</v>
      </c>
      <c r="K96" s="103">
        <f>SUM(K90:K95)</f>
        <v>-17096581</v>
      </c>
      <c r="L96" s="3" t="s">
        <v>1569</v>
      </c>
      <c r="M96" s="362" t="s">
        <v>1563</v>
      </c>
      <c r="N96" s="17"/>
    </row>
    <row r="97" spans="1:21" x14ac:dyDescent="0.35">
      <c r="F97" s="3"/>
      <c r="G97" s="3"/>
      <c r="H97" s="3"/>
      <c r="I97" s="3"/>
      <c r="J97" s="3"/>
      <c r="K97" s="3"/>
      <c r="L97" s="3"/>
      <c r="M97" s="362" t="s">
        <v>1105</v>
      </c>
      <c r="N97" s="17"/>
    </row>
    <row r="98" spans="1:21" x14ac:dyDescent="0.35">
      <c r="F98" s="34"/>
      <c r="G98" s="34">
        <f>G96-K96</f>
        <v>154282804.64204612</v>
      </c>
      <c r="H98" s="63" t="s">
        <v>31</v>
      </c>
      <c r="I98" s="28">
        <f>I96</f>
        <v>9387608.4299999997</v>
      </c>
      <c r="J98" s="65" t="s">
        <v>32</v>
      </c>
      <c r="K98" s="3"/>
      <c r="L98" s="3"/>
      <c r="M98" s="362" t="s">
        <v>1106</v>
      </c>
      <c r="N98" s="17"/>
    </row>
    <row r="99" spans="1:21" ht="15" thickBot="1" x14ac:dyDescent="0.4">
      <c r="F99" s="3"/>
      <c r="G99" s="3"/>
      <c r="H99" s="3"/>
      <c r="I99" s="3"/>
      <c r="J99" s="3"/>
      <c r="K99" s="3"/>
      <c r="L99" s="3"/>
      <c r="M99" s="1044"/>
      <c r="N99" s="17"/>
    </row>
    <row r="100" spans="1:21" s="1" customFormat="1" ht="15.5" thickTop="1" thickBot="1" x14ac:dyDescent="0.4">
      <c r="A100"/>
      <c r="B100"/>
      <c r="C100"/>
      <c r="D100"/>
      <c r="E100"/>
      <c r="F100" s="64"/>
      <c r="G100" s="64" t="s">
        <v>32</v>
      </c>
      <c r="H100" s="63" t="s">
        <v>31</v>
      </c>
      <c r="I100" s="102">
        <f>ROUND(G98/I98,2)</f>
        <v>16.43</v>
      </c>
      <c r="J100" s="61" t="s">
        <v>1108</v>
      </c>
      <c r="K100" s="3"/>
      <c r="L100" s="3"/>
      <c r="M100" s="362" t="s">
        <v>1998</v>
      </c>
      <c r="N100" s="17"/>
      <c r="O100"/>
      <c r="Q100"/>
      <c r="R100"/>
      <c r="S100"/>
      <c r="T100"/>
      <c r="U100"/>
    </row>
    <row r="101" spans="1:21" ht="15" thickTop="1" x14ac:dyDescent="0.35">
      <c r="P101"/>
    </row>
    <row r="102" spans="1:21" s="1" customFormat="1" x14ac:dyDescent="0.35">
      <c r="A102"/>
      <c r="B102" s="334" t="str">
        <f>CONCATENATE($A$4," at Proposed Demand Rates")</f>
        <v>SC8 Rate III at Proposed Demand Rates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Q102"/>
      <c r="R102"/>
      <c r="S102"/>
      <c r="T102"/>
      <c r="U102"/>
    </row>
    <row r="103" spans="1:21" s="1" customFormat="1" x14ac:dyDescent="0.35">
      <c r="A103"/>
      <c r="C103" s="3" t="s">
        <v>5</v>
      </c>
      <c r="D103" s="1319">
        <f>$L$4</f>
        <v>2020</v>
      </c>
      <c r="E103" s="1319"/>
      <c r="F103" s="1319"/>
      <c r="G103" s="3"/>
      <c r="H103" s="3"/>
      <c r="I103" s="3"/>
      <c r="J103" s="3"/>
      <c r="K103" s="3"/>
      <c r="L103" s="3"/>
      <c r="M103" s="3"/>
      <c r="Q103"/>
      <c r="R103"/>
      <c r="S103"/>
      <c r="T103"/>
      <c r="U103"/>
    </row>
    <row r="104" spans="1:21" s="1" customFormat="1" ht="15" thickBot="1" x14ac:dyDescent="0.4">
      <c r="A104"/>
      <c r="B10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/>
      <c r="Q104"/>
      <c r="R104"/>
      <c r="S104"/>
      <c r="T104"/>
      <c r="U104"/>
    </row>
    <row r="105" spans="1:21" s="1" customFormat="1" ht="15" thickBot="1" x14ac:dyDescent="0.4">
      <c r="A105"/>
      <c r="B105"/>
      <c r="C105" s="60"/>
      <c r="D105" s="59"/>
      <c r="E105" s="59"/>
      <c r="F105" s="59"/>
      <c r="G105" s="59"/>
      <c r="H105" s="59"/>
      <c r="I105" s="59"/>
      <c r="J105" s="59"/>
      <c r="K105" s="59"/>
      <c r="L105" s="98"/>
      <c r="M105" s="3"/>
      <c r="N105" s="1347" t="s">
        <v>661</v>
      </c>
      <c r="O105" s="1347"/>
      <c r="P105" s="1347"/>
      <c r="Q105" s="1347"/>
      <c r="R105"/>
      <c r="S105"/>
      <c r="T105"/>
      <c r="U105"/>
    </row>
    <row r="106" spans="1:21" s="1" customFormat="1" ht="15.5" thickTop="1" thickBot="1" x14ac:dyDescent="0.4">
      <c r="A106"/>
      <c r="B106"/>
      <c r="C106" s="461" t="str">
        <f>$A$4</f>
        <v>SC8 Rate III</v>
      </c>
      <c r="D106" s="44"/>
      <c r="E106" s="44"/>
      <c r="F106" s="44"/>
      <c r="G106" s="44"/>
      <c r="H106" s="1313" t="s">
        <v>58</v>
      </c>
      <c r="I106" s="1314"/>
      <c r="J106" s="1315"/>
      <c r="K106" s="44"/>
      <c r="L106" s="94"/>
      <c r="N106" s="1347" t="s">
        <v>57</v>
      </c>
      <c r="O106" s="1347"/>
      <c r="P106" s="1347"/>
      <c r="Q106" s="1347"/>
      <c r="R106"/>
      <c r="S106"/>
      <c r="T106"/>
      <c r="U106"/>
    </row>
    <row r="107" spans="1:21" s="1" customFormat="1" ht="15" thickTop="1" x14ac:dyDescent="0.35">
      <c r="A107"/>
      <c r="B107"/>
      <c r="C107" s="96" t="str">
        <f>$B$66</f>
        <v>(HT &amp; LT)</v>
      </c>
      <c r="D107" s="44"/>
      <c r="E107" s="44"/>
      <c r="F107" s="44"/>
      <c r="G107" s="44"/>
      <c r="H107" s="56" t="s">
        <v>10</v>
      </c>
      <c r="I107" s="44"/>
      <c r="J107" s="56" t="s">
        <v>7</v>
      </c>
      <c r="K107" s="44"/>
      <c r="L107" s="94"/>
      <c r="N107" s="36" t="s">
        <v>10</v>
      </c>
      <c r="P107" s="36" t="s">
        <v>7</v>
      </c>
      <c r="Q107"/>
      <c r="R107"/>
      <c r="S107"/>
      <c r="T107"/>
      <c r="U107"/>
    </row>
    <row r="108" spans="1:21" x14ac:dyDescent="0.35">
      <c r="C108" s="96"/>
      <c r="D108" s="56" t="str">
        <f>$C$73</f>
        <v>D1</v>
      </c>
      <c r="E108" s="56"/>
      <c r="F108" s="56" t="str">
        <f>$D$73</f>
        <v>8-6</v>
      </c>
      <c r="G108" s="44"/>
      <c r="H108" s="97">
        <f>$J$109+L73</f>
        <v>9.32</v>
      </c>
      <c r="I108" s="1045" t="s">
        <v>1896</v>
      </c>
      <c r="J108" s="459"/>
      <c r="K108" s="54"/>
      <c r="L108" s="94"/>
      <c r="N108" s="460">
        <f>H108/H66-1</f>
        <v>3.3259423503326113E-2</v>
      </c>
      <c r="O108" s="358" t="s">
        <v>1901</v>
      </c>
      <c r="P108" s="460"/>
    </row>
    <row r="109" spans="1:21" x14ac:dyDescent="0.35">
      <c r="C109" s="96"/>
      <c r="D109" s="56" t="str">
        <f>$C$74</f>
        <v>D2</v>
      </c>
      <c r="E109" s="56"/>
      <c r="F109" s="56" t="str">
        <f>$D$74</f>
        <v>8-10</v>
      </c>
      <c r="G109" s="44"/>
      <c r="H109" s="97">
        <f>$J$109+L74</f>
        <v>22.24</v>
      </c>
      <c r="I109" s="1045" t="s">
        <v>1897</v>
      </c>
      <c r="J109" s="737">
        <f>I100</f>
        <v>16.43</v>
      </c>
      <c r="K109" s="1045" t="s">
        <v>2003</v>
      </c>
      <c r="L109" s="94"/>
      <c r="N109" s="460">
        <f>H109/H67-1</f>
        <v>3.3457249070631967E-2</v>
      </c>
      <c r="O109" s="358" t="s">
        <v>1902</v>
      </c>
      <c r="P109" s="460">
        <f>J109/J67-1</f>
        <v>3.3333333333333215E-2</v>
      </c>
      <c r="Q109" s="358" t="s">
        <v>1904</v>
      </c>
    </row>
    <row r="110" spans="1:21" x14ac:dyDescent="0.35">
      <c r="C110" s="96"/>
      <c r="D110" s="56" t="str">
        <f>$C$75</f>
        <v>D3</v>
      </c>
      <c r="E110" s="56"/>
      <c r="F110" s="56" t="str">
        <f>$D$75</f>
        <v>All Day</v>
      </c>
      <c r="G110" s="44"/>
      <c r="H110" s="97">
        <f>$J$109+L75</f>
        <v>20.48</v>
      </c>
      <c r="I110" s="52" t="s">
        <v>1898</v>
      </c>
      <c r="J110" s="97">
        <f>$J$109+N75</f>
        <v>6.52</v>
      </c>
      <c r="K110" s="1045" t="s">
        <v>1900</v>
      </c>
      <c r="L110" s="94"/>
      <c r="N110" s="460">
        <f>H110/H68-1</f>
        <v>3.3299697275479323E-2</v>
      </c>
      <c r="O110" s="358" t="s">
        <v>1903</v>
      </c>
      <c r="P110" s="460">
        <f>J110/J68-1</f>
        <v>3.3280507131537185E-2</v>
      </c>
      <c r="Q110" s="358" t="s">
        <v>1905</v>
      </c>
    </row>
    <row r="111" spans="1:21" ht="15" thickBot="1" x14ac:dyDescent="0.4">
      <c r="C111" s="93"/>
      <c r="D111" s="46"/>
      <c r="E111" s="46"/>
      <c r="F111" s="46"/>
      <c r="G111" s="46"/>
      <c r="H111" s="46"/>
      <c r="I111" s="92"/>
      <c r="J111" s="46"/>
      <c r="K111" s="92"/>
      <c r="L111" s="91"/>
      <c r="M111" s="17"/>
    </row>
    <row r="112" spans="1:21" ht="15" thickBot="1" x14ac:dyDescent="0.4">
      <c r="A112" s="406"/>
      <c r="C112" s="1213"/>
      <c r="D112" s="1153" t="s">
        <v>1174</v>
      </c>
      <c r="E112" s="1153"/>
      <c r="F112" s="1153"/>
      <c r="G112" s="1153"/>
      <c r="H112" s="1242">
        <f>H24</f>
        <v>12.45</v>
      </c>
      <c r="I112" s="1184" t="s">
        <v>1665</v>
      </c>
      <c r="J112" s="1242">
        <f>H112</f>
        <v>12.45</v>
      </c>
      <c r="K112" s="1184" t="s">
        <v>2243</v>
      </c>
      <c r="L112" s="1154"/>
    </row>
    <row r="113" spans="1:17" x14ac:dyDescent="0.35">
      <c r="A113" s="406"/>
    </row>
    <row r="114" spans="1:17" x14ac:dyDescent="0.35">
      <c r="A114" s="858" t="s">
        <v>665</v>
      </c>
      <c r="B114" s="3"/>
      <c r="C114" s="3"/>
      <c r="D114" s="3"/>
      <c r="E114" s="3"/>
      <c r="F114" s="3"/>
      <c r="G114" s="3"/>
      <c r="H114" s="3"/>
      <c r="I114" s="3"/>
    </row>
    <row r="115" spans="1:17" x14ac:dyDescent="0.35">
      <c r="A115" s="858"/>
      <c r="B115" s="3"/>
      <c r="C115" s="3"/>
      <c r="D115" s="3"/>
      <c r="E115" s="3"/>
      <c r="F115" s="3"/>
      <c r="G115" s="3"/>
      <c r="H115" s="3"/>
      <c r="I115" s="3"/>
    </row>
    <row r="116" spans="1:17" x14ac:dyDescent="0.35">
      <c r="A116" s="334"/>
      <c r="B116" s="334" t="s">
        <v>664</v>
      </c>
      <c r="C116" s="3"/>
      <c r="D116" s="3"/>
      <c r="E116" s="3"/>
      <c r="F116" s="3"/>
      <c r="G116" s="3"/>
      <c r="H116" s="3"/>
      <c r="I116" s="3"/>
    </row>
    <row r="117" spans="1:17" x14ac:dyDescent="0.35">
      <c r="A117" s="334"/>
      <c r="B117" s="41" t="str">
        <f>$A$4</f>
        <v>SC8 Rate III</v>
      </c>
      <c r="C117" s="133" t="s">
        <v>669</v>
      </c>
      <c r="D117" s="133"/>
      <c r="E117" s="133"/>
      <c r="F117" s="133"/>
    </row>
    <row r="118" spans="1:17" x14ac:dyDescent="0.35">
      <c r="A118" s="334"/>
      <c r="B118" s="41"/>
      <c r="C118" t="s">
        <v>670</v>
      </c>
      <c r="I118" s="819">
        <f>M19</f>
        <v>0</v>
      </c>
      <c r="J118" s="358" t="s">
        <v>50</v>
      </c>
    </row>
    <row r="119" spans="1:17" ht="15" thickBot="1" x14ac:dyDescent="0.4">
      <c r="A119" s="334"/>
      <c r="B119" s="41"/>
      <c r="C119" t="s">
        <v>720</v>
      </c>
      <c r="I119" s="819">
        <f>M20</f>
        <v>1316606</v>
      </c>
      <c r="J119" s="358" t="s">
        <v>49</v>
      </c>
    </row>
    <row r="120" spans="1:17" ht="15.5" thickTop="1" thickBot="1" x14ac:dyDescent="0.4">
      <c r="A120" s="334"/>
      <c r="B120" s="41"/>
      <c r="C120" t="s">
        <v>672</v>
      </c>
      <c r="I120" s="128">
        <f>I118+I119</f>
        <v>1316606</v>
      </c>
      <c r="J120" s="358" t="s">
        <v>1906</v>
      </c>
    </row>
    <row r="121" spans="1:17" ht="15" thickTop="1" x14ac:dyDescent="0.35">
      <c r="A121" s="334"/>
      <c r="B121" s="41"/>
      <c r="I121" s="345"/>
    </row>
    <row r="122" spans="1:17" x14ac:dyDescent="0.35">
      <c r="A122" s="334"/>
      <c r="B122" s="41"/>
      <c r="C122" s="75" t="s">
        <v>681</v>
      </c>
      <c r="D122" s="75"/>
      <c r="E122" s="75"/>
      <c r="F122" s="75"/>
      <c r="I122" s="964">
        <f>IF(ISNUMBER(ROUND(I118/I119,8)),ROUND(I118/I119,8),0)</f>
        <v>0</v>
      </c>
      <c r="J122" s="358" t="s">
        <v>1907</v>
      </c>
    </row>
    <row r="123" spans="1:17" x14ac:dyDescent="0.35">
      <c r="A123" s="334"/>
      <c r="B123" s="41"/>
      <c r="C123" s="3"/>
      <c r="D123" s="3"/>
      <c r="E123" s="3"/>
      <c r="F123" s="3"/>
      <c r="G123" s="3"/>
      <c r="H123" s="3"/>
      <c r="I123" s="3"/>
    </row>
    <row r="124" spans="1:17" x14ac:dyDescent="0.35">
      <c r="A124" s="407" t="s">
        <v>682</v>
      </c>
      <c r="P124"/>
    </row>
    <row r="125" spans="1:17" ht="15" thickBot="1" x14ac:dyDescent="0.4">
      <c r="A125" s="406"/>
      <c r="B125" s="372" t="s">
        <v>718</v>
      </c>
      <c r="Q125" s="1"/>
    </row>
    <row r="126" spans="1:17" ht="15.5" thickTop="1" thickBot="1" x14ac:dyDescent="0.4">
      <c r="A126" s="406"/>
      <c r="B126" s="41" t="str">
        <f>$A$4</f>
        <v>SC8 Rate III</v>
      </c>
      <c r="C126" s="3"/>
      <c r="D126" s="3"/>
      <c r="E126" s="3"/>
      <c r="F126" s="3"/>
      <c r="G126" s="3"/>
      <c r="H126" s="1316" t="s">
        <v>680</v>
      </c>
      <c r="I126" s="1317"/>
      <c r="J126" s="1318"/>
      <c r="K126" s="3"/>
      <c r="L126" s="1307" t="s">
        <v>81</v>
      </c>
      <c r="M126" s="1308"/>
      <c r="N126" s="1309"/>
      <c r="P126"/>
    </row>
    <row r="127" spans="1:17" ht="15" thickTop="1" x14ac:dyDescent="0.35">
      <c r="A127" s="406"/>
      <c r="B127" s="3"/>
      <c r="C127" s="3"/>
      <c r="E127" s="30" t="s">
        <v>80</v>
      </c>
      <c r="F127" s="3"/>
      <c r="G127" s="3"/>
      <c r="H127" s="30" t="s">
        <v>42</v>
      </c>
      <c r="I127" s="30"/>
      <c r="J127" s="30" t="s">
        <v>40</v>
      </c>
      <c r="K127" s="3"/>
      <c r="L127" s="30" t="s">
        <v>42</v>
      </c>
      <c r="M127" s="86"/>
      <c r="N127" s="30" t="s">
        <v>40</v>
      </c>
      <c r="P127"/>
    </row>
    <row r="128" spans="1:17" x14ac:dyDescent="0.35">
      <c r="A128" s="406"/>
      <c r="E128" s="123"/>
      <c r="F128" s="121" t="s">
        <v>1393</v>
      </c>
      <c r="G128" s="123"/>
      <c r="H128" s="348">
        <f>G14</f>
        <v>7.9000000000000008E-3</v>
      </c>
      <c r="I128" s="358" t="s">
        <v>53</v>
      </c>
      <c r="J128" s="348">
        <f>G16</f>
        <v>7.9000000000000008E-3</v>
      </c>
      <c r="K128" s="358" t="s">
        <v>30</v>
      </c>
      <c r="L128" s="27">
        <f>H128-$J$129</f>
        <v>0</v>
      </c>
      <c r="M128" s="358" t="s">
        <v>1908</v>
      </c>
      <c r="N128" s="27">
        <f>J128-$J$129</f>
        <v>0</v>
      </c>
      <c r="O128" s="358" t="s">
        <v>1910</v>
      </c>
      <c r="P128"/>
    </row>
    <row r="129" spans="1:16" x14ac:dyDescent="0.35">
      <c r="A129" s="406"/>
      <c r="B129" s="3"/>
      <c r="C129" s="3"/>
      <c r="D129" s="3"/>
      <c r="E129" s="123"/>
      <c r="F129" s="121" t="s">
        <v>445</v>
      </c>
      <c r="G129" s="36"/>
      <c r="H129" s="348">
        <f>G15</f>
        <v>7.9000000000000008E-3</v>
      </c>
      <c r="I129" s="358" t="s">
        <v>1127</v>
      </c>
      <c r="J129" s="348">
        <f>G17</f>
        <v>7.9000000000000008E-3</v>
      </c>
      <c r="K129" s="358" t="s">
        <v>1790</v>
      </c>
      <c r="L129" s="27">
        <f>H129-$J$129</f>
        <v>0</v>
      </c>
      <c r="M129" s="358" t="s">
        <v>1909</v>
      </c>
      <c r="N129" s="112"/>
      <c r="O129" s="358" t="s">
        <v>1911</v>
      </c>
      <c r="P129"/>
    </row>
    <row r="130" spans="1:16" x14ac:dyDescent="0.35">
      <c r="A130" s="406"/>
      <c r="B130" s="3"/>
      <c r="C130" s="3"/>
      <c r="D130" s="3"/>
      <c r="E130" s="3"/>
      <c r="F130" s="3"/>
      <c r="G130" s="36"/>
      <c r="P130"/>
    </row>
    <row r="131" spans="1:16" x14ac:dyDescent="0.35">
      <c r="A131" s="406"/>
      <c r="B131" s="3"/>
      <c r="E131" s="123"/>
      <c r="F131" s="123"/>
      <c r="G131" s="36"/>
      <c r="J131" s="120"/>
      <c r="K131" s="3"/>
      <c r="L131" s="27"/>
      <c r="M131" s="61"/>
      <c r="N131" s="61"/>
      <c r="P131"/>
    </row>
    <row r="132" spans="1:16" ht="15" thickBot="1" x14ac:dyDescent="0.4">
      <c r="A132" s="406"/>
      <c r="K132" s="100" t="s">
        <v>683</v>
      </c>
      <c r="L132" s="906">
        <f>I122</f>
        <v>0</v>
      </c>
      <c r="M132" s="358" t="s">
        <v>1962</v>
      </c>
      <c r="P132"/>
    </row>
    <row r="133" spans="1:16" ht="15.5" thickTop="1" thickBot="1" x14ac:dyDescent="0.4">
      <c r="A133" s="406"/>
      <c r="D133" s="1"/>
      <c r="E133" s="1"/>
      <c r="F133" s="1"/>
      <c r="L133" s="1307" t="s">
        <v>76</v>
      </c>
      <c r="M133" s="1308"/>
      <c r="N133" s="1309"/>
      <c r="P133"/>
    </row>
    <row r="134" spans="1:16" ht="15.5" thickTop="1" thickBot="1" x14ac:dyDescent="0.4">
      <c r="A134" s="406"/>
      <c r="C134" s="70" t="s">
        <v>77</v>
      </c>
      <c r="D134" s="1"/>
      <c r="E134" s="1"/>
      <c r="F134" s="1"/>
      <c r="G134" s="118" t="s">
        <v>42</v>
      </c>
      <c r="H134" s="118" t="s">
        <v>40</v>
      </c>
      <c r="L134" s="30" t="s">
        <v>42</v>
      </c>
      <c r="M134" s="86"/>
      <c r="N134" s="30" t="s">
        <v>40</v>
      </c>
      <c r="P134"/>
    </row>
    <row r="135" spans="1:16" x14ac:dyDescent="0.35">
      <c r="A135" s="406"/>
      <c r="D135" s="121"/>
      <c r="E135" s="122"/>
      <c r="F135" s="121" t="str">
        <f>F128</f>
        <v>On Peak</v>
      </c>
      <c r="G135" s="117" t="str">
        <f>CONCATENATE("X + ",L135)</f>
        <v>X + 0</v>
      </c>
      <c r="H135" s="116" t="str">
        <f>CONCATENATE("X + ",N135)</f>
        <v>X + 0</v>
      </c>
      <c r="L135" s="907">
        <f>ROUND(L128*(1+$L$132),4)</f>
        <v>0</v>
      </c>
      <c r="M135" s="358" t="s">
        <v>2004</v>
      </c>
      <c r="N135" s="223">
        <f>ROUND(N128*(1+$L$132),4)</f>
        <v>0</v>
      </c>
      <c r="O135" s="358" t="s">
        <v>2006</v>
      </c>
      <c r="P135"/>
    </row>
    <row r="136" spans="1:16" ht="15" thickBot="1" x14ac:dyDescent="0.4">
      <c r="A136" s="406"/>
      <c r="C136" s="3"/>
      <c r="D136" s="2"/>
      <c r="E136" s="122"/>
      <c r="F136" s="121" t="str">
        <f>F129</f>
        <v>Off Peak</v>
      </c>
      <c r="G136" s="111" t="str">
        <f>CONCATENATE("X + ",L136)</f>
        <v>X + 0</v>
      </c>
      <c r="H136" s="350" t="s">
        <v>32</v>
      </c>
      <c r="L136" s="223">
        <f>ROUND(L129*(1+$L$132),4)</f>
        <v>0</v>
      </c>
      <c r="M136" s="358" t="s">
        <v>2005</v>
      </c>
      <c r="N136" s="223">
        <f>ROUND(N129*(1+$L$132),4)</f>
        <v>0</v>
      </c>
      <c r="O136" s="358" t="s">
        <v>2007</v>
      </c>
      <c r="P136"/>
    </row>
    <row r="137" spans="1:16" x14ac:dyDescent="0.35">
      <c r="A137" s="406"/>
      <c r="D137" s="1"/>
      <c r="E137" s="1"/>
      <c r="F137" s="1"/>
      <c r="N137" s="1"/>
      <c r="P137"/>
    </row>
    <row r="138" spans="1:16" x14ac:dyDescent="0.35">
      <c r="A138" s="406"/>
      <c r="D138" s="1"/>
      <c r="E138" s="1"/>
      <c r="F138" s="1"/>
      <c r="P138"/>
    </row>
    <row r="139" spans="1:16" x14ac:dyDescent="0.35">
      <c r="B139" s="334" t="s">
        <v>46</v>
      </c>
      <c r="P139"/>
    </row>
    <row r="140" spans="1:16" x14ac:dyDescent="0.35">
      <c r="B140" s="41" t="str">
        <f>$A$4</f>
        <v>SC8 Rate III</v>
      </c>
      <c r="C140" s="372" t="s">
        <v>718</v>
      </c>
      <c r="I140" s="296" t="str">
        <f>C140</f>
        <v>(Rate I &amp; III)</v>
      </c>
      <c r="P140"/>
    </row>
    <row r="141" spans="1:16" ht="15" thickBot="1" x14ac:dyDescent="0.4">
      <c r="B141" s="70" t="s">
        <v>414</v>
      </c>
      <c r="C141" s="70"/>
      <c r="D141" s="70"/>
      <c r="E141" s="3"/>
      <c r="F141" s="3"/>
      <c r="I141" s="69" t="s">
        <v>44</v>
      </c>
      <c r="J141" s="3"/>
      <c r="K141" s="3"/>
      <c r="P141"/>
    </row>
    <row r="142" spans="1:16" x14ac:dyDescent="0.35">
      <c r="B142" s="3"/>
      <c r="C142" s="3" t="s">
        <v>42</v>
      </c>
      <c r="D142" s="108" t="s">
        <v>44</v>
      </c>
      <c r="I142" s="72">
        <f>U9+U19</f>
        <v>669257361</v>
      </c>
      <c r="J142" s="36" t="s">
        <v>39</v>
      </c>
      <c r="K142" s="74" t="str">
        <f>CONCATENATE("[",G135,"]")</f>
        <v>[X + 0]</v>
      </c>
      <c r="L142" s="61" t="s">
        <v>1918</v>
      </c>
      <c r="P142"/>
    </row>
    <row r="143" spans="1:16" x14ac:dyDescent="0.35">
      <c r="B143" s="3"/>
      <c r="C143" s="3" t="s">
        <v>42</v>
      </c>
      <c r="D143" s="108"/>
      <c r="I143" s="72"/>
      <c r="J143" s="36" t="s">
        <v>39</v>
      </c>
      <c r="K143" s="107" t="str">
        <f>CONCATENATE("[",G136,"]")</f>
        <v>[X + 0]</v>
      </c>
      <c r="L143" s="61" t="s">
        <v>1919</v>
      </c>
      <c r="P143"/>
    </row>
    <row r="144" spans="1:16" x14ac:dyDescent="0.35">
      <c r="B144" s="3"/>
      <c r="C144" s="3" t="s">
        <v>40</v>
      </c>
      <c r="D144" s="3" t="str">
        <f>D142</f>
        <v>kWh</v>
      </c>
      <c r="I144" s="72">
        <f>U14+U24</f>
        <v>1011497507.01</v>
      </c>
      <c r="J144" s="36" t="s">
        <v>39</v>
      </c>
      <c r="K144" s="73" t="str">
        <f>CONCATENATE("[",H135,"]")</f>
        <v>[X + 0]</v>
      </c>
      <c r="L144" s="61" t="s">
        <v>1920</v>
      </c>
      <c r="P144"/>
    </row>
    <row r="145" spans="2:17" ht="15" thickBot="1" x14ac:dyDescent="0.4">
      <c r="B145" s="3"/>
      <c r="C145" s="3" t="s">
        <v>40</v>
      </c>
      <c r="D145" s="3"/>
      <c r="I145" s="67"/>
      <c r="J145" s="36" t="s">
        <v>39</v>
      </c>
      <c r="K145" s="71" t="str">
        <f>CONCATENATE("[",H136,"]")</f>
        <v>[X]</v>
      </c>
      <c r="L145" s="61" t="s">
        <v>2008</v>
      </c>
      <c r="P145"/>
    </row>
    <row r="146" spans="2:17" x14ac:dyDescent="0.35">
      <c r="I146" s="28">
        <f>SUM(I142:I145)</f>
        <v>1680754868.01</v>
      </c>
      <c r="J146" s="61" t="s">
        <v>1992</v>
      </c>
      <c r="Q146" s="1"/>
    </row>
    <row r="147" spans="2:17" ht="15" thickBot="1" x14ac:dyDescent="0.4">
      <c r="Q147" s="1"/>
    </row>
    <row r="148" spans="2:17" ht="15" thickBot="1" x14ac:dyDescent="0.4">
      <c r="B148" s="400" t="s">
        <v>747</v>
      </c>
      <c r="C148" s="478"/>
      <c r="D148" s="478"/>
      <c r="E148" s="478"/>
      <c r="F148" s="478"/>
      <c r="G148" s="738">
        <f>H128</f>
        <v>7.9000000000000008E-3</v>
      </c>
      <c r="H148" s="478"/>
      <c r="I148" s="1012">
        <f>Z26</f>
        <v>1514095855.01</v>
      </c>
      <c r="J148" s="478"/>
      <c r="K148" s="1011">
        <f>ROUND(G148*I148,0)</f>
        <v>11961357</v>
      </c>
      <c r="L148" s="61" t="s">
        <v>1916</v>
      </c>
      <c r="Q148" s="1"/>
    </row>
    <row r="149" spans="2:17" x14ac:dyDescent="0.35">
      <c r="Q149" s="1"/>
    </row>
    <row r="150" spans="2:17" x14ac:dyDescent="0.35">
      <c r="B150" s="70" t="s">
        <v>472</v>
      </c>
      <c r="P150"/>
    </row>
    <row r="151" spans="2:17" x14ac:dyDescent="0.35">
      <c r="B151" s="41" t="str">
        <f>$A$4</f>
        <v>SC8 Rate III</v>
      </c>
      <c r="F151" s="3"/>
      <c r="G151" s="3"/>
      <c r="H151" s="3"/>
      <c r="I151" s="69" t="s">
        <v>44</v>
      </c>
      <c r="J151" s="3"/>
      <c r="K151" s="106"/>
      <c r="L151" s="3"/>
      <c r="M151" s="3"/>
      <c r="N151" s="17"/>
      <c r="P151"/>
    </row>
    <row r="152" spans="2:17" x14ac:dyDescent="0.35">
      <c r="B152" s="372" t="s">
        <v>718</v>
      </c>
      <c r="C152" s="3" t="s">
        <v>42</v>
      </c>
      <c r="D152" s="392" t="str">
        <f>D142</f>
        <v>kWh</v>
      </c>
      <c r="H152" s="3"/>
      <c r="I152" s="105">
        <f>I142</f>
        <v>669257361</v>
      </c>
      <c r="J152" s="65" t="s">
        <v>63</v>
      </c>
      <c r="K152" s="26">
        <f>ROUND(I152*L135,0)</f>
        <v>0</v>
      </c>
      <c r="L152" s="3" t="s">
        <v>62</v>
      </c>
      <c r="M152" s="61" t="s">
        <v>1922</v>
      </c>
      <c r="N152" s="17"/>
      <c r="P152"/>
    </row>
    <row r="153" spans="2:17" x14ac:dyDescent="0.35">
      <c r="C153" s="3" t="s">
        <v>42</v>
      </c>
      <c r="D153" s="392"/>
      <c r="H153" s="3"/>
      <c r="I153" s="105">
        <f>I143</f>
        <v>0</v>
      </c>
      <c r="J153" s="65" t="s">
        <v>63</v>
      </c>
      <c r="K153" s="26">
        <f>ROUND(I153*L136,0)</f>
        <v>0</v>
      </c>
      <c r="L153" s="3" t="s">
        <v>62</v>
      </c>
      <c r="M153" s="61" t="s">
        <v>1923</v>
      </c>
      <c r="N153" s="17"/>
      <c r="P153"/>
    </row>
    <row r="154" spans="2:17" x14ac:dyDescent="0.35">
      <c r="C154" s="3" t="s">
        <v>40</v>
      </c>
      <c r="D154" s="392" t="str">
        <f>D144</f>
        <v>kWh</v>
      </c>
      <c r="H154" s="3"/>
      <c r="I154" s="105">
        <f>I144</f>
        <v>1011497507.01</v>
      </c>
      <c r="J154" s="65" t="s">
        <v>63</v>
      </c>
      <c r="K154" s="26">
        <f>ROUND(I154*N135,0)</f>
        <v>0</v>
      </c>
      <c r="L154" s="3" t="s">
        <v>62</v>
      </c>
      <c r="M154" s="61" t="s">
        <v>1924</v>
      </c>
      <c r="N154" s="17"/>
      <c r="P154"/>
    </row>
    <row r="155" spans="2:17" x14ac:dyDescent="0.35">
      <c r="C155" s="3" t="s">
        <v>40</v>
      </c>
      <c r="D155" s="392"/>
      <c r="H155" s="3"/>
      <c r="I155" s="351">
        <f>I145</f>
        <v>0</v>
      </c>
      <c r="J155" s="65" t="s">
        <v>63</v>
      </c>
      <c r="K155" s="37">
        <f>ROUND(I155*N136,0)</f>
        <v>0</v>
      </c>
      <c r="L155" s="3" t="s">
        <v>62</v>
      </c>
      <c r="M155" s="61" t="s">
        <v>2011</v>
      </c>
      <c r="N155" s="17"/>
      <c r="P155"/>
    </row>
    <row r="156" spans="2:17" x14ac:dyDescent="0.35">
      <c r="C156" s="372"/>
      <c r="F156" s="66"/>
      <c r="G156" s="908">
        <f>I120+K148</f>
        <v>13277963</v>
      </c>
      <c r="H156" s="63" t="s">
        <v>31</v>
      </c>
      <c r="I156" s="28">
        <f>SUM(I152:I155)</f>
        <v>1680754868.01</v>
      </c>
      <c r="J156" s="65" t="s">
        <v>63</v>
      </c>
      <c r="K156" s="103">
        <f>SUM(K152:K155)</f>
        <v>0</v>
      </c>
      <c r="L156" s="3" t="s">
        <v>2009</v>
      </c>
      <c r="M156" s="61" t="s">
        <v>2017</v>
      </c>
      <c r="N156" s="17"/>
      <c r="P156"/>
    </row>
    <row r="157" spans="2:17" x14ac:dyDescent="0.35">
      <c r="B157" s="406"/>
      <c r="F157" s="3"/>
      <c r="G157" s="3"/>
      <c r="H157" s="3"/>
      <c r="I157" s="3"/>
      <c r="J157" s="3"/>
      <c r="K157" s="3"/>
      <c r="L157" s="3"/>
      <c r="M157" s="61" t="s">
        <v>2018</v>
      </c>
      <c r="N157" s="17"/>
      <c r="P157"/>
    </row>
    <row r="158" spans="2:17" x14ac:dyDescent="0.35">
      <c r="B158" s="406"/>
      <c r="F158" s="34"/>
      <c r="G158" s="34">
        <f>G156-K156</f>
        <v>13277963</v>
      </c>
      <c r="H158" s="63" t="s">
        <v>31</v>
      </c>
      <c r="I158" s="28">
        <f>I156</f>
        <v>1680754868.01</v>
      </c>
      <c r="J158" s="65" t="s">
        <v>32</v>
      </c>
      <c r="K158" s="3"/>
      <c r="L158" s="3"/>
      <c r="M158" s="61" t="s">
        <v>2019</v>
      </c>
      <c r="N158" s="17"/>
      <c r="P158"/>
    </row>
    <row r="159" spans="2:17" ht="15" thickBot="1" x14ac:dyDescent="0.4">
      <c r="B159" s="406"/>
      <c r="F159" s="3"/>
      <c r="G159" s="3"/>
      <c r="H159" s="3"/>
      <c r="I159" s="3"/>
      <c r="J159" s="3"/>
      <c r="K159" s="34"/>
      <c r="L159" s="34"/>
      <c r="M159" s="34"/>
      <c r="N159" s="17"/>
      <c r="P159"/>
    </row>
    <row r="160" spans="2:17" ht="15.5" thickTop="1" thickBot="1" x14ac:dyDescent="0.4">
      <c r="B160" s="406"/>
      <c r="F160" s="64"/>
      <c r="G160" s="101" t="s">
        <v>32</v>
      </c>
      <c r="H160" s="63" t="s">
        <v>31</v>
      </c>
      <c r="I160" s="983">
        <f>ROUND(G158/I158,4)</f>
        <v>7.9000000000000008E-3</v>
      </c>
      <c r="J160" s="61" t="s">
        <v>2010</v>
      </c>
      <c r="K160" s="34"/>
      <c r="L160" s="34"/>
      <c r="M160" s="61" t="s">
        <v>2020</v>
      </c>
      <c r="N160" s="17"/>
      <c r="P160"/>
    </row>
    <row r="161" spans="1:16" ht="15" thickTop="1" x14ac:dyDescent="0.35">
      <c r="A161" s="42"/>
      <c r="B161" s="407"/>
      <c r="C161" s="3"/>
      <c r="D161" s="3"/>
      <c r="E161" s="3"/>
      <c r="F161" s="3"/>
      <c r="G161" s="3"/>
      <c r="H161" s="3"/>
      <c r="I161" s="3"/>
    </row>
    <row r="162" spans="1:16" x14ac:dyDescent="0.35">
      <c r="B162" s="334" t="str">
        <f>CONCATENATE($A$4," at Proposed Energy Rates")</f>
        <v>SC8 Rate III at Proposed Energy Rates</v>
      </c>
      <c r="P162"/>
    </row>
    <row r="163" spans="1:16" ht="15" thickBot="1" x14ac:dyDescent="0.4">
      <c r="B163" s="334"/>
      <c r="P163"/>
    </row>
    <row r="164" spans="1:16" ht="15" thickBot="1" x14ac:dyDescent="0.4">
      <c r="B164" s="406"/>
      <c r="C164" s="60" t="s">
        <v>5</v>
      </c>
      <c r="D164" s="982">
        <f>$L$4</f>
        <v>2020</v>
      </c>
      <c r="E164" s="58"/>
      <c r="F164" s="58"/>
      <c r="G164" s="59"/>
      <c r="H164" s="59"/>
      <c r="I164" s="59"/>
      <c r="J164" s="59"/>
      <c r="K164" s="98"/>
      <c r="L164" s="3"/>
      <c r="M164" s="3"/>
      <c r="N164" s="17"/>
      <c r="O164" s="3"/>
      <c r="P164"/>
    </row>
    <row r="165" spans="1:16" ht="15.5" thickTop="1" thickBot="1" x14ac:dyDescent="0.4">
      <c r="B165" s="406"/>
      <c r="C165" s="96"/>
      <c r="D165" s="44"/>
      <c r="E165" s="44"/>
      <c r="F165" s="44"/>
      <c r="G165" s="44"/>
      <c r="H165" s="1313" t="s">
        <v>668</v>
      </c>
      <c r="I165" s="1314"/>
      <c r="J165" s="1315"/>
      <c r="K165" s="94"/>
      <c r="L165" s="3"/>
      <c r="M165" s="1307" t="s">
        <v>471</v>
      </c>
      <c r="N165" s="1308"/>
      <c r="O165" s="1309"/>
      <c r="P165"/>
    </row>
    <row r="166" spans="1:16" ht="15" thickTop="1" x14ac:dyDescent="0.35">
      <c r="B166" s="406"/>
      <c r="C166" s="96"/>
      <c r="D166" s="44"/>
      <c r="E166" s="44"/>
      <c r="F166" s="44"/>
      <c r="G166" s="44"/>
      <c r="H166" s="56" t="s">
        <v>10</v>
      </c>
      <c r="I166" s="44"/>
      <c r="J166" s="56" t="s">
        <v>7</v>
      </c>
      <c r="K166" s="94"/>
      <c r="L166" s="3"/>
      <c r="M166" s="56" t="s">
        <v>10</v>
      </c>
      <c r="N166" s="44"/>
      <c r="O166" s="56" t="s">
        <v>7</v>
      </c>
      <c r="P166"/>
    </row>
    <row r="167" spans="1:16" x14ac:dyDescent="0.35">
      <c r="C167" s="96"/>
      <c r="D167" s="355"/>
      <c r="E167" s="356"/>
      <c r="F167" s="355" t="str">
        <f>$F$135</f>
        <v>On Peak</v>
      </c>
      <c r="G167" s="44"/>
      <c r="H167" s="357">
        <f>$I$160+L135</f>
        <v>7.9000000000000008E-3</v>
      </c>
      <c r="I167" s="358" t="s">
        <v>2012</v>
      </c>
      <c r="J167" s="357">
        <f>$I$160+N135</f>
        <v>7.9000000000000008E-3</v>
      </c>
      <c r="K167" s="359" t="s">
        <v>2014</v>
      </c>
      <c r="L167" s="3"/>
      <c r="M167" s="81">
        <f>ROUND(H167/H128-1,4)</f>
        <v>0</v>
      </c>
      <c r="N167" s="358" t="s">
        <v>1993</v>
      </c>
      <c r="O167" s="81">
        <f>ROUND(J167/J128-1,4)</f>
        <v>0</v>
      </c>
      <c r="P167" s="358" t="s">
        <v>1995</v>
      </c>
    </row>
    <row r="168" spans="1:16" x14ac:dyDescent="0.35">
      <c r="C168" s="96"/>
      <c r="D168" s="360"/>
      <c r="E168" s="356"/>
      <c r="F168" s="355" t="str">
        <f>$F$136</f>
        <v>Off Peak</v>
      </c>
      <c r="G168" s="44"/>
      <c r="H168" s="357">
        <f>$I$160+L136</f>
        <v>7.9000000000000008E-3</v>
      </c>
      <c r="I168" s="358" t="s">
        <v>2013</v>
      </c>
      <c r="J168" s="357">
        <f>$I$160+N136</f>
        <v>7.9000000000000008E-3</v>
      </c>
      <c r="K168" s="359" t="s">
        <v>2015</v>
      </c>
      <c r="L168" s="3"/>
      <c r="M168" s="81">
        <f>ROUND(H168/H129-1,4)</f>
        <v>0</v>
      </c>
      <c r="N168" s="358" t="s">
        <v>1994</v>
      </c>
      <c r="O168" s="81">
        <f>ROUND(J168/J129-1,4)</f>
        <v>0</v>
      </c>
      <c r="P168" s="358" t="s">
        <v>1996</v>
      </c>
    </row>
    <row r="169" spans="1:16" ht="15" thickBot="1" x14ac:dyDescent="0.4">
      <c r="C169" s="93"/>
      <c r="D169" s="46"/>
      <c r="E169" s="46"/>
      <c r="F169" s="46"/>
      <c r="G169" s="46"/>
      <c r="H169" s="46"/>
      <c r="I169" s="46"/>
      <c r="J169" s="46"/>
      <c r="K169" s="91"/>
      <c r="L169" s="3"/>
      <c r="M169" s="81"/>
      <c r="N169" s="3"/>
      <c r="O169" s="81"/>
      <c r="P169"/>
    </row>
    <row r="170" spans="1:16" x14ac:dyDescent="0.35">
      <c r="A170" s="42"/>
      <c r="B170" s="41"/>
      <c r="C170" s="3"/>
      <c r="D170" s="3"/>
      <c r="E170" s="3"/>
      <c r="F170" s="3"/>
      <c r="G170" s="3"/>
      <c r="H170" s="3"/>
      <c r="I170" s="3"/>
    </row>
    <row r="171" spans="1:16" x14ac:dyDescent="0.35">
      <c r="A171" s="334"/>
      <c r="B171" s="407"/>
      <c r="C171" s="3"/>
      <c r="D171" s="3"/>
      <c r="E171" s="3"/>
      <c r="F171" s="3"/>
      <c r="G171" s="3"/>
      <c r="H171" s="3"/>
      <c r="I171" s="3"/>
    </row>
    <row r="172" spans="1:16" x14ac:dyDescent="0.35">
      <c r="A172" s="334" t="s">
        <v>1873</v>
      </c>
      <c r="B172" s="410"/>
      <c r="C172" s="3"/>
      <c r="D172" s="3"/>
      <c r="E172" s="3"/>
      <c r="F172" s="3"/>
      <c r="G172" s="3"/>
      <c r="H172" s="3"/>
      <c r="I172" s="3"/>
      <c r="P172"/>
    </row>
    <row r="173" spans="1:16" x14ac:dyDescent="0.35">
      <c r="A173" s="334"/>
      <c r="B173" s="410"/>
      <c r="C173" s="3"/>
      <c r="D173" s="3"/>
      <c r="E173" s="3"/>
      <c r="F173" s="3"/>
      <c r="G173" s="3"/>
      <c r="H173" s="3"/>
      <c r="K173" s="3"/>
      <c r="P173"/>
    </row>
    <row r="174" spans="1:16" x14ac:dyDescent="0.35">
      <c r="A174" s="410"/>
      <c r="B174" s="334" t="str">
        <f>CONCATENATE($A$4," at Proposed Demand Rates")</f>
        <v>SC8 Rate III at Proposed Demand Rates</v>
      </c>
      <c r="C174" s="2"/>
      <c r="D174" s="1"/>
      <c r="E174" s="1"/>
      <c r="F174" s="1"/>
      <c r="G174" s="1"/>
      <c r="H174" s="1"/>
      <c r="I174" s="1208" t="s">
        <v>718</v>
      </c>
      <c r="J174" s="1"/>
      <c r="K174" s="1"/>
      <c r="L174" s="2"/>
      <c r="M174" s="1209" t="s">
        <v>10</v>
      </c>
      <c r="N174" s="2"/>
      <c r="O174" s="3"/>
      <c r="P174" s="2"/>
    </row>
    <row r="175" spans="1:16" x14ac:dyDescent="0.35">
      <c r="A175" s="410"/>
      <c r="B175" s="410"/>
      <c r="C175" s="392"/>
      <c r="D175" s="2"/>
      <c r="E175" s="2"/>
      <c r="F175" s="2"/>
      <c r="G175" s="392"/>
      <c r="H175" s="834" t="s">
        <v>26</v>
      </c>
      <c r="I175" s="219" t="s">
        <v>25</v>
      </c>
      <c r="J175" s="2"/>
      <c r="K175" s="219" t="s">
        <v>11</v>
      </c>
      <c r="L175" s="2"/>
      <c r="M175" s="219" t="s">
        <v>6</v>
      </c>
      <c r="N175" s="2"/>
      <c r="O175" s="3"/>
      <c r="P175" s="2"/>
    </row>
    <row r="176" spans="1:16" x14ac:dyDescent="0.35">
      <c r="A176" s="406"/>
      <c r="B176" s="410" t="s">
        <v>656</v>
      </c>
      <c r="C176" s="1210" t="s">
        <v>667</v>
      </c>
      <c r="D176" s="1158" t="s">
        <v>1174</v>
      </c>
      <c r="E176" s="1168"/>
      <c r="F176" s="1158"/>
      <c r="G176" s="1133"/>
      <c r="H176" s="1159">
        <f>M32+M35</f>
        <v>7507</v>
      </c>
      <c r="K176" s="1157">
        <f>H112</f>
        <v>12.45</v>
      </c>
      <c r="L176" s="3"/>
      <c r="M176" s="1164">
        <f>ROUND(H176*K176,0)</f>
        <v>93462</v>
      </c>
      <c r="N176" s="2"/>
      <c r="O176" s="3"/>
      <c r="P176" s="2"/>
    </row>
    <row r="177" spans="1:16" x14ac:dyDescent="0.35">
      <c r="A177" s="406"/>
      <c r="B177" s="410"/>
      <c r="C177" s="392" t="s">
        <v>42</v>
      </c>
      <c r="D177" s="988" t="str">
        <f>$C$73</f>
        <v>D1</v>
      </c>
      <c r="E177" s="272"/>
      <c r="F177" s="988" t="str">
        <f>$D$73</f>
        <v>8-6</v>
      </c>
      <c r="G177" s="3"/>
      <c r="H177" s="3"/>
      <c r="I177" s="29">
        <f>I81</f>
        <v>1506479.02</v>
      </c>
      <c r="J177" s="3"/>
      <c r="K177" s="35">
        <f>H108</f>
        <v>9.32</v>
      </c>
      <c r="L177" s="3"/>
      <c r="M177" s="26">
        <f>ROUND(K177*I177,0)</f>
        <v>14040384</v>
      </c>
      <c r="N177" s="2"/>
      <c r="O177" s="3"/>
      <c r="P177" s="2"/>
    </row>
    <row r="178" spans="1:16" x14ac:dyDescent="0.35">
      <c r="A178" s="406"/>
      <c r="B178" s="410"/>
      <c r="C178" s="392"/>
      <c r="D178" s="988" t="str">
        <f>$C$74</f>
        <v>D2</v>
      </c>
      <c r="E178" s="272"/>
      <c r="F178" s="988" t="str">
        <f>$D$74</f>
        <v>8-10</v>
      </c>
      <c r="G178" s="3"/>
      <c r="H178" s="3"/>
      <c r="I178" s="29">
        <f>I83</f>
        <v>1661635.89</v>
      </c>
      <c r="J178" s="3"/>
      <c r="K178" s="35">
        <f>H109</f>
        <v>22.24</v>
      </c>
      <c r="L178" s="3"/>
      <c r="M178" s="26">
        <f>ROUND(K178*I178,0)</f>
        <v>36954782</v>
      </c>
      <c r="N178" s="2"/>
      <c r="O178" s="3"/>
      <c r="P178" s="2"/>
    </row>
    <row r="179" spans="1:16" x14ac:dyDescent="0.35">
      <c r="A179" s="406"/>
      <c r="B179" s="410"/>
      <c r="C179" s="392"/>
      <c r="D179" s="988" t="str">
        <f>$C$75</f>
        <v>D3</v>
      </c>
      <c r="E179" s="272"/>
      <c r="F179" s="988" t="str">
        <f>$D$75</f>
        <v>All Day</v>
      </c>
      <c r="G179" s="3"/>
      <c r="H179" s="3"/>
      <c r="I179" s="38">
        <f>I85</f>
        <v>1672511.7</v>
      </c>
      <c r="J179" s="3"/>
      <c r="K179" s="35">
        <f>H110</f>
        <v>20.48</v>
      </c>
      <c r="L179" s="3"/>
      <c r="M179" s="37">
        <f>ROUND(K179*I179,0)</f>
        <v>34253040</v>
      </c>
      <c r="N179" s="2"/>
      <c r="O179" s="3"/>
      <c r="P179" s="2"/>
    </row>
    <row r="180" spans="1:16" x14ac:dyDescent="0.35">
      <c r="A180" s="406"/>
      <c r="B180" s="410"/>
      <c r="C180" s="392"/>
      <c r="D180" s="272"/>
      <c r="E180" s="272"/>
      <c r="F180" s="272"/>
      <c r="G180" s="3"/>
      <c r="H180" s="3"/>
      <c r="I180" s="28">
        <f>I177+I178+I179</f>
        <v>4840626.6100000003</v>
      </c>
      <c r="J180" s="3"/>
      <c r="K180" s="35"/>
      <c r="L180" s="3"/>
      <c r="M180" s="832">
        <f>M176+M177+M178+M179</f>
        <v>85341668</v>
      </c>
      <c r="N180" s="277"/>
      <c r="O180" s="36" t="s">
        <v>10</v>
      </c>
      <c r="P180" s="2"/>
    </row>
    <row r="181" spans="1:16" x14ac:dyDescent="0.35">
      <c r="A181" s="406"/>
      <c r="B181" s="410"/>
      <c r="C181" s="392"/>
      <c r="D181" s="272"/>
      <c r="E181" s="272"/>
      <c r="F181" s="272"/>
      <c r="G181" s="28"/>
      <c r="H181" s="3"/>
      <c r="I181" s="28"/>
      <c r="J181" s="3"/>
      <c r="K181" s="35"/>
      <c r="L181" s="33" t="s">
        <v>22</v>
      </c>
      <c r="M181" s="34">
        <f>ROUND(M180*(O181-1),0)</f>
        <v>1017273</v>
      </c>
      <c r="N181" s="222" t="s">
        <v>23</v>
      </c>
      <c r="O181" s="40">
        <f>L10</f>
        <v>1.0119199999999999</v>
      </c>
      <c r="P181" s="2"/>
    </row>
    <row r="182" spans="1:16" x14ac:dyDescent="0.35">
      <c r="A182" s="406"/>
      <c r="B182" s="410"/>
      <c r="C182" s="392"/>
      <c r="D182" s="272"/>
      <c r="E182" s="272"/>
      <c r="F182" s="272"/>
      <c r="G182" s="28"/>
      <c r="H182" s="3"/>
      <c r="I182" s="28"/>
      <c r="J182" s="3"/>
      <c r="K182" s="35"/>
      <c r="L182" s="33" t="s">
        <v>21</v>
      </c>
      <c r="M182" s="32">
        <f>M180+M181</f>
        <v>86358941</v>
      </c>
      <c r="N182" s="1211"/>
      <c r="O182" s="3"/>
      <c r="P182" s="2"/>
    </row>
    <row r="183" spans="1:16" x14ac:dyDescent="0.35">
      <c r="A183" s="406"/>
      <c r="B183" s="410"/>
      <c r="C183" s="392"/>
      <c r="L183" s="3"/>
      <c r="M183" s="3"/>
      <c r="N183" s="2"/>
      <c r="O183" s="3"/>
      <c r="P183" s="2"/>
    </row>
    <row r="184" spans="1:16" x14ac:dyDescent="0.35">
      <c r="A184" s="406"/>
      <c r="B184" s="410"/>
      <c r="C184" s="392"/>
      <c r="D184" s="410"/>
      <c r="E184" s="410"/>
      <c r="F184" s="410"/>
      <c r="G184" s="3"/>
      <c r="H184" s="3"/>
      <c r="I184" s="486" t="s">
        <v>718</v>
      </c>
      <c r="J184" s="3"/>
      <c r="K184" s="3"/>
      <c r="L184" s="3"/>
      <c r="M184" s="462" t="s">
        <v>7</v>
      </c>
      <c r="N184" s="2"/>
      <c r="O184" s="3"/>
      <c r="P184" s="2"/>
    </row>
    <row r="185" spans="1:16" x14ac:dyDescent="0.35">
      <c r="A185" s="406"/>
      <c r="B185" s="410"/>
      <c r="C185" s="392"/>
      <c r="D185" s="3"/>
      <c r="E185" s="3"/>
      <c r="F185" s="3"/>
      <c r="G185" s="979"/>
      <c r="H185" s="834" t="s">
        <v>26</v>
      </c>
      <c r="I185" s="30" t="s">
        <v>25</v>
      </c>
      <c r="J185" s="3"/>
      <c r="K185" s="30" t="s">
        <v>11</v>
      </c>
      <c r="L185" s="3"/>
      <c r="M185" s="30" t="s">
        <v>6</v>
      </c>
      <c r="N185" s="2"/>
      <c r="O185" s="3"/>
      <c r="P185" s="2"/>
    </row>
    <row r="186" spans="1:16" x14ac:dyDescent="0.35">
      <c r="A186" s="406"/>
      <c r="B186" s="410"/>
      <c r="C186" s="392"/>
      <c r="D186" s="1158" t="s">
        <v>1174</v>
      </c>
      <c r="E186" s="1168"/>
      <c r="F186" s="1158"/>
      <c r="G186" s="1133"/>
      <c r="H186" s="1159">
        <f>M33+M36</f>
        <v>14999</v>
      </c>
      <c r="K186" s="1157">
        <f>J112</f>
        <v>12.45</v>
      </c>
      <c r="L186" s="3"/>
      <c r="M186" s="1164">
        <f>ROUND(H186*K186,0)</f>
        <v>186738</v>
      </c>
      <c r="N186" s="2"/>
      <c r="O186" s="3"/>
      <c r="P186" s="2"/>
    </row>
    <row r="187" spans="1:16" x14ac:dyDescent="0.35">
      <c r="A187" s="406"/>
      <c r="B187" s="410"/>
      <c r="C187" s="392" t="s">
        <v>40</v>
      </c>
      <c r="D187" s="1187" t="str">
        <f>$C$73</f>
        <v>D1</v>
      </c>
      <c r="E187" s="36"/>
      <c r="F187" s="1187" t="str">
        <f>$D$73</f>
        <v>8-6</v>
      </c>
      <c r="G187" s="3"/>
      <c r="H187" s="3"/>
      <c r="I187" s="29">
        <f>I82</f>
        <v>0</v>
      </c>
      <c r="J187" s="3"/>
      <c r="K187" s="35">
        <f>J108</f>
        <v>0</v>
      </c>
      <c r="L187" s="3"/>
      <c r="M187" s="26">
        <f>ROUND(K187*I187,0)</f>
        <v>0</v>
      </c>
      <c r="N187" s="2"/>
      <c r="O187" s="3"/>
      <c r="P187" s="2"/>
    </row>
    <row r="188" spans="1:16" x14ac:dyDescent="0.35">
      <c r="A188" s="406"/>
      <c r="B188" s="410"/>
      <c r="C188" s="392"/>
      <c r="D188" s="1187" t="str">
        <f>$C$74</f>
        <v>D2</v>
      </c>
      <c r="E188" s="36"/>
      <c r="F188" s="1187" t="str">
        <f>$D$74</f>
        <v>8-10</v>
      </c>
      <c r="G188" s="3"/>
      <c r="H188" s="3"/>
      <c r="I188" s="29">
        <f>I84</f>
        <v>2244934.2199999997</v>
      </c>
      <c r="J188" s="3"/>
      <c r="K188" s="35">
        <f>J109</f>
        <v>16.43</v>
      </c>
      <c r="L188" s="3"/>
      <c r="M188" s="26">
        <f>ROUND(K188*I188,0)</f>
        <v>36884269</v>
      </c>
      <c r="N188" s="2"/>
      <c r="O188" s="3"/>
      <c r="P188" s="2"/>
    </row>
    <row r="189" spans="1:16" x14ac:dyDescent="0.35">
      <c r="A189" s="406"/>
      <c r="B189" s="410"/>
      <c r="C189" s="392"/>
      <c r="D189" s="1187" t="str">
        <f>$C$75</f>
        <v>D3</v>
      </c>
      <c r="E189" s="36"/>
      <c r="F189" s="1187" t="str">
        <f>$D$75</f>
        <v>All Day</v>
      </c>
      <c r="G189" s="3"/>
      <c r="H189" s="3"/>
      <c r="I189" s="38">
        <f>I86</f>
        <v>2302047.6</v>
      </c>
      <c r="J189" s="3"/>
      <c r="K189" s="35">
        <f>J110</f>
        <v>6.52</v>
      </c>
      <c r="L189" s="3"/>
      <c r="M189" s="37">
        <f>ROUND(K189*I189,0)</f>
        <v>15009350</v>
      </c>
      <c r="N189" s="2"/>
      <c r="O189" s="3"/>
      <c r="P189" s="2"/>
    </row>
    <row r="190" spans="1:16" x14ac:dyDescent="0.35">
      <c r="A190" s="406"/>
      <c r="B190" s="410"/>
      <c r="C190" s="392"/>
      <c r="D190" s="121"/>
      <c r="E190" s="121"/>
      <c r="F190" s="121"/>
      <c r="G190" s="2"/>
      <c r="H190" s="2"/>
      <c r="I190" s="220">
        <f>I187+I188+I189</f>
        <v>4546981.82</v>
      </c>
      <c r="J190" s="2"/>
      <c r="K190" s="228"/>
      <c r="L190" s="2"/>
      <c r="M190" s="832">
        <f>M186+M187+M188+M189</f>
        <v>52080357</v>
      </c>
      <c r="N190" s="2"/>
      <c r="O190" s="36" t="s">
        <v>7</v>
      </c>
      <c r="P190" s="2"/>
    </row>
    <row r="191" spans="1:16" x14ac:dyDescent="0.35">
      <c r="A191" s="406"/>
      <c r="B191" s="410"/>
      <c r="C191" s="392"/>
      <c r="D191" s="121"/>
      <c r="E191" s="121"/>
      <c r="F191" s="121"/>
      <c r="G191" s="2"/>
      <c r="H191" s="2"/>
      <c r="I191" s="220"/>
      <c r="J191" s="2"/>
      <c r="K191" s="228"/>
      <c r="L191" s="222" t="s">
        <v>22</v>
      </c>
      <c r="M191" s="277">
        <f>ROUND(M190*(O191-1),0)</f>
        <v>555697</v>
      </c>
      <c r="N191" s="222" t="s">
        <v>23</v>
      </c>
      <c r="O191" s="40">
        <f>L11</f>
        <v>1.01067</v>
      </c>
      <c r="P191" s="2"/>
    </row>
    <row r="192" spans="1:16" x14ac:dyDescent="0.35">
      <c r="A192" s="406"/>
      <c r="B192" s="410"/>
      <c r="C192" s="392"/>
      <c r="D192" s="121"/>
      <c r="E192" s="121"/>
      <c r="F192" s="121"/>
      <c r="G192" s="220"/>
      <c r="H192" s="2"/>
      <c r="I192" s="220"/>
      <c r="J192" s="2"/>
      <c r="K192" s="228"/>
      <c r="L192" s="222" t="s">
        <v>21</v>
      </c>
      <c r="M192" s="599">
        <f>M190+M191</f>
        <v>52636054</v>
      </c>
      <c r="N192" s="1211"/>
      <c r="O192" s="3"/>
      <c r="P192" s="2"/>
    </row>
    <row r="193" spans="1:17" x14ac:dyDescent="0.35">
      <c r="A193" s="406"/>
      <c r="B193" s="410"/>
      <c r="C193" s="39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2"/>
    </row>
    <row r="194" spans="1:17" x14ac:dyDescent="0.35">
      <c r="A194" s="406"/>
      <c r="B194" s="410"/>
      <c r="C194" s="1212" t="str">
        <f>CONCATENATE($A$4," - Annual Demand Revenue Price-Out at Proposed Rates - Incl. EDB:")</f>
        <v>SC8 Rate III - Annual Demand Revenue Price-Out at Proposed Rates - Incl. EDB:</v>
      </c>
      <c r="D194" s="2"/>
      <c r="E194" s="2"/>
      <c r="F194" s="2"/>
      <c r="G194" s="2"/>
      <c r="H194" s="2"/>
      <c r="I194" s="2"/>
      <c r="J194" s="2"/>
      <c r="K194" s="2"/>
      <c r="L194" s="2"/>
      <c r="M194" s="599">
        <f>M182+M192</f>
        <v>138994995</v>
      </c>
      <c r="N194" s="2"/>
      <c r="O194" s="3"/>
      <c r="P194" s="2"/>
    </row>
    <row r="195" spans="1:17" x14ac:dyDescent="0.35">
      <c r="A195" s="406"/>
      <c r="B195" s="410"/>
      <c r="C195" s="410"/>
      <c r="D195" s="3"/>
      <c r="E195" s="3"/>
      <c r="F195" s="3"/>
      <c r="G195" s="3"/>
      <c r="H195" s="3"/>
      <c r="I195" s="3"/>
      <c r="J195" s="3"/>
      <c r="K195" s="3"/>
      <c r="L195" s="3"/>
      <c r="M195" s="26"/>
      <c r="N195" s="3"/>
      <c r="O195" s="3"/>
      <c r="P195" s="2"/>
    </row>
    <row r="196" spans="1:17" x14ac:dyDescent="0.35">
      <c r="A196" s="406"/>
      <c r="B196" s="4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6"/>
      <c r="N196" s="17"/>
      <c r="O196" s="3"/>
      <c r="P196" s="2"/>
    </row>
    <row r="197" spans="1:17" ht="15" thickBot="1" x14ac:dyDescent="0.4">
      <c r="A197" s="334"/>
      <c r="B197" s="334" t="str">
        <f>CONCATENATE($A$4," at Proposed Energy Rates")</f>
        <v>SC8 Rate III at Proposed Energy Rates</v>
      </c>
      <c r="C197" s="3"/>
      <c r="D197" s="3"/>
      <c r="E197" s="3"/>
      <c r="F197" s="3"/>
      <c r="G197" s="3"/>
      <c r="H197" s="3"/>
      <c r="I197" s="3"/>
      <c r="K197" s="367" t="s">
        <v>426</v>
      </c>
      <c r="L197" s="368">
        <f>$L$10</f>
        <v>1.0119199999999999</v>
      </c>
      <c r="N197" s="344" t="str">
        <f>$A$4</f>
        <v>SC8 Rate III</v>
      </c>
      <c r="P197"/>
      <c r="Q197" s="1"/>
    </row>
    <row r="198" spans="1:17" ht="15.5" thickTop="1" thickBot="1" x14ac:dyDescent="0.4">
      <c r="B198" s="487" t="s">
        <v>718</v>
      </c>
      <c r="H198" s="1307" t="s">
        <v>417</v>
      </c>
      <c r="I198" s="1308"/>
      <c r="J198" s="1309"/>
      <c r="L198" s="463" t="s">
        <v>475</v>
      </c>
      <c r="N198" s="935" t="s">
        <v>42</v>
      </c>
      <c r="P198"/>
      <c r="Q198" s="1"/>
    </row>
    <row r="199" spans="1:17" ht="15" thickTop="1" x14ac:dyDescent="0.35">
      <c r="B199" s="3"/>
      <c r="H199" s="30" t="s">
        <v>416</v>
      </c>
      <c r="I199" s="30" t="s">
        <v>674</v>
      </c>
      <c r="J199" s="36" t="s">
        <v>676</v>
      </c>
      <c r="L199" s="30" t="s">
        <v>425</v>
      </c>
      <c r="N199" s="36" t="s">
        <v>675</v>
      </c>
      <c r="P199"/>
      <c r="Q199" s="1"/>
    </row>
    <row r="200" spans="1:17" x14ac:dyDescent="0.35">
      <c r="B200" s="407" t="s">
        <v>42</v>
      </c>
      <c r="C200" s="355" t="str">
        <f>$F$135</f>
        <v>On Peak</v>
      </c>
      <c r="D200" s="121"/>
      <c r="E200" s="122"/>
      <c r="H200" s="223">
        <f>H167</f>
        <v>7.9000000000000008E-3</v>
      </c>
      <c r="I200" s="105">
        <f>I152</f>
        <v>669257361</v>
      </c>
      <c r="J200" s="26">
        <f>ROUND(H200*I200,0)</f>
        <v>5287133</v>
      </c>
      <c r="L200" s="397"/>
      <c r="N200" s="26">
        <f>J200+L200</f>
        <v>5287133</v>
      </c>
      <c r="P200"/>
      <c r="Q200" s="1"/>
    </row>
    <row r="201" spans="1:17" x14ac:dyDescent="0.35">
      <c r="B201" s="406"/>
      <c r="C201" s="355" t="str">
        <f>$F$136</f>
        <v>Off Peak</v>
      </c>
      <c r="D201" s="36"/>
      <c r="E201" s="122"/>
      <c r="H201" s="223">
        <f>H168</f>
        <v>7.9000000000000008E-3</v>
      </c>
      <c r="I201" s="105">
        <f>I153</f>
        <v>0</v>
      </c>
      <c r="J201" s="26">
        <f>ROUND(H201*I201,0)</f>
        <v>0</v>
      </c>
      <c r="L201" s="397"/>
      <c r="N201" s="26">
        <f>J201+L201</f>
        <v>0</v>
      </c>
      <c r="P201"/>
      <c r="Q201" s="1"/>
    </row>
    <row r="202" spans="1:17" x14ac:dyDescent="0.35">
      <c r="B202" s="406"/>
      <c r="C202" s="3" t="s">
        <v>420</v>
      </c>
      <c r="D202" s="3"/>
      <c r="E202" s="3"/>
      <c r="F202" s="3"/>
      <c r="H202" s="223"/>
      <c r="I202" s="223"/>
      <c r="J202" s="32">
        <f>SUM(J200:J201)</f>
        <v>5287133</v>
      </c>
      <c r="L202" s="32">
        <f>SUM(L200:L201)</f>
        <v>0</v>
      </c>
      <c r="N202" s="32">
        <f>SUM(N200:N201)</f>
        <v>5287133</v>
      </c>
      <c r="P202"/>
      <c r="Q202" s="1"/>
    </row>
    <row r="203" spans="1:17" s="1" customFormat="1" x14ac:dyDescent="0.35">
      <c r="B203" s="464"/>
      <c r="C203" s="2"/>
      <c r="D203" s="121"/>
      <c r="E203" s="121"/>
      <c r="F203" s="361"/>
      <c r="H203" s="223"/>
      <c r="I203" s="362"/>
      <c r="J203" s="395"/>
      <c r="K203"/>
    </row>
    <row r="204" spans="1:17" s="1" customFormat="1" ht="15" thickBot="1" x14ac:dyDescent="0.4">
      <c r="B204" s="464"/>
      <c r="C204" s="2"/>
      <c r="D204" s="121"/>
      <c r="E204" s="121"/>
      <c r="F204" s="361"/>
      <c r="H204" s="223"/>
      <c r="I204" s="362"/>
      <c r="J204" s="223"/>
      <c r="K204"/>
      <c r="L204" s="368">
        <f>$L$11</f>
        <v>1.01067</v>
      </c>
    </row>
    <row r="205" spans="1:17" s="1" customFormat="1" ht="15.5" thickTop="1" thickBot="1" x14ac:dyDescent="0.4">
      <c r="B205" s="464"/>
      <c r="C205" s="2"/>
      <c r="D205" s="121"/>
      <c r="E205" s="121"/>
      <c r="F205" s="361"/>
      <c r="H205" s="1307" t="s">
        <v>417</v>
      </c>
      <c r="I205" s="1308"/>
      <c r="J205" s="1309"/>
      <c r="K205"/>
      <c r="L205" s="463" t="s">
        <v>475</v>
      </c>
      <c r="N205" s="935" t="s">
        <v>40</v>
      </c>
    </row>
    <row r="206" spans="1:17" s="1" customFormat="1" ht="15" thickTop="1" x14ac:dyDescent="0.35">
      <c r="B206" s="464"/>
      <c r="C206" s="2"/>
      <c r="D206" s="121"/>
      <c r="E206" s="121"/>
      <c r="F206" s="361"/>
      <c r="H206" s="30" t="s">
        <v>416</v>
      </c>
      <c r="I206" s="30" t="s">
        <v>674</v>
      </c>
      <c r="J206" s="36" t="s">
        <v>676</v>
      </c>
      <c r="K206"/>
      <c r="L206" s="30" t="s">
        <v>425</v>
      </c>
      <c r="N206" s="36" t="s">
        <v>675</v>
      </c>
    </row>
    <row r="207" spans="1:17" s="1" customFormat="1" x14ac:dyDescent="0.35">
      <c r="B207" s="407" t="s">
        <v>40</v>
      </c>
      <c r="C207" s="355" t="str">
        <f>$F$135</f>
        <v>On Peak</v>
      </c>
      <c r="D207" s="121"/>
      <c r="E207" s="122"/>
      <c r="H207" s="223">
        <f>J167</f>
        <v>7.9000000000000008E-3</v>
      </c>
      <c r="I207" s="105">
        <f>I154</f>
        <v>1011497507.01</v>
      </c>
      <c r="J207" s="26">
        <f>ROUND(H207*I207,0)</f>
        <v>7990830</v>
      </c>
      <c r="K207"/>
      <c r="L207" s="397"/>
      <c r="N207" s="26">
        <f>J207+L207</f>
        <v>7990830</v>
      </c>
    </row>
    <row r="208" spans="1:17" s="1" customFormat="1" x14ac:dyDescent="0.35">
      <c r="B208" s="406"/>
      <c r="C208" s="355" t="str">
        <f>$F$136</f>
        <v>Off Peak</v>
      </c>
      <c r="D208" s="36"/>
      <c r="E208" s="122"/>
      <c r="H208" s="223">
        <f>J168</f>
        <v>7.9000000000000008E-3</v>
      </c>
      <c r="I208" s="105">
        <f>I155</f>
        <v>0</v>
      </c>
      <c r="J208" s="26">
        <f>ROUND(H208*I208,0)</f>
        <v>0</v>
      </c>
      <c r="K208"/>
      <c r="L208" s="397"/>
      <c r="N208" s="26">
        <f>J208+L208</f>
        <v>0</v>
      </c>
    </row>
    <row r="209" spans="2:18" s="1" customFormat="1" x14ac:dyDescent="0.35">
      <c r="B209" s="406"/>
      <c r="C209" s="3" t="s">
        <v>421</v>
      </c>
      <c r="D209" s="3"/>
      <c r="E209" s="3"/>
      <c r="F209" s="3"/>
      <c r="H209" s="223"/>
      <c r="I209" s="223"/>
      <c r="J209" s="32">
        <f>SUM(J207:J208)</f>
        <v>7990830</v>
      </c>
      <c r="K209"/>
      <c r="L209" s="32">
        <f>SUM(L207:L208)</f>
        <v>0</v>
      </c>
      <c r="N209" s="32">
        <f>SUM(N207:N208)</f>
        <v>7990830</v>
      </c>
    </row>
    <row r="210" spans="2:18" s="1" customFormat="1" ht="15" thickBot="1" x14ac:dyDescent="0.4">
      <c r="B210" s="464"/>
      <c r="C210" s="392"/>
      <c r="D210" s="979"/>
      <c r="E210" s="979"/>
      <c r="F210" s="981"/>
      <c r="H210" s="223"/>
      <c r="I210" s="362"/>
      <c r="J210" s="395"/>
      <c r="K210"/>
      <c r="N210" s="223"/>
    </row>
    <row r="211" spans="2:18" s="1" customFormat="1" ht="15.5" thickTop="1" thickBot="1" x14ac:dyDescent="0.4">
      <c r="B211" s="464"/>
      <c r="C211" s="837" t="str">
        <f>CONCATENATE($A$4," - Annual Energy Revenue Price-Out at Proposed Rates:")</f>
        <v>SC8 Rate III - Annual Energy Revenue Price-Out at Proposed Rates:</v>
      </c>
      <c r="D211" s="979"/>
      <c r="E211" s="979"/>
      <c r="F211" s="981"/>
      <c r="H211" s="223"/>
      <c r="I211" s="222" t="s">
        <v>427</v>
      </c>
      <c r="J211" s="243">
        <f>J202+J209</f>
        <v>13277963</v>
      </c>
      <c r="K211" s="222" t="s">
        <v>428</v>
      </c>
      <c r="L211" s="243">
        <f>L202+L209</f>
        <v>0</v>
      </c>
      <c r="N211" s="243">
        <f>N202+N209</f>
        <v>13277963</v>
      </c>
      <c r="O211" s="374"/>
    </row>
    <row r="212" spans="2:18" s="1" customFormat="1" ht="15" thickTop="1" x14ac:dyDescent="0.35">
      <c r="B212" s="464"/>
      <c r="C212" s="837"/>
      <c r="D212" s="979"/>
      <c r="E212" s="979"/>
      <c r="F212" s="981"/>
      <c r="H212" s="223"/>
      <c r="I212" s="222"/>
      <c r="J212" s="396"/>
      <c r="K212" s="362"/>
      <c r="L212" s="363"/>
      <c r="M212" s="364"/>
      <c r="N212" s="222"/>
      <c r="O212" s="26"/>
      <c r="Q212" s="26"/>
      <c r="R212" s="374"/>
    </row>
    <row r="213" spans="2:18" s="1" customFormat="1" x14ac:dyDescent="0.35">
      <c r="B213" s="464"/>
      <c r="C213" s="334" t="s">
        <v>684</v>
      </c>
      <c r="D213" s="979"/>
      <c r="E213" s="979"/>
      <c r="F213" s="981"/>
      <c r="H213" s="223"/>
      <c r="I213" s="222"/>
      <c r="J213" s="396"/>
      <c r="K213" s="362"/>
      <c r="L213" s="363"/>
      <c r="M213" s="364"/>
      <c r="N213" s="222"/>
      <c r="O213" s="26"/>
      <c r="Q213" s="26"/>
      <c r="R213" s="374"/>
    </row>
    <row r="214" spans="2:18" x14ac:dyDescent="0.35">
      <c r="B214" s="3"/>
      <c r="C214" s="41" t="str">
        <f>$A$4</f>
        <v>SC8 Rate III</v>
      </c>
      <c r="D214" s="3"/>
      <c r="E214" s="3"/>
      <c r="F214" s="3"/>
      <c r="G214" s="3"/>
      <c r="H214" s="3"/>
      <c r="I214" s="3"/>
      <c r="J214" s="3"/>
      <c r="K214" s="3"/>
      <c r="L214" s="3"/>
      <c r="M214" s="26"/>
      <c r="N214" s="17"/>
      <c r="O214" s="3"/>
      <c r="P214" s="2"/>
    </row>
    <row r="215" spans="2:18" x14ac:dyDescent="0.35">
      <c r="B215" s="3"/>
      <c r="C215" t="s">
        <v>1155</v>
      </c>
      <c r="D215" s="3"/>
      <c r="E215" s="3"/>
      <c r="F215" s="3"/>
      <c r="G215" s="3"/>
      <c r="H215" s="3"/>
      <c r="I215" s="3"/>
      <c r="J215" s="3"/>
      <c r="K215" s="3"/>
      <c r="L215" s="3"/>
      <c r="M215" s="26">
        <f>G39+H39</f>
        <v>31837.306616539892</v>
      </c>
      <c r="N215" s="2"/>
      <c r="O215" s="3"/>
      <c r="P215" s="2"/>
    </row>
    <row r="216" spans="2:18" x14ac:dyDescent="0.35">
      <c r="B216" s="3"/>
      <c r="C216" s="3" t="s">
        <v>678</v>
      </c>
      <c r="D216" s="3"/>
      <c r="E216" s="3"/>
      <c r="F216" s="3"/>
      <c r="G216" s="3"/>
      <c r="H216" s="3"/>
      <c r="I216" s="3"/>
      <c r="J216" s="3"/>
      <c r="K216" s="3"/>
      <c r="L216" s="3"/>
      <c r="M216" s="26">
        <f>M194</f>
        <v>138994995</v>
      </c>
      <c r="N216" s="2"/>
      <c r="O216" s="3"/>
      <c r="P216" s="2"/>
    </row>
    <row r="217" spans="2:18" ht="15" thickBot="1" x14ac:dyDescent="0.4">
      <c r="B217" s="3"/>
      <c r="C217" s="3" t="s">
        <v>677</v>
      </c>
      <c r="D217" s="3"/>
      <c r="E217" s="3"/>
      <c r="F217" s="3"/>
      <c r="G217" s="3"/>
      <c r="H217" s="3"/>
      <c r="I217" s="3"/>
      <c r="J217" s="3"/>
      <c r="K217" s="3"/>
      <c r="L217" s="3"/>
      <c r="M217" s="26">
        <f>N211</f>
        <v>13277963</v>
      </c>
      <c r="N217" s="2"/>
      <c r="O217" s="3"/>
      <c r="P217" s="2"/>
    </row>
    <row r="218" spans="2:18" ht="15.5" thickTop="1" thickBot="1" x14ac:dyDescent="0.4">
      <c r="B218" s="3"/>
      <c r="C218" s="837" t="s">
        <v>685</v>
      </c>
      <c r="D218" s="3"/>
      <c r="E218" s="3"/>
      <c r="F218" s="3"/>
      <c r="G218" s="3"/>
      <c r="H218" s="3"/>
      <c r="I218" s="3"/>
      <c r="J218" s="3"/>
      <c r="K218" s="3"/>
      <c r="L218" s="3"/>
      <c r="M218" s="925">
        <f>M216+M217+M215</f>
        <v>152304795.30661654</v>
      </c>
      <c r="N218" s="2"/>
      <c r="O218" s="3"/>
      <c r="P218" s="2"/>
    </row>
    <row r="219" spans="2:18" ht="15" thickTop="1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"/>
      <c r="O219" s="3"/>
      <c r="P219" s="2"/>
    </row>
    <row r="220" spans="2:18" ht="15" thickBot="1" x14ac:dyDescent="0.4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2"/>
      <c r="O220" s="3"/>
      <c r="P220" s="2"/>
    </row>
    <row r="221" spans="2:18" x14ac:dyDescent="0.35">
      <c r="B221" s="3"/>
      <c r="C221" s="1013" t="str">
        <f>$A$4</f>
        <v>SC8 Rate III</v>
      </c>
      <c r="D221" s="1016" t="s">
        <v>718</v>
      </c>
      <c r="E221" s="22"/>
      <c r="F221" s="22"/>
      <c r="G221" s="22"/>
      <c r="H221" s="22"/>
      <c r="I221" s="22"/>
      <c r="J221" s="22"/>
      <c r="K221" s="22"/>
      <c r="L221" s="22"/>
      <c r="M221" s="21" t="s">
        <v>6</v>
      </c>
      <c r="P221"/>
    </row>
    <row r="222" spans="2:18" x14ac:dyDescent="0.35">
      <c r="B222" s="3"/>
      <c r="C222" s="11" t="s">
        <v>5</v>
      </c>
      <c r="D222" s="1305">
        <f>L4</f>
        <v>2020</v>
      </c>
      <c r="E222" s="1305"/>
      <c r="F222" s="1305"/>
      <c r="G222" s="10"/>
      <c r="H222" s="10"/>
      <c r="I222" s="10"/>
      <c r="J222" s="10"/>
      <c r="K222" s="10"/>
      <c r="L222" s="10"/>
      <c r="M222" s="13"/>
      <c r="P222"/>
    </row>
    <row r="223" spans="2:18" x14ac:dyDescent="0.35">
      <c r="B223" s="3"/>
      <c r="C223" s="699" t="s">
        <v>1469</v>
      </c>
      <c r="D223" s="19"/>
      <c r="E223" s="19"/>
      <c r="F223" s="19"/>
      <c r="G223" s="10"/>
      <c r="H223" s="10"/>
      <c r="I223" s="10"/>
      <c r="J223" s="10"/>
      <c r="K223" s="10"/>
      <c r="L223" s="10"/>
      <c r="M223" s="12">
        <f>M218</f>
        <v>152304795.30661654</v>
      </c>
      <c r="P223"/>
    </row>
    <row r="224" spans="2:18" x14ac:dyDescent="0.35">
      <c r="B224" s="3"/>
      <c r="C224" s="20"/>
      <c r="D224" s="368"/>
      <c r="E224" s="19"/>
      <c r="F224" s="19"/>
      <c r="G224" s="10"/>
      <c r="I224" s="10"/>
      <c r="J224" s="10"/>
      <c r="K224" s="10"/>
      <c r="L224" s="469"/>
      <c r="M224" s="470"/>
      <c r="P224"/>
    </row>
    <row r="225" spans="1:16" x14ac:dyDescent="0.35">
      <c r="B225" s="3"/>
      <c r="C225" s="20"/>
      <c r="D225" s="368"/>
      <c r="E225" s="19"/>
      <c r="F225" s="19"/>
      <c r="G225" s="10"/>
      <c r="I225" s="10"/>
      <c r="J225" s="10"/>
      <c r="K225" s="10"/>
      <c r="L225" s="469"/>
      <c r="M225" s="470"/>
      <c r="P225"/>
    </row>
    <row r="226" spans="1:16" x14ac:dyDescent="0.35">
      <c r="B226" s="3"/>
      <c r="C226" s="20"/>
      <c r="D226" s="368"/>
      <c r="E226" s="19"/>
      <c r="F226" s="19"/>
      <c r="G226" s="10"/>
      <c r="I226" s="10"/>
      <c r="J226" s="10"/>
      <c r="K226" s="10"/>
      <c r="L226" s="469"/>
      <c r="M226" s="470"/>
      <c r="P226"/>
    </row>
    <row r="227" spans="1:16" x14ac:dyDescent="0.35">
      <c r="B227" s="3"/>
      <c r="C227" s="20"/>
      <c r="D227" s="368"/>
      <c r="E227" s="19"/>
      <c r="F227" s="19"/>
      <c r="G227" s="10"/>
      <c r="I227" s="10"/>
      <c r="J227" s="10"/>
      <c r="K227" s="10"/>
      <c r="L227" s="469"/>
      <c r="M227" s="188">
        <f>SUM(L224:L226)</f>
        <v>0</v>
      </c>
      <c r="P227"/>
    </row>
    <row r="228" spans="1:16" x14ac:dyDescent="0.35">
      <c r="B228" s="3"/>
      <c r="C228" s="11" t="s">
        <v>1469</v>
      </c>
      <c r="D228" s="10"/>
      <c r="E228" s="10"/>
      <c r="F228" s="10"/>
      <c r="G228" s="10"/>
      <c r="I228" s="10"/>
      <c r="J228" s="10"/>
      <c r="K228" s="10"/>
      <c r="L228" s="10"/>
      <c r="M228" s="12">
        <f>M223+M227</f>
        <v>152304795.30661654</v>
      </c>
      <c r="P228"/>
    </row>
    <row r="229" spans="1:16" x14ac:dyDescent="0.35">
      <c r="B229" s="3"/>
      <c r="C229" s="11"/>
      <c r="D229" s="10"/>
      <c r="E229" s="10"/>
      <c r="F229" s="10"/>
      <c r="G229" s="10"/>
      <c r="H229" s="10"/>
      <c r="I229" s="10"/>
      <c r="J229" s="10"/>
      <c r="K229" s="10"/>
      <c r="L229" s="10"/>
      <c r="M229" s="13"/>
      <c r="P229"/>
    </row>
    <row r="230" spans="1:16" x14ac:dyDescent="0.35">
      <c r="B230" s="3"/>
      <c r="C230" s="11"/>
      <c r="D230" s="10" t="s">
        <v>2</v>
      </c>
      <c r="E230" s="10"/>
      <c r="F230" s="10"/>
      <c r="G230" s="10"/>
      <c r="H230" s="10"/>
      <c r="I230" s="10"/>
      <c r="J230" s="10"/>
      <c r="K230" s="10"/>
      <c r="L230" s="10"/>
      <c r="M230" s="924">
        <f>L22</f>
        <v>152299351.30661654</v>
      </c>
      <c r="P230"/>
    </row>
    <row r="231" spans="1:16" x14ac:dyDescent="0.35">
      <c r="B231" s="3"/>
      <c r="C231" s="11"/>
      <c r="D231" s="10" t="s">
        <v>1</v>
      </c>
      <c r="E231" s="10"/>
      <c r="F231" s="10"/>
      <c r="G231" s="10"/>
      <c r="H231" s="10"/>
      <c r="I231" s="10"/>
      <c r="J231" s="10"/>
      <c r="K231" s="10"/>
      <c r="L231" s="10"/>
      <c r="M231" s="12">
        <f>M228-M230</f>
        <v>5444</v>
      </c>
      <c r="P231"/>
    </row>
    <row r="232" spans="1:16" x14ac:dyDescent="0.35">
      <c r="B232" s="3"/>
      <c r="C232" s="11"/>
      <c r="D232" s="10" t="s">
        <v>0</v>
      </c>
      <c r="E232" s="10"/>
      <c r="F232" s="10"/>
      <c r="G232" s="10"/>
      <c r="H232" s="10"/>
      <c r="I232" s="10"/>
      <c r="J232" s="10"/>
      <c r="K232" s="10"/>
      <c r="L232" s="10"/>
      <c r="M232" s="9">
        <f>M228/M230-1</f>
        <v>3.574539190931425E-5</v>
      </c>
      <c r="P232"/>
    </row>
    <row r="233" spans="1:16" ht="15" thickBot="1" x14ac:dyDescent="0.4">
      <c r="B233" s="3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5"/>
      <c r="P233"/>
    </row>
    <row r="234" spans="1:16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2"/>
      <c r="O234" s="3"/>
      <c r="P234" s="2"/>
    </row>
    <row r="235" spans="1:16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2"/>
      <c r="O235" s="3"/>
      <c r="P235" s="2"/>
    </row>
    <row r="236" spans="1:16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2"/>
    </row>
    <row r="237" spans="1:16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2"/>
    </row>
    <row r="238" spans="1:16" s="87" customFormat="1" x14ac:dyDescent="0.35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</row>
    <row r="239" spans="1:16" x14ac:dyDescent="0.35">
      <c r="A239" s="334" t="s">
        <v>1250</v>
      </c>
      <c r="B239" s="410"/>
      <c r="C239" s="410"/>
      <c r="D239" s="410"/>
      <c r="E239" s="410"/>
      <c r="F239" s="3"/>
      <c r="G239" s="3"/>
      <c r="H239" s="3"/>
      <c r="I239" s="3"/>
    </row>
    <row r="240" spans="1:16" x14ac:dyDescent="0.35">
      <c r="A240" s="334"/>
      <c r="B240" s="410"/>
      <c r="C240" s="410"/>
    </row>
    <row r="241" spans="1:15" x14ac:dyDescent="0.35">
      <c r="A241" s="410"/>
      <c r="B241" s="334" t="str">
        <f>CONCATENATE($A$4," at Proposed Demand Rates")</f>
        <v>SC8 Rate III at Proposed Demand Rates</v>
      </c>
      <c r="C241" s="410"/>
      <c r="D241" s="392"/>
      <c r="E241" s="392"/>
      <c r="F241" s="2"/>
      <c r="G241" s="2"/>
      <c r="H241" s="2"/>
      <c r="I241" s="1208" t="s">
        <v>1158</v>
      </c>
      <c r="J241" s="1"/>
      <c r="K241" s="1"/>
      <c r="L241" s="2"/>
      <c r="M241" s="1209" t="s">
        <v>10</v>
      </c>
      <c r="N241" s="3"/>
    </row>
    <row r="242" spans="1:15" x14ac:dyDescent="0.35">
      <c r="A242" s="410"/>
      <c r="B242" s="410"/>
      <c r="C242" s="410"/>
      <c r="D242" s="392"/>
      <c r="E242" s="392"/>
      <c r="F242" s="2"/>
      <c r="G242" s="2"/>
      <c r="H242" s="219" t="s">
        <v>26</v>
      </c>
      <c r="I242" s="219" t="s">
        <v>25</v>
      </c>
      <c r="J242" s="2"/>
      <c r="K242" s="219" t="s">
        <v>11</v>
      </c>
      <c r="L242" s="2"/>
      <c r="M242" s="219" t="s">
        <v>6</v>
      </c>
      <c r="N242" s="3"/>
    </row>
    <row r="243" spans="1:15" x14ac:dyDescent="0.35">
      <c r="A243" s="406"/>
      <c r="B243" s="410" t="s">
        <v>656</v>
      </c>
      <c r="C243" s="835" t="s">
        <v>667</v>
      </c>
      <c r="D243" s="1158" t="s">
        <v>1174</v>
      </c>
      <c r="E243" s="1168"/>
      <c r="F243" s="1158"/>
      <c r="G243" s="1133"/>
      <c r="H243" s="1159">
        <f>X10+X20</f>
        <v>588</v>
      </c>
      <c r="K243" s="1157">
        <f>K176</f>
        <v>12.45</v>
      </c>
      <c r="L243" s="3"/>
      <c r="M243" s="1164">
        <f>ROUND(H243*K243,0)</f>
        <v>7321</v>
      </c>
      <c r="N243" s="3"/>
    </row>
    <row r="244" spans="1:15" x14ac:dyDescent="0.35">
      <c r="A244" s="406"/>
      <c r="B244" s="410"/>
      <c r="C244" s="410" t="s">
        <v>42</v>
      </c>
      <c r="D244" s="1187" t="str">
        <f>$C$73</f>
        <v>D1</v>
      </c>
      <c r="E244" s="36"/>
      <c r="F244" s="1187" t="str">
        <f>$D$73</f>
        <v>8-6</v>
      </c>
      <c r="G244" s="3"/>
      <c r="H244" s="3"/>
      <c r="I244" s="105">
        <f>$H$81</f>
        <v>147810</v>
      </c>
      <c r="J244" s="3"/>
      <c r="K244" s="35">
        <f>K177</f>
        <v>9.32</v>
      </c>
      <c r="L244" s="3"/>
      <c r="M244" s="26">
        <f>ROUND(K244*I244,0)</f>
        <v>1377589</v>
      </c>
      <c r="N244" s="3"/>
    </row>
    <row r="245" spans="1:15" x14ac:dyDescent="0.35">
      <c r="A245" s="406"/>
      <c r="B245" s="410"/>
      <c r="C245" s="410"/>
      <c r="D245" s="1187" t="str">
        <f>$C$74</f>
        <v>D2</v>
      </c>
      <c r="E245" s="36"/>
      <c r="F245" s="1187" t="str">
        <f>$D$74</f>
        <v>8-10</v>
      </c>
      <c r="G245" s="3"/>
      <c r="H245" s="3"/>
      <c r="I245" s="105">
        <f>$H$83</f>
        <v>156215</v>
      </c>
      <c r="J245" s="3"/>
      <c r="K245" s="35">
        <f>K178</f>
        <v>22.24</v>
      </c>
      <c r="L245" s="3"/>
      <c r="M245" s="26">
        <f>ROUND(K245*I245,0)</f>
        <v>3474222</v>
      </c>
      <c r="N245" s="3"/>
    </row>
    <row r="246" spans="1:15" x14ac:dyDescent="0.35">
      <c r="A246" s="406"/>
      <c r="B246" s="410"/>
      <c r="C246" s="410"/>
      <c r="D246" s="1187" t="str">
        <f>$C$75</f>
        <v>D3</v>
      </c>
      <c r="E246" s="36"/>
      <c r="F246" s="1187" t="str">
        <f>$D$75</f>
        <v>All Day</v>
      </c>
      <c r="G246" s="3"/>
      <c r="H246" s="3"/>
      <c r="I246" s="351">
        <f>$H$85</f>
        <v>157028</v>
      </c>
      <c r="J246" s="3"/>
      <c r="K246" s="35">
        <f>K179</f>
        <v>20.48</v>
      </c>
      <c r="L246" s="3"/>
      <c r="M246" s="37">
        <f>ROUND(K246*I246,0)</f>
        <v>3215933</v>
      </c>
      <c r="N246" s="3"/>
    </row>
    <row r="247" spans="1:15" x14ac:dyDescent="0.35">
      <c r="A247" s="406"/>
      <c r="B247" s="410"/>
      <c r="C247" s="410"/>
      <c r="D247" s="36"/>
      <c r="E247" s="36"/>
      <c r="F247" s="36"/>
      <c r="G247" s="3"/>
      <c r="H247" s="3"/>
      <c r="I247" s="28">
        <f>I244+I245+I246</f>
        <v>461053</v>
      </c>
      <c r="J247" s="3"/>
      <c r="K247" s="35"/>
      <c r="L247" s="3"/>
      <c r="M247" s="832">
        <f>M243+M244+M245+M246</f>
        <v>8075065</v>
      </c>
      <c r="N247" s="34"/>
      <c r="O247" s="36" t="s">
        <v>10</v>
      </c>
    </row>
    <row r="248" spans="1:15" x14ac:dyDescent="0.35">
      <c r="A248" s="406"/>
      <c r="B248" s="410"/>
      <c r="C248" s="410"/>
      <c r="D248" s="36"/>
      <c r="E248" s="36"/>
      <c r="F248" s="36"/>
      <c r="G248" s="28"/>
      <c r="H248" s="3"/>
      <c r="I248" s="28"/>
      <c r="J248" s="3"/>
      <c r="K248" s="35"/>
      <c r="L248" s="33" t="s">
        <v>22</v>
      </c>
      <c r="M248" s="34">
        <f>ROUND(M247*(O248-1),0)</f>
        <v>96255</v>
      </c>
      <c r="N248" s="33" t="s">
        <v>23</v>
      </c>
      <c r="O248" s="40">
        <f>$L$10</f>
        <v>1.0119199999999999</v>
      </c>
    </row>
    <row r="249" spans="1:15" x14ac:dyDescent="0.35">
      <c r="A249" s="406"/>
      <c r="B249" s="410"/>
      <c r="C249" s="410"/>
      <c r="D249" s="36"/>
      <c r="E249" s="36"/>
      <c r="F249" s="36"/>
      <c r="G249" s="28"/>
      <c r="H249" s="3"/>
      <c r="I249" s="28"/>
      <c r="J249" s="3"/>
      <c r="K249" s="35"/>
      <c r="L249" s="33" t="s">
        <v>21</v>
      </c>
      <c r="M249" s="32">
        <f>M247+M248</f>
        <v>8171320</v>
      </c>
      <c r="N249" s="8"/>
      <c r="O249" s="3"/>
    </row>
    <row r="250" spans="1:15" x14ac:dyDescent="0.35">
      <c r="A250" s="406"/>
      <c r="B250" s="410"/>
      <c r="C250" s="410"/>
      <c r="M250" s="3"/>
      <c r="N250" s="3"/>
      <c r="O250" s="3"/>
    </row>
    <row r="251" spans="1:15" x14ac:dyDescent="0.35">
      <c r="A251" s="406"/>
      <c r="B251" s="410"/>
      <c r="C251" s="410"/>
      <c r="D251" s="3"/>
      <c r="E251" s="3"/>
      <c r="F251" s="3"/>
      <c r="G251" s="3"/>
      <c r="H251" s="3"/>
      <c r="I251" s="486" t="s">
        <v>1158</v>
      </c>
      <c r="J251" s="3"/>
      <c r="K251" s="3"/>
      <c r="L251" s="3"/>
      <c r="M251" s="462" t="s">
        <v>7</v>
      </c>
      <c r="N251" s="3"/>
      <c r="O251" s="3"/>
    </row>
    <row r="252" spans="1:15" x14ac:dyDescent="0.35">
      <c r="A252" s="406"/>
      <c r="B252" s="410"/>
      <c r="C252" s="410"/>
      <c r="D252" s="3"/>
      <c r="E252" s="3"/>
      <c r="F252" s="3"/>
      <c r="G252" s="3"/>
      <c r="H252" s="30" t="s">
        <v>26</v>
      </c>
      <c r="I252" s="30" t="s">
        <v>25</v>
      </c>
      <c r="J252" s="3"/>
      <c r="K252" s="30" t="s">
        <v>11</v>
      </c>
      <c r="L252" s="3"/>
      <c r="M252" s="30" t="s">
        <v>6</v>
      </c>
      <c r="N252" s="3"/>
      <c r="O252" s="3"/>
    </row>
    <row r="253" spans="1:15" x14ac:dyDescent="0.35">
      <c r="A253" s="406"/>
      <c r="B253" s="410"/>
      <c r="C253" s="410"/>
      <c r="D253" s="1158" t="s">
        <v>1174</v>
      </c>
      <c r="E253" s="1168"/>
      <c r="F253" s="1158"/>
      <c r="G253" s="1133"/>
      <c r="H253" s="1159">
        <f>X15+X25</f>
        <v>1171</v>
      </c>
      <c r="J253" s="3"/>
      <c r="K253" s="1157">
        <f>K186</f>
        <v>12.45</v>
      </c>
      <c r="L253" s="3"/>
      <c r="M253" s="1164">
        <f>ROUND(H253*K253,0)</f>
        <v>14579</v>
      </c>
      <c r="N253" s="3"/>
      <c r="O253" s="3"/>
    </row>
    <row r="254" spans="1:15" x14ac:dyDescent="0.35">
      <c r="A254" s="406"/>
      <c r="B254" s="410"/>
      <c r="C254" s="410" t="s">
        <v>40</v>
      </c>
      <c r="D254" s="1187" t="str">
        <f>$C$73</f>
        <v>D1</v>
      </c>
      <c r="E254" s="36"/>
      <c r="F254" s="1187" t="str">
        <f>$D$73</f>
        <v>8-6</v>
      </c>
      <c r="G254" s="3"/>
      <c r="H254" s="3"/>
      <c r="I254" s="105">
        <f>$H$82</f>
        <v>0</v>
      </c>
      <c r="J254" s="3"/>
      <c r="K254" s="35">
        <f>K187</f>
        <v>0</v>
      </c>
      <c r="L254" s="3"/>
      <c r="M254" s="26">
        <f>ROUND(K254*I254,0)</f>
        <v>0</v>
      </c>
      <c r="N254" s="3"/>
      <c r="O254" s="3"/>
    </row>
    <row r="255" spans="1:15" x14ac:dyDescent="0.35">
      <c r="A255" s="406"/>
      <c r="B255" s="410"/>
      <c r="C255" s="410"/>
      <c r="D255" s="1187" t="str">
        <f>$C$74</f>
        <v>D2</v>
      </c>
      <c r="E255" s="36"/>
      <c r="F255" s="1187" t="str">
        <f>$D$74</f>
        <v>8-10</v>
      </c>
      <c r="G255" s="3"/>
      <c r="H255" s="3"/>
      <c r="I255" s="105">
        <f>$H$84</f>
        <v>215552</v>
      </c>
      <c r="J255" s="3"/>
      <c r="K255" s="35">
        <f>K188</f>
        <v>16.43</v>
      </c>
      <c r="L255" s="3"/>
      <c r="M255" s="26">
        <f>ROUND(K255*I255,0)</f>
        <v>3541519</v>
      </c>
      <c r="N255" s="3"/>
      <c r="O255" s="3"/>
    </row>
    <row r="256" spans="1:15" x14ac:dyDescent="0.35">
      <c r="A256" s="406"/>
      <c r="B256" s="410"/>
      <c r="C256" s="410"/>
      <c r="D256" s="1187" t="str">
        <f>$C$75</f>
        <v>D3</v>
      </c>
      <c r="E256" s="36"/>
      <c r="F256" s="1187" t="str">
        <f>$D$75</f>
        <v>All Day</v>
      </c>
      <c r="G256" s="3"/>
      <c r="H256" s="3"/>
      <c r="I256" s="351">
        <f>$H$86</f>
        <v>218386</v>
      </c>
      <c r="J256" s="3"/>
      <c r="K256" s="35">
        <f>K189</f>
        <v>6.52</v>
      </c>
      <c r="L256" s="3"/>
      <c r="M256" s="37">
        <f>ROUND(K256*I256,0)</f>
        <v>1423877</v>
      </c>
      <c r="N256" s="3"/>
      <c r="O256" s="3"/>
    </row>
    <row r="257" spans="1:15" x14ac:dyDescent="0.35">
      <c r="A257" s="406"/>
      <c r="B257" s="410"/>
      <c r="C257" s="410"/>
      <c r="D257" s="36"/>
      <c r="E257" s="36"/>
      <c r="F257" s="36"/>
      <c r="G257" s="3"/>
      <c r="H257" s="3"/>
      <c r="I257" s="28">
        <f>I254+I255+I256</f>
        <v>433938</v>
      </c>
      <c r="J257" s="3"/>
      <c r="K257" s="35"/>
      <c r="L257" s="3"/>
      <c r="M257" s="832">
        <f>M253+M254+M255+M256</f>
        <v>4979975</v>
      </c>
      <c r="N257" s="3"/>
      <c r="O257" s="36" t="s">
        <v>7</v>
      </c>
    </row>
    <row r="258" spans="1:15" x14ac:dyDescent="0.35">
      <c r="A258" s="406"/>
      <c r="B258" s="410"/>
      <c r="C258" s="410"/>
      <c r="D258" s="36"/>
      <c r="E258" s="36"/>
      <c r="F258" s="36"/>
      <c r="G258" s="3"/>
      <c r="H258" s="3"/>
      <c r="I258" s="28"/>
      <c r="J258" s="3"/>
      <c r="K258" s="35"/>
      <c r="L258" s="33" t="s">
        <v>22</v>
      </c>
      <c r="M258" s="34">
        <f>ROUND(M257*(O258-1),0)</f>
        <v>53136</v>
      </c>
      <c r="N258" s="33" t="s">
        <v>23</v>
      </c>
      <c r="O258" s="40">
        <f>$L$11</f>
        <v>1.01067</v>
      </c>
    </row>
    <row r="259" spans="1:15" x14ac:dyDescent="0.35">
      <c r="A259" s="406"/>
      <c r="B259" s="410"/>
      <c r="C259" s="410"/>
      <c r="D259" s="36"/>
      <c r="E259" s="36"/>
      <c r="F259" s="36"/>
      <c r="G259" s="28"/>
      <c r="H259" s="3"/>
      <c r="I259" s="28"/>
      <c r="J259" s="3"/>
      <c r="K259" s="35"/>
      <c r="L259" s="33" t="s">
        <v>21</v>
      </c>
      <c r="M259" s="32">
        <f>M257+M258</f>
        <v>5033111</v>
      </c>
      <c r="N259" s="8"/>
    </row>
    <row r="260" spans="1:15" x14ac:dyDescent="0.35">
      <c r="A260" s="406"/>
      <c r="B260" s="410"/>
      <c r="C260" s="410"/>
      <c r="D260" s="392"/>
      <c r="E260" s="392"/>
      <c r="F260" s="2"/>
      <c r="G260" s="2"/>
      <c r="H260" s="2"/>
      <c r="I260" s="2"/>
      <c r="J260" s="2"/>
      <c r="K260" s="2"/>
      <c r="L260" s="2"/>
      <c r="M260" s="2"/>
      <c r="N260" s="3"/>
    </row>
    <row r="261" spans="1:15" x14ac:dyDescent="0.35">
      <c r="A261" s="406"/>
      <c r="B261" s="410"/>
      <c r="C261" s="837" t="str">
        <f>CONCATENATE($A$4," - Annual Demand Revenue Price-Out at Proposed Rates - Incl. EDB:")</f>
        <v>SC8 Rate III - Annual Demand Revenue Price-Out at Proposed Rates - Incl. EDB:</v>
      </c>
      <c r="D261" s="392"/>
      <c r="E261" s="392"/>
      <c r="F261" s="2"/>
      <c r="G261" s="2"/>
      <c r="H261" s="2"/>
      <c r="I261" s="2"/>
      <c r="J261" s="2"/>
      <c r="K261" s="2"/>
      <c r="L261" s="2"/>
      <c r="M261" s="599">
        <f>M249+M259</f>
        <v>13204431</v>
      </c>
      <c r="N261" s="17"/>
    </row>
    <row r="262" spans="1:15" x14ac:dyDescent="0.35">
      <c r="A262" s="406"/>
      <c r="B262" s="410"/>
      <c r="C262" s="410"/>
      <c r="D262" s="410"/>
      <c r="E262" s="410"/>
      <c r="F262" s="3"/>
      <c r="G262" s="3"/>
      <c r="H262" s="3"/>
      <c r="I262" s="3"/>
      <c r="J262" s="3"/>
      <c r="K262" s="3"/>
      <c r="L262" s="3"/>
      <c r="M262" s="26"/>
      <c r="N262" s="17"/>
    </row>
    <row r="263" spans="1:15" x14ac:dyDescent="0.35">
      <c r="A263" s="406"/>
      <c r="B263" s="410"/>
      <c r="C263" s="410"/>
      <c r="D263" s="410"/>
      <c r="E263" s="410"/>
      <c r="F263" s="3"/>
      <c r="G263" s="3"/>
      <c r="H263" s="3"/>
      <c r="I263" s="3"/>
      <c r="J263" s="3"/>
      <c r="K263" s="3"/>
      <c r="L263" s="3"/>
      <c r="M263" s="26"/>
      <c r="N263" s="17"/>
    </row>
    <row r="264" spans="1:15" ht="15" thickBot="1" x14ac:dyDescent="0.4">
      <c r="A264" s="334"/>
      <c r="B264" s="334" t="str">
        <f>CONCATENATE($A$4," at Proposed Energy Rates")</f>
        <v>SC8 Rate III at Proposed Energy Rates</v>
      </c>
      <c r="C264" s="410"/>
      <c r="D264" s="410"/>
      <c r="E264" s="410"/>
      <c r="F264" s="3"/>
      <c r="G264" s="3"/>
      <c r="H264" s="3"/>
      <c r="I264" s="3"/>
      <c r="K264" s="367" t="s">
        <v>426</v>
      </c>
      <c r="L264" s="368">
        <f>$L$10</f>
        <v>1.0119199999999999</v>
      </c>
      <c r="N264" s="344" t="s">
        <v>1162</v>
      </c>
    </row>
    <row r="265" spans="1:15" ht="15.5" thickTop="1" thickBot="1" x14ac:dyDescent="0.4">
      <c r="B265" s="487" t="s">
        <v>1158</v>
      </c>
      <c r="H265" s="1307" t="s">
        <v>417</v>
      </c>
      <c r="I265" s="1308"/>
      <c r="J265" s="1309"/>
      <c r="L265" s="604" t="s">
        <v>475</v>
      </c>
      <c r="N265" s="369" t="s">
        <v>42</v>
      </c>
    </row>
    <row r="266" spans="1:15" ht="15" thickTop="1" x14ac:dyDescent="0.35">
      <c r="B266" s="410"/>
      <c r="H266" s="30" t="s">
        <v>416</v>
      </c>
      <c r="I266" s="30" t="s">
        <v>674</v>
      </c>
      <c r="J266" s="36" t="s">
        <v>676</v>
      </c>
      <c r="L266" s="30" t="s">
        <v>425</v>
      </c>
      <c r="N266" s="36" t="s">
        <v>675</v>
      </c>
    </row>
    <row r="267" spans="1:15" x14ac:dyDescent="0.35">
      <c r="B267" s="407" t="s">
        <v>42</v>
      </c>
      <c r="C267" s="355" t="str">
        <f>$F$135</f>
        <v>On Peak</v>
      </c>
      <c r="D267" s="121"/>
      <c r="E267" s="122"/>
      <c r="H267" s="223">
        <f>H200</f>
        <v>7.9000000000000008E-3</v>
      </c>
      <c r="I267" s="105">
        <f>AA6+AA16</f>
        <v>29108778</v>
      </c>
      <c r="J267" s="26">
        <f>ROUND(H267*I267,0)</f>
        <v>229959</v>
      </c>
      <c r="L267" s="397"/>
      <c r="N267" s="26">
        <f>J267+L267</f>
        <v>229959</v>
      </c>
    </row>
    <row r="268" spans="1:15" x14ac:dyDescent="0.35">
      <c r="B268" s="406"/>
      <c r="C268" s="355" t="str">
        <f>$F$136</f>
        <v>Off Peak</v>
      </c>
      <c r="D268" s="36"/>
      <c r="E268" s="122"/>
      <c r="H268" s="223">
        <f>H201</f>
        <v>7.9000000000000008E-3</v>
      </c>
      <c r="I268" s="105">
        <f>AA7+AA17</f>
        <v>37853707</v>
      </c>
      <c r="J268" s="26">
        <f>ROUND(H268*I268,0)</f>
        <v>299044</v>
      </c>
      <c r="L268" s="397"/>
      <c r="N268" s="26">
        <f>J268+L268</f>
        <v>299044</v>
      </c>
    </row>
    <row r="269" spans="1:15" x14ac:dyDescent="0.35">
      <c r="B269" s="406"/>
      <c r="C269" s="3" t="s">
        <v>420</v>
      </c>
      <c r="D269" s="3"/>
      <c r="E269" s="3"/>
      <c r="F269" s="3"/>
      <c r="H269" s="223"/>
      <c r="I269" s="223"/>
      <c r="J269" s="32">
        <f>SUM(J267:J268)</f>
        <v>529003</v>
      </c>
      <c r="L269" s="32">
        <f>SUM(L267:L268)</f>
        <v>0</v>
      </c>
      <c r="N269" s="32">
        <f>SUM(N267:N268)</f>
        <v>529003</v>
      </c>
    </row>
    <row r="270" spans="1:15" x14ac:dyDescent="0.35">
      <c r="A270" s="1"/>
      <c r="B270" s="464"/>
      <c r="C270" s="2"/>
      <c r="D270" s="121"/>
      <c r="E270" s="121"/>
      <c r="F270" s="361"/>
      <c r="G270" s="1"/>
      <c r="H270" s="223"/>
      <c r="I270" s="362"/>
      <c r="J270" s="395"/>
      <c r="L270" s="1"/>
      <c r="M270" s="1"/>
      <c r="N270" s="1"/>
    </row>
    <row r="271" spans="1:15" ht="15" thickBot="1" x14ac:dyDescent="0.4">
      <c r="A271" s="1"/>
      <c r="B271" s="464"/>
      <c r="C271" s="2"/>
      <c r="D271" s="121"/>
      <c r="E271" s="121"/>
      <c r="F271" s="361"/>
      <c r="G271" s="1"/>
      <c r="H271" s="223"/>
      <c r="I271" s="362"/>
      <c r="J271" s="223"/>
      <c r="L271" s="368">
        <f>$L$11</f>
        <v>1.01067</v>
      </c>
      <c r="M271" s="1"/>
      <c r="N271" s="1"/>
    </row>
    <row r="272" spans="1:15" ht="15.5" thickTop="1" thickBot="1" x14ac:dyDescent="0.4">
      <c r="A272" s="1"/>
      <c r="B272" s="464"/>
      <c r="C272" s="2"/>
      <c r="D272" s="121"/>
      <c r="E272" s="121"/>
      <c r="F272" s="361"/>
      <c r="G272" s="1"/>
      <c r="H272" s="1307" t="s">
        <v>417</v>
      </c>
      <c r="I272" s="1308"/>
      <c r="J272" s="1309"/>
      <c r="L272" s="604" t="s">
        <v>475</v>
      </c>
      <c r="M272" s="1"/>
      <c r="N272" s="369" t="s">
        <v>40</v>
      </c>
    </row>
    <row r="273" spans="1:14" ht="15" thickTop="1" x14ac:dyDescent="0.35">
      <c r="A273" s="1"/>
      <c r="B273" s="464"/>
      <c r="C273" s="2"/>
      <c r="D273" s="121"/>
      <c r="E273" s="121"/>
      <c r="F273" s="361"/>
      <c r="G273" s="1"/>
      <c r="H273" s="30" t="s">
        <v>416</v>
      </c>
      <c r="I273" s="30" t="s">
        <v>674</v>
      </c>
      <c r="J273" s="36" t="s">
        <v>676</v>
      </c>
      <c r="L273" s="30" t="s">
        <v>425</v>
      </c>
      <c r="M273" s="1"/>
      <c r="N273" s="36" t="s">
        <v>675</v>
      </c>
    </row>
    <row r="274" spans="1:14" x14ac:dyDescent="0.35">
      <c r="A274" s="1"/>
      <c r="B274" s="407" t="s">
        <v>40</v>
      </c>
      <c r="C274" s="355" t="str">
        <f>$F$135</f>
        <v>On Peak</v>
      </c>
      <c r="D274" s="121"/>
      <c r="E274" s="122"/>
      <c r="F274" s="1"/>
      <c r="G274" s="1"/>
      <c r="H274" s="223">
        <f t="shared" ref="H274:H275" si="17">H207</f>
        <v>7.9000000000000008E-3</v>
      </c>
      <c r="I274" s="105">
        <f>AA11+AA21</f>
        <v>44048571</v>
      </c>
      <c r="J274" s="26">
        <f>ROUND(H274*I274,0)</f>
        <v>347984</v>
      </c>
      <c r="L274" s="397"/>
      <c r="M274" s="1"/>
      <c r="N274" s="26">
        <f>J274+L274</f>
        <v>347984</v>
      </c>
    </row>
    <row r="275" spans="1:14" x14ac:dyDescent="0.35">
      <c r="A275" s="1"/>
      <c r="B275" s="406"/>
      <c r="C275" s="978" t="str">
        <f>$F$136</f>
        <v>Off Peak</v>
      </c>
      <c r="D275" s="272"/>
      <c r="E275" s="980"/>
      <c r="F275" s="1"/>
      <c r="G275" s="1"/>
      <c r="H275" s="223">
        <f t="shared" si="17"/>
        <v>7.9000000000000008E-3</v>
      </c>
      <c r="I275" s="105">
        <f>AA12+AA22</f>
        <v>55647957</v>
      </c>
      <c r="J275" s="26">
        <f>ROUND(H275*I275,0)</f>
        <v>439619</v>
      </c>
      <c r="L275" s="397"/>
      <c r="M275" s="1"/>
      <c r="N275" s="26">
        <f>J275+L275</f>
        <v>439619</v>
      </c>
    </row>
    <row r="276" spans="1:14" x14ac:dyDescent="0.35">
      <c r="A276" s="1"/>
      <c r="B276" s="406"/>
      <c r="C276" s="410" t="s">
        <v>421</v>
      </c>
      <c r="D276" s="410"/>
      <c r="E276" s="410"/>
      <c r="F276" s="3"/>
      <c r="G276" s="1"/>
      <c r="H276" s="223"/>
      <c r="I276" s="223"/>
      <c r="J276" s="32">
        <f>SUM(J274:J275)</f>
        <v>787603</v>
      </c>
      <c r="L276" s="32">
        <f>SUM(L274:L275)</f>
        <v>0</v>
      </c>
      <c r="M276" s="1"/>
      <c r="N276" s="32">
        <f>SUM(N274:N275)</f>
        <v>787603</v>
      </c>
    </row>
    <row r="277" spans="1:14" ht="15" thickBot="1" x14ac:dyDescent="0.4">
      <c r="A277" s="1"/>
      <c r="B277" s="464"/>
      <c r="C277" s="392"/>
      <c r="D277" s="979"/>
      <c r="E277" s="979"/>
      <c r="F277" s="361"/>
      <c r="G277" s="1"/>
      <c r="H277" s="223"/>
      <c r="I277" s="362"/>
      <c r="J277" s="395"/>
      <c r="L277" s="1"/>
      <c r="M277" s="1"/>
      <c r="N277" s="223"/>
    </row>
    <row r="278" spans="1:14" ht="15.5" thickTop="1" thickBot="1" x14ac:dyDescent="0.4">
      <c r="A278" s="1"/>
      <c r="B278" s="464"/>
      <c r="C278" s="837" t="str">
        <f>CONCATENATE($A$4," - Annual Energy Revenue Price-Out at Proposed Rates:")</f>
        <v>SC8 Rate III - Annual Energy Revenue Price-Out at Proposed Rates:</v>
      </c>
      <c r="D278" s="979"/>
      <c r="E278" s="979"/>
      <c r="F278" s="361"/>
      <c r="G278" s="1"/>
      <c r="H278" s="223"/>
      <c r="I278" s="222" t="s">
        <v>427</v>
      </c>
      <c r="J278" s="243">
        <f>J269+J276</f>
        <v>1316606</v>
      </c>
      <c r="K278" s="222" t="s">
        <v>428</v>
      </c>
      <c r="L278" s="243">
        <f>L269+L276</f>
        <v>0</v>
      </c>
      <c r="M278" s="1"/>
      <c r="N278" s="243">
        <f>N269+N276</f>
        <v>1316606</v>
      </c>
    </row>
    <row r="279" spans="1:14" ht="15" thickTop="1" x14ac:dyDescent="0.35">
      <c r="A279" s="1"/>
      <c r="B279" s="464"/>
      <c r="C279" s="837"/>
      <c r="D279" s="979"/>
      <c r="E279" s="979"/>
      <c r="F279" s="361"/>
      <c r="G279" s="1"/>
      <c r="H279" s="223"/>
      <c r="I279" s="222"/>
      <c r="J279" s="396"/>
      <c r="K279" s="362"/>
      <c r="L279" s="363"/>
      <c r="M279" s="364"/>
      <c r="N279" s="222"/>
    </row>
    <row r="280" spans="1:14" x14ac:dyDescent="0.35">
      <c r="A280" s="1"/>
      <c r="B280" s="464"/>
      <c r="C280" s="837"/>
      <c r="D280" s="979"/>
      <c r="E280" s="979"/>
      <c r="F280" s="361"/>
      <c r="G280" s="1"/>
      <c r="H280" s="223"/>
      <c r="I280" s="745">
        <f>I267+I268+I274+I275</f>
        <v>166659013</v>
      </c>
      <c r="J280" s="396"/>
      <c r="K280" s="362"/>
      <c r="L280" s="363"/>
      <c r="M280" s="364"/>
      <c r="N280" s="222"/>
    </row>
    <row r="281" spans="1:14" x14ac:dyDescent="0.35">
      <c r="B281" s="410"/>
      <c r="C281" s="334" t="s">
        <v>684</v>
      </c>
      <c r="D281" s="410"/>
      <c r="E281" s="410"/>
      <c r="F281" s="3"/>
      <c r="G281" s="3"/>
      <c r="H281" s="3"/>
      <c r="I281" s="3"/>
      <c r="J281" s="3"/>
      <c r="K281" s="3"/>
      <c r="L281" s="3"/>
      <c r="M281" s="26"/>
      <c r="N281" s="17"/>
    </row>
    <row r="282" spans="1:14" x14ac:dyDescent="0.35">
      <c r="B282" s="410"/>
      <c r="C282" s="41" t="str">
        <f>$A$4</f>
        <v>SC8 Rate III</v>
      </c>
      <c r="D282" s="3"/>
      <c r="E282" s="3"/>
      <c r="F282" s="3"/>
      <c r="G282" s="3"/>
      <c r="H282" s="3"/>
      <c r="I282" s="3"/>
      <c r="J282" s="3"/>
      <c r="K282" s="3"/>
      <c r="L282" s="3"/>
      <c r="M282" s="607" t="s">
        <v>1163</v>
      </c>
      <c r="N282" s="17"/>
    </row>
    <row r="283" spans="1:14" x14ac:dyDescent="0.35">
      <c r="B283" s="410"/>
      <c r="C283" s="3" t="s">
        <v>678</v>
      </c>
      <c r="D283" s="3"/>
      <c r="E283" s="3"/>
      <c r="F283" s="3"/>
      <c r="G283" s="3"/>
      <c r="H283" s="3"/>
      <c r="I283" s="3"/>
      <c r="J283" s="3"/>
      <c r="K283" s="3"/>
      <c r="L283" s="3"/>
      <c r="M283" s="26">
        <f>M261</f>
        <v>13204431</v>
      </c>
      <c r="N283" s="17"/>
    </row>
    <row r="284" spans="1:14" ht="15" thickBot="1" x14ac:dyDescent="0.4">
      <c r="B284" s="410"/>
      <c r="C284" s="3" t="s">
        <v>677</v>
      </c>
      <c r="D284" s="3"/>
      <c r="E284" s="3"/>
      <c r="F284" s="3"/>
      <c r="G284" s="3"/>
      <c r="H284" s="3"/>
      <c r="I284" s="3"/>
      <c r="J284" s="3"/>
      <c r="K284" s="3"/>
      <c r="L284" s="3"/>
      <c r="M284" s="26">
        <f>N278</f>
        <v>1316606</v>
      </c>
      <c r="N284" s="17"/>
    </row>
    <row r="285" spans="1:14" ht="15.5" thickTop="1" thickBot="1" x14ac:dyDescent="0.4">
      <c r="B285" s="410"/>
      <c r="C285" s="837" t="s">
        <v>685</v>
      </c>
      <c r="D285" s="410"/>
      <c r="E285" s="3"/>
      <c r="F285" s="3"/>
      <c r="G285" s="3"/>
      <c r="H285" s="3"/>
      <c r="I285" s="3"/>
      <c r="J285" s="3"/>
      <c r="K285" s="3"/>
      <c r="L285" s="3"/>
      <c r="M285" s="925">
        <f>M283+M284</f>
        <v>14521037</v>
      </c>
      <c r="N285" s="17"/>
    </row>
    <row r="286" spans="1:14" ht="15" thickTop="1" x14ac:dyDescent="0.35">
      <c r="N286" s="17"/>
    </row>
    <row r="287" spans="1:14" x14ac:dyDescent="0.35">
      <c r="N287" s="17"/>
    </row>
  </sheetData>
  <mergeCells count="17">
    <mergeCell ref="H265:J265"/>
    <mergeCell ref="H272:J272"/>
    <mergeCell ref="H106:J106"/>
    <mergeCell ref="H205:J205"/>
    <mergeCell ref="N106:Q106"/>
    <mergeCell ref="D222:F222"/>
    <mergeCell ref="H126:J126"/>
    <mergeCell ref="L126:N126"/>
    <mergeCell ref="L133:N133"/>
    <mergeCell ref="H165:J165"/>
    <mergeCell ref="M165:O165"/>
    <mergeCell ref="H198:J198"/>
    <mergeCell ref="H64:J64"/>
    <mergeCell ref="L64:N64"/>
    <mergeCell ref="L71:N71"/>
    <mergeCell ref="D103:F103"/>
    <mergeCell ref="N105:Q105"/>
  </mergeCells>
  <printOptions horizontalCentered="1"/>
  <pageMargins left="0" right="0" top="0.5" bottom="0.5" header="0.3" footer="0.3"/>
  <pageSetup scale="45" orientation="landscape" r:id="rId1"/>
  <headerFooter>
    <oddFooter>&amp;C&amp;F (Tab: &amp;A)&amp;RPage &amp;P / &amp;N</oddFooter>
  </headerFooter>
  <rowBreaks count="3" manualBreakCount="3">
    <brk id="77" max="16383" man="1"/>
    <brk id="138" max="16383" man="1"/>
    <brk id="213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39"/>
  <dimension ref="A1:AK294"/>
  <sheetViews>
    <sheetView topLeftCell="G223" workbookViewId="0">
      <selection activeCell="AB31" sqref="AB31"/>
    </sheetView>
  </sheetViews>
  <sheetFormatPr defaultRowHeight="14.5" outlineLevelRow="1" x14ac:dyDescent="0.35"/>
  <cols>
    <col min="1" max="1" width="7.453125" customWidth="1"/>
    <col min="2" max="2" width="15.81640625" customWidth="1"/>
    <col min="3" max="3" width="17.7265625" customWidth="1"/>
    <col min="4" max="4" width="10.453125" customWidth="1"/>
    <col min="5" max="5" width="7.179687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22.453125" customWidth="1"/>
    <col min="11" max="11" width="15.26953125" customWidth="1"/>
    <col min="12" max="12" width="17.453125" customWidth="1"/>
    <col min="13" max="13" width="18.54296875" customWidth="1"/>
    <col min="14" max="14" width="13.7265625" customWidth="1"/>
    <col min="15" max="15" width="13" customWidth="1"/>
    <col min="16" max="16" width="12.7265625" style="1" customWidth="1"/>
    <col min="17" max="17" width="11.26953125" customWidth="1"/>
    <col min="18" max="18" width="8.453125" customWidth="1"/>
    <col min="19" max="19" width="12.26953125" customWidth="1"/>
    <col min="20" max="20" width="10.81640625" customWidth="1"/>
    <col min="21" max="21" width="16.54296875" customWidth="1"/>
    <col min="22" max="22" width="16.1796875" customWidth="1"/>
    <col min="23" max="23" width="17.54296875" customWidth="1"/>
    <col min="24" max="24" width="15.26953125" customWidth="1"/>
    <col min="25" max="28" width="16.1796875" customWidth="1"/>
    <col min="29" max="29" width="8.453125" customWidth="1"/>
    <col min="30" max="30" width="10.26953125" customWidth="1"/>
    <col min="31" max="31" width="14.81640625" customWidth="1"/>
    <col min="32" max="32" width="15.81640625" customWidth="1"/>
    <col min="33" max="34" width="14" customWidth="1"/>
    <col min="35" max="36" width="13" customWidth="1"/>
  </cols>
  <sheetData>
    <row r="1" spans="1:37" ht="18.5" x14ac:dyDescent="0.45">
      <c r="A1" s="448" t="s">
        <v>1252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2" spans="1:37" x14ac:dyDescent="0.35">
      <c r="B2" s="372"/>
    </row>
    <row r="3" spans="1:37" ht="15.5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749" t="s">
        <v>1491</v>
      </c>
      <c r="Q3" s="479"/>
      <c r="S3" s="3"/>
      <c r="W3" s="1283" t="str">
        <f>P3</f>
        <v>SC9 Rate I &amp; III</v>
      </c>
    </row>
    <row r="4" spans="1:37" outlineLevel="1" x14ac:dyDescent="0.35">
      <c r="A4" s="864" t="s">
        <v>739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  <c r="W4" s="476" t="s">
        <v>249</v>
      </c>
      <c r="X4" s="476" t="s">
        <v>717</v>
      </c>
      <c r="Y4" s="143"/>
      <c r="Z4" s="476" t="s">
        <v>249</v>
      </c>
      <c r="AA4" s="476" t="s">
        <v>717</v>
      </c>
    </row>
    <row r="5" spans="1:37" outlineLevel="1" x14ac:dyDescent="0.35">
      <c r="A5" s="3"/>
      <c r="B5" s="3"/>
      <c r="C5" s="3"/>
      <c r="D5" s="3"/>
      <c r="E5" s="3"/>
      <c r="F5" s="3"/>
      <c r="G5" s="3"/>
      <c r="H5" s="3"/>
      <c r="J5" s="3"/>
      <c r="K5" s="3"/>
      <c r="L5" s="3"/>
      <c r="M5" s="3"/>
      <c r="P5" s="2"/>
      <c r="Q5" s="3"/>
      <c r="R5" s="3"/>
      <c r="S5" s="30" t="s">
        <v>25</v>
      </c>
      <c r="U5" s="30" t="s">
        <v>12</v>
      </c>
      <c r="W5" s="30" t="s">
        <v>25</v>
      </c>
      <c r="X5" s="30" t="s">
        <v>25</v>
      </c>
      <c r="Z5" s="30" t="s">
        <v>12</v>
      </c>
      <c r="AA5" s="30" t="s">
        <v>12</v>
      </c>
      <c r="AE5" s="1135"/>
      <c r="AF5" s="1143" t="s">
        <v>249</v>
      </c>
      <c r="AG5" s="1144" t="s">
        <v>114</v>
      </c>
      <c r="AH5" s="1144" t="s">
        <v>113</v>
      </c>
      <c r="AI5" s="1144" t="s">
        <v>112</v>
      </c>
      <c r="AJ5" s="1145" t="s">
        <v>111</v>
      </c>
    </row>
    <row r="6" spans="1:37" outlineLevel="1" x14ac:dyDescent="0.35">
      <c r="A6" s="180"/>
      <c r="B6" s="180"/>
      <c r="C6" s="180"/>
      <c r="D6" s="180"/>
      <c r="E6" s="180"/>
      <c r="F6" s="3"/>
      <c r="G6" s="490" t="str">
        <f>'13A.)TODM_RateDesignSummary'!D40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163" t="s">
        <v>643</v>
      </c>
      <c r="S6" s="161"/>
      <c r="T6" s="164" t="s">
        <v>1393</v>
      </c>
      <c r="U6" s="161"/>
      <c r="V6" s="367" t="s">
        <v>643</v>
      </c>
      <c r="W6" s="386">
        <f>'[1]D4.)RateIII_RateDevelopment'!$E$41</f>
        <v>16780145.75</v>
      </c>
      <c r="X6" s="386">
        <f>'[1]D4.)RateIII_RateDevelopment'!$E$62</f>
        <v>1366030</v>
      </c>
      <c r="Y6" s="367" t="s">
        <v>444</v>
      </c>
      <c r="Z6" s="386">
        <f>'[1]D4.)RateIII_RateDevelopment'!$E$36</f>
        <v>2910626194</v>
      </c>
      <c r="AA6" s="386">
        <f>ROUND('[1]D4.)RateIII_RateDevelopment'!$E$58/('[1]D4.)RateIII_RateDevelopment'!$E$58+'[1]D4.)RateIII_RateDevelopment'!$E$59)*AA9,0)</f>
        <v>314073556</v>
      </c>
      <c r="AB6" s="1" t="str">
        <f>P6</f>
        <v>Summer (LT)</v>
      </c>
      <c r="AE6" s="1136" t="s">
        <v>2209</v>
      </c>
      <c r="AF6" s="1166">
        <f>'[2]3C.)HY_Metering PxOut'!$B$45</f>
        <v>1533438</v>
      </c>
      <c r="AG6" s="1129">
        <f>ROUND($AF6*$W$10/($W$10+$W$15+$W$20+$W$25),0)</f>
        <v>511187</v>
      </c>
      <c r="AH6" s="1129">
        <f>AF6-AG6-AI6-AJ6</f>
        <v>1021731</v>
      </c>
      <c r="AI6" s="1129">
        <f>ROUND($AF6*$W$20/($W$10+$W$15+$W$20+$W$25),0)</f>
        <v>179</v>
      </c>
      <c r="AJ6" s="1130">
        <f>ROUND($AF6*$W$25/($W$10+$W$15+$W$20+$W$25),0)</f>
        <v>341</v>
      </c>
    </row>
    <row r="7" spans="1:37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SC9 Rate III</v>
      </c>
      <c r="M7" s="3"/>
      <c r="P7" s="170" t="s">
        <v>114</v>
      </c>
      <c r="Q7" s="159" t="s">
        <v>641</v>
      </c>
      <c r="R7" s="158" t="s">
        <v>888</v>
      </c>
      <c r="S7" s="156"/>
      <c r="T7" s="159" t="s">
        <v>445</v>
      </c>
      <c r="U7" s="156"/>
      <c r="V7" s="750" t="s">
        <v>888</v>
      </c>
      <c r="W7" s="387">
        <f>'[1]D4.)RateIII_RateDevelopment'!$E$42</f>
        <v>16945721.420000002</v>
      </c>
      <c r="X7" s="387">
        <f>'[1]D4.)RateIII_RateDevelopment'!$E$63</f>
        <v>1376642</v>
      </c>
      <c r="Y7" s="367" t="s">
        <v>445</v>
      </c>
      <c r="Z7" s="387">
        <f>'[1]D4.)RateIII_RateDevelopment'!$E$37</f>
        <v>3056932857.6299992</v>
      </c>
      <c r="AA7" s="387">
        <f>AA9-AA6</f>
        <v>381037928</v>
      </c>
      <c r="AB7" s="1" t="str">
        <f>P7</f>
        <v>Summer (LT)</v>
      </c>
      <c r="AE7" s="1136" t="s">
        <v>2210</v>
      </c>
      <c r="AF7" s="1166">
        <f>'[2]3C.)HY_Metering PxOut'!$C$45</f>
        <v>11520</v>
      </c>
      <c r="AG7" s="1129">
        <f>ROUND($AF7*$W$10/($W$10+$W$15+$W$20+$W$25),0)</f>
        <v>3840</v>
      </c>
      <c r="AH7" s="1129">
        <f>AF7-AG7-AI7-AJ7</f>
        <v>7676</v>
      </c>
      <c r="AI7" s="1129">
        <f>ROUND($AF7*$W$20/($W$10+$W$15+$W$20+$W$25),0)</f>
        <v>1</v>
      </c>
      <c r="AJ7" s="1130">
        <f>ROUND($AF7*$W$25/($W$10+$W$15+$W$20+$W$25),0)</f>
        <v>3</v>
      </c>
    </row>
    <row r="8" spans="1:37" ht="15.5" outlineLevel="1" thickTop="1" thickBot="1" x14ac:dyDescent="0.4">
      <c r="A8" s="3" t="s">
        <v>950</v>
      </c>
      <c r="B8" s="3"/>
      <c r="C8" s="3"/>
      <c r="D8" s="3"/>
      <c r="E8" s="3"/>
      <c r="F8" s="3"/>
      <c r="G8" s="309">
        <f>'13A.)TODM_RateDesignSummary'!D42</f>
        <v>0</v>
      </c>
      <c r="H8" s="177">
        <f>J108</f>
        <v>0</v>
      </c>
      <c r="I8" s="3"/>
      <c r="J8" s="33"/>
      <c r="K8" s="17"/>
      <c r="L8" s="688"/>
      <c r="M8" s="3"/>
      <c r="P8" s="168" t="s">
        <v>114</v>
      </c>
      <c r="Q8" s="711" t="s">
        <v>642</v>
      </c>
      <c r="R8" s="176" t="s">
        <v>645</v>
      </c>
      <c r="S8" s="153"/>
      <c r="T8" s="168"/>
      <c r="U8" s="477"/>
      <c r="V8" s="367" t="s">
        <v>645</v>
      </c>
      <c r="W8" s="172">
        <f>'[1]D4.)RateIII_RateDevelopment'!$E$43</f>
        <v>17195520.75</v>
      </c>
      <c r="X8" s="172">
        <f>'[1]D4.)RateIII_RateDevelopment'!$E$64</f>
        <v>1392081</v>
      </c>
      <c r="Y8" s="367"/>
      <c r="Z8" s="477"/>
      <c r="AA8" s="477"/>
      <c r="AB8" s="1"/>
      <c r="AE8" s="1137"/>
      <c r="AF8" s="1138">
        <f>AF6+AF7-W10-W15-W20-W25</f>
        <v>0</v>
      </c>
      <c r="AG8" s="1139"/>
      <c r="AH8" s="1139"/>
      <c r="AI8" s="1139"/>
      <c r="AJ8" s="1140"/>
    </row>
    <row r="9" spans="1:37" ht="15.5" outlineLevel="1" thickTop="1" thickBot="1" x14ac:dyDescent="0.4">
      <c r="A9" s="3" t="s">
        <v>951</v>
      </c>
      <c r="B9" s="3"/>
      <c r="C9" s="3"/>
      <c r="D9" s="3"/>
      <c r="E9" s="3"/>
      <c r="F9" s="3"/>
      <c r="G9" s="310">
        <f>'13A.)TODM_RateDesignSummary'!D43</f>
        <v>12.43</v>
      </c>
      <c r="H9" s="169">
        <f t="shared" ref="H9:H10" si="0">J109</f>
        <v>12.89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W10+X10</f>
        <v>533473</v>
      </c>
      <c r="S9" s="915">
        <f>W9+X9</f>
        <v>18587601.75</v>
      </c>
      <c r="U9" s="915">
        <f>Z9+AA9</f>
        <v>6662670535.6299992</v>
      </c>
      <c r="V9" s="367"/>
      <c r="W9" s="761">
        <f>'[1]D4.)RateIII_RateDevelopment'!$E$40</f>
        <v>17195520.75</v>
      </c>
      <c r="X9" s="761">
        <f>'[1]D4.)RateIII_RateDevelopment'!$E$61</f>
        <v>1392081</v>
      </c>
      <c r="Y9" s="367"/>
      <c r="Z9" s="761">
        <f>'[1]D4.)RateIII_RateDevelopment'!$E$35</f>
        <v>5967559051.6299992</v>
      </c>
      <c r="AA9" s="761">
        <f>ROUND('[1]D4.)RateIII_RateDevelopment'!$E$57,0)</f>
        <v>695111484</v>
      </c>
      <c r="AB9" s="1"/>
      <c r="AE9" s="1137"/>
      <c r="AF9" s="1139"/>
      <c r="AG9" s="1139"/>
      <c r="AH9" s="1139"/>
      <c r="AI9" s="1139"/>
      <c r="AJ9" s="1140"/>
    </row>
    <row r="10" spans="1:37" ht="15.5" outlineLevel="1" thickTop="1" thickBot="1" x14ac:dyDescent="0.4">
      <c r="A10" s="3" t="s">
        <v>952</v>
      </c>
      <c r="B10" s="3"/>
      <c r="C10" s="3"/>
      <c r="D10" s="3"/>
      <c r="E10" s="3"/>
      <c r="F10" s="35"/>
      <c r="G10" s="310">
        <f>'13A.)TODM_RateDesignSummary'!D44</f>
        <v>5.26</v>
      </c>
      <c r="H10" s="169">
        <f t="shared" si="0"/>
        <v>5.4600000000000009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V10" s="1165" t="s">
        <v>2207</v>
      </c>
      <c r="W10" s="1159">
        <f>'11D.)Demand_RateDesign_SC9_I'!T9</f>
        <v>515026.99999999994</v>
      </c>
      <c r="X10" s="1161">
        <f>'[1]B1.)HYAdjSalesDatabase'!$T$255</f>
        <v>18446</v>
      </c>
      <c r="Y10" s="367"/>
      <c r="Z10" s="748">
        <f>Z6+Z7-Z9</f>
        <v>0</v>
      </c>
      <c r="AA10" s="748">
        <f>AA6+AA7-AA9</f>
        <v>0</v>
      </c>
      <c r="AB10" s="1"/>
      <c r="AE10" s="1137"/>
      <c r="AF10" s="1146" t="s">
        <v>717</v>
      </c>
      <c r="AG10" s="1147" t="s">
        <v>114</v>
      </c>
      <c r="AH10" s="1147" t="s">
        <v>113</v>
      </c>
      <c r="AI10" s="1147" t="s">
        <v>112</v>
      </c>
      <c r="AJ10" s="1148" t="s">
        <v>111</v>
      </c>
    </row>
    <row r="11" spans="1:37" ht="15" outlineLevel="1" thickTop="1" x14ac:dyDescent="0.35">
      <c r="A11" s="3" t="s">
        <v>953</v>
      </c>
      <c r="B11" s="3"/>
      <c r="C11" s="3"/>
      <c r="D11" s="3"/>
      <c r="E11" s="3"/>
      <c r="F11" s="3"/>
      <c r="G11" s="310">
        <f>'13A.)TODM_RateDesignSummary'!D45</f>
        <v>8.9499999999999993</v>
      </c>
      <c r="H11" s="169">
        <f>H108</f>
        <v>9.2800000000000011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161"/>
      <c r="V11" s="367" t="s">
        <v>643</v>
      </c>
      <c r="W11" s="386">
        <f>'[1]D4.)RateIII_RateDevelopment'!$J$41</f>
        <v>0</v>
      </c>
      <c r="X11" s="386">
        <f>'[1]D4.)RateIII_RateDevelopment'!$J$62</f>
        <v>0</v>
      </c>
      <c r="Y11" s="367" t="s">
        <v>444</v>
      </c>
      <c r="Z11" s="386">
        <f>'[1]D4.)RateIII_RateDevelopment'!$J$36</f>
        <v>4838224123</v>
      </c>
      <c r="AA11" s="386">
        <f>ROUND('[1]D4.)RateIII_RateDevelopment'!$J$58/('[1]D4.)RateIII_RateDevelopment'!$J$58+'[1]D4.)RateIII_RateDevelopment'!$J$59)*AA14,0)</f>
        <v>559669959</v>
      </c>
      <c r="AB11" s="1" t="str">
        <f>P11</f>
        <v>Winter (LT)</v>
      </c>
      <c r="AE11" s="1136" t="s">
        <v>2209</v>
      </c>
      <c r="AF11" s="1166">
        <f>'[2]3C.)HY_Metering PxOut'!$B$46</f>
        <v>53233</v>
      </c>
      <c r="AG11" s="1129">
        <f>ROUND($AF11*$X$10/($X$10+$X$15+$X$20+$X$25),0)</f>
        <v>17727</v>
      </c>
      <c r="AH11" s="1129">
        <f>AF11-AG11-AI11-AJ11</f>
        <v>35449</v>
      </c>
      <c r="AI11" s="1129">
        <f>ROUND($AF11*$X$20/($X$10+$X$15+$X$20+$X$25),0)</f>
        <v>19</v>
      </c>
      <c r="AJ11" s="1130">
        <f>ROUND($AF11*$X$25/($X$10+$X$15+$X$20+$X$25),0)</f>
        <v>38</v>
      </c>
      <c r="AK11" s="366">
        <f>AF11-AG11-AH11-AI11-AJ11</f>
        <v>0</v>
      </c>
    </row>
    <row r="12" spans="1:37" outlineLevel="1" x14ac:dyDescent="0.35">
      <c r="A12" s="3" t="s">
        <v>954</v>
      </c>
      <c r="B12" s="3"/>
      <c r="C12" s="3"/>
      <c r="D12" s="3"/>
      <c r="E12" s="3"/>
      <c r="F12" s="3"/>
      <c r="G12" s="310">
        <f>'13A.)TODM_RateDesignSummary'!D46</f>
        <v>19.2</v>
      </c>
      <c r="H12" s="169">
        <f t="shared" ref="H12:H13" si="1">H109</f>
        <v>19.91</v>
      </c>
      <c r="I12" s="3"/>
      <c r="J12" s="33"/>
      <c r="L12" s="454"/>
      <c r="P12" s="160" t="s">
        <v>113</v>
      </c>
      <c r="Q12" s="157" t="str">
        <f>Q$7</f>
        <v>D2</v>
      </c>
      <c r="R12" s="157" t="str">
        <f>R$7</f>
        <v>8-10</v>
      </c>
      <c r="S12" s="156"/>
      <c r="T12" s="159" t="str">
        <f>T$7</f>
        <v>Off Peak</v>
      </c>
      <c r="U12" s="156"/>
      <c r="V12" s="750" t="s">
        <v>888</v>
      </c>
      <c r="W12" s="387">
        <f>'[1]D4.)RateIII_RateDevelopment'!$J$42</f>
        <v>29131461.559999999</v>
      </c>
      <c r="X12" s="387">
        <f>'[1]D4.)RateIII_RateDevelopment'!$J$63</f>
        <v>2463517</v>
      </c>
      <c r="Y12" s="367" t="s">
        <v>445</v>
      </c>
      <c r="Z12" s="387">
        <f>'[1]D4.)RateIII_RateDevelopment'!$J$37</f>
        <v>5478154249.8600006</v>
      </c>
      <c r="AA12" s="387">
        <f>AA14-AA11</f>
        <v>689378361</v>
      </c>
      <c r="AB12" s="1" t="str">
        <f>P12</f>
        <v>Winter (LT)</v>
      </c>
      <c r="AE12" s="1136" t="s">
        <v>2210</v>
      </c>
      <c r="AF12" s="1166">
        <f>'[2]3C.)HY_Metering PxOut'!$C$46</f>
        <v>2160</v>
      </c>
      <c r="AG12" s="1129">
        <f>ROUND($AF12*$X$10/($X$10+$X$15+$X$20+$X$25),0)</f>
        <v>719</v>
      </c>
      <c r="AH12" s="1129">
        <f>AF12-AG12-AI12-AJ12</f>
        <v>1438</v>
      </c>
      <c r="AI12" s="1129">
        <f>ROUND($AF12*$X$20/($X$10+$X$15+$X$20+$X$25),0)</f>
        <v>1</v>
      </c>
      <c r="AJ12" s="1130">
        <f>ROUND($AF12*$X$25/($X$10+$X$15+$X$20+$X$25),0)</f>
        <v>2</v>
      </c>
      <c r="AK12" s="366">
        <f>AF12-AG12-AH12-AI12-AJ12</f>
        <v>0</v>
      </c>
    </row>
    <row r="13" spans="1:37" ht="15" outlineLevel="1" thickBot="1" x14ac:dyDescent="0.4">
      <c r="A13" s="3" t="s">
        <v>955</v>
      </c>
      <c r="B13" s="3"/>
      <c r="C13" s="3"/>
      <c r="D13" s="3"/>
      <c r="E13" s="3"/>
      <c r="F13" s="3"/>
      <c r="G13" s="310">
        <f>'13A.)TODM_RateDesignSummary'!D47</f>
        <v>18.36</v>
      </c>
      <c r="H13" s="169">
        <f t="shared" si="1"/>
        <v>19.04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53"/>
      <c r="T13" s="453"/>
      <c r="U13" s="477"/>
      <c r="V13" s="367" t="s">
        <v>645</v>
      </c>
      <c r="W13" s="172">
        <f>'[1]D4.)RateIII_RateDevelopment'!$J$43</f>
        <v>29725071.23</v>
      </c>
      <c r="X13" s="172">
        <f>'[1]D4.)RateIII_RateDevelopment'!$J$64</f>
        <v>2498952</v>
      </c>
      <c r="Y13" s="367"/>
      <c r="Z13" s="477"/>
      <c r="AA13" s="477"/>
      <c r="AB13" s="1"/>
      <c r="AE13" s="1137"/>
      <c r="AF13" s="1141">
        <f>AF11+AF12-X10-X15-X20-X25</f>
        <v>0</v>
      </c>
      <c r="AG13" s="1139"/>
      <c r="AH13" s="1139"/>
      <c r="AI13" s="1139"/>
      <c r="AJ13" s="1140"/>
    </row>
    <row r="14" spans="1:37" ht="15.5" outlineLevel="1" thickTop="1" thickBot="1" x14ac:dyDescent="0.4">
      <c r="A14" s="368" t="s">
        <v>2141</v>
      </c>
      <c r="B14" s="368"/>
      <c r="F14" s="3"/>
      <c r="G14" s="310">
        <f>'13A.)TODM_RateDesignSummary'!D48</f>
        <v>7.9000000000000008E-3</v>
      </c>
      <c r="H14" s="169">
        <f>H167</f>
        <v>7.9000000000000008E-3</v>
      </c>
      <c r="I14" s="3"/>
      <c r="J14" s="33" t="s">
        <v>1477</v>
      </c>
      <c r="K14" s="17"/>
      <c r="L14" s="964">
        <f>'[2]6A.)RateChange'!BF50</f>
        <v>3.4929590000000003E-2</v>
      </c>
      <c r="P14" s="1158" t="s">
        <v>2207</v>
      </c>
      <c r="Q14" s="1161">
        <f>W15+X15</f>
        <v>1066294</v>
      </c>
      <c r="R14" s="3"/>
      <c r="S14" s="915">
        <f>W14+X14</f>
        <v>32224023.23</v>
      </c>
      <c r="U14" s="915">
        <f>Z14+AA14</f>
        <v>11565426692.860001</v>
      </c>
      <c r="V14" s="367"/>
      <c r="W14" s="761">
        <f>'[1]D4.)RateIII_RateDevelopment'!$J$40</f>
        <v>29725071.23</v>
      </c>
      <c r="X14" s="761">
        <f>'[1]D4.)RateIII_RateDevelopment'!$J$61</f>
        <v>2498952</v>
      </c>
      <c r="Y14" s="367"/>
      <c r="Z14" s="761">
        <f>'[1]D4.)RateIII_RateDevelopment'!$J$35</f>
        <v>10316378372.860001</v>
      </c>
      <c r="AA14" s="761">
        <f>ROUND('[1]D4.)RateIII_RateDevelopment'!$J$57,0)</f>
        <v>1249048320</v>
      </c>
      <c r="AB14" s="1"/>
      <c r="AE14" s="1137"/>
      <c r="AF14" s="1139"/>
      <c r="AG14" s="1139"/>
      <c r="AH14" s="1139"/>
      <c r="AI14" s="1139"/>
      <c r="AJ14" s="1140"/>
    </row>
    <row r="15" spans="1:37" ht="15.5" outlineLevel="1" thickTop="1" thickBot="1" x14ac:dyDescent="0.4">
      <c r="A15" s="368" t="s">
        <v>2142</v>
      </c>
      <c r="B15" s="368"/>
      <c r="F15" s="3"/>
      <c r="G15" s="310">
        <f>'13A.)TODM_RateDesignSummary'!D49</f>
        <v>7.9000000000000008E-3</v>
      </c>
      <c r="H15" s="169">
        <f>H168</f>
        <v>7.9000000000000008E-3</v>
      </c>
      <c r="I15" s="3"/>
      <c r="V15" s="1165" t="s">
        <v>2207</v>
      </c>
      <c r="W15" s="1159">
        <f>'11D.)Demand_RateDesign_SC9_I'!T14</f>
        <v>1029407</v>
      </c>
      <c r="X15" s="1161">
        <f>'[1]B1.)HYAdjSalesDatabase'!$U$255</f>
        <v>36887</v>
      </c>
      <c r="Y15" s="367"/>
      <c r="Z15" s="748">
        <f>Z11+Z12-Z14</f>
        <v>0</v>
      </c>
      <c r="AA15" s="748">
        <f>AA11+AA12-AA14</f>
        <v>0</v>
      </c>
      <c r="AB15" s="1"/>
      <c r="AE15" s="1137"/>
      <c r="AF15" s="1146" t="s">
        <v>2212</v>
      </c>
      <c r="AG15" s="1147" t="s">
        <v>114</v>
      </c>
      <c r="AH15" s="1147" t="s">
        <v>113</v>
      </c>
      <c r="AI15" s="1147" t="s">
        <v>112</v>
      </c>
      <c r="AJ15" s="1148" t="s">
        <v>111</v>
      </c>
    </row>
    <row r="16" spans="1:37" ht="15" outlineLevel="1" thickTop="1" x14ac:dyDescent="0.35">
      <c r="A16" s="368" t="s">
        <v>2143</v>
      </c>
      <c r="B16" s="368"/>
      <c r="F16" s="3"/>
      <c r="G16" s="310">
        <f>'13A.)TODM_RateDesignSummary'!D50</f>
        <v>7.9000000000000008E-3</v>
      </c>
      <c r="H16" s="169">
        <f>J167</f>
        <v>7.9000000000000008E-3</v>
      </c>
      <c r="I16" s="3"/>
      <c r="L16" s="135" t="s">
        <v>135</v>
      </c>
      <c r="M16" s="135" t="s">
        <v>134</v>
      </c>
      <c r="P16" s="165" t="s">
        <v>112</v>
      </c>
      <c r="Q16" s="162" t="str">
        <f>Q$6</f>
        <v>D1</v>
      </c>
      <c r="R16" s="162" t="str">
        <f>R$6</f>
        <v>8-6</v>
      </c>
      <c r="S16" s="161"/>
      <c r="T16" s="164" t="str">
        <f>T$6</f>
        <v>On Peak</v>
      </c>
      <c r="U16" s="161"/>
      <c r="V16" s="367" t="s">
        <v>643</v>
      </c>
      <c r="W16" s="386">
        <f>'[1]D4.)RateIII_RateDevelopment'!$E$32</f>
        <v>49122.23</v>
      </c>
      <c r="X16" s="386">
        <f>'[1]D4.)RateIII_RateDevelopment'!$E$54</f>
        <v>13788</v>
      </c>
      <c r="Y16" s="367" t="s">
        <v>444</v>
      </c>
      <c r="Z16" s="386">
        <f>'[1]D4.)RateIII_RateDevelopment'!$E$28</f>
        <v>9060210</v>
      </c>
      <c r="AA16" s="386">
        <f>'[1]D4.)RateIII_RateDevelopment'!$E$50</f>
        <v>2891889</v>
      </c>
      <c r="AB16" s="1" t="str">
        <f>P16</f>
        <v>Summer (HT)</v>
      </c>
      <c r="AE16" s="1136" t="s">
        <v>2209</v>
      </c>
      <c r="AF16" s="1166">
        <f>AF6+AF11</f>
        <v>1586671</v>
      </c>
      <c r="AG16" s="1129">
        <f t="shared" ref="AG16:AJ17" si="2">AG6+AG11</f>
        <v>528914</v>
      </c>
      <c r="AH16" s="1129">
        <f t="shared" si="2"/>
        <v>1057180</v>
      </c>
      <c r="AI16" s="1129">
        <f t="shared" si="2"/>
        <v>198</v>
      </c>
      <c r="AJ16" s="1130">
        <f t="shared" si="2"/>
        <v>379</v>
      </c>
    </row>
    <row r="17" spans="1:36" outlineLevel="1" x14ac:dyDescent="0.35">
      <c r="A17" s="368" t="s">
        <v>2144</v>
      </c>
      <c r="B17" s="368"/>
      <c r="F17" s="3"/>
      <c r="G17" s="310">
        <f>'13A.)TODM_RateDesignSummary'!D51</f>
        <v>7.9000000000000008E-3</v>
      </c>
      <c r="H17" s="169">
        <f>J168</f>
        <v>7.9000000000000008E-3</v>
      </c>
      <c r="I17" s="3"/>
      <c r="J17" s="33" t="s">
        <v>1467</v>
      </c>
      <c r="L17" s="245">
        <f>'[2]6B.)RateChgAllocation'!$N$50</f>
        <v>56027056.000000007</v>
      </c>
      <c r="M17" s="701">
        <f>ROUND(L17/L$9,0)</f>
        <v>55413079</v>
      </c>
      <c r="P17" s="170" t="s">
        <v>112</v>
      </c>
      <c r="Q17" s="157" t="str">
        <f>Q$7</f>
        <v>D2</v>
      </c>
      <c r="R17" s="157" t="str">
        <f>R$7</f>
        <v>8-10</v>
      </c>
      <c r="S17" s="156"/>
      <c r="T17" s="159" t="str">
        <f>T$7</f>
        <v>Off Peak</v>
      </c>
      <c r="U17" s="156"/>
      <c r="V17" s="750" t="s">
        <v>888</v>
      </c>
      <c r="W17" s="387">
        <f>'[1]D4.)RateIII_RateDevelopment'!$E$33</f>
        <v>49606.94</v>
      </c>
      <c r="X17" s="387">
        <f>'[1]D4.)RateIII_RateDevelopment'!$E$55</f>
        <v>14201</v>
      </c>
      <c r="Y17" s="367" t="s">
        <v>445</v>
      </c>
      <c r="Z17" s="387">
        <f>'[1]D4.)RateIII_RateDevelopment'!$E$29</f>
        <v>9515635</v>
      </c>
      <c r="AA17" s="387">
        <f>'[1]D4.)RateIII_RateDevelopment'!$E$51</f>
        <v>3166827</v>
      </c>
      <c r="AB17" s="1" t="str">
        <f>P17</f>
        <v>Summer (HT)</v>
      </c>
      <c r="AE17" s="1142" t="s">
        <v>2210</v>
      </c>
      <c r="AF17" s="1167">
        <f>AF7+AF12</f>
        <v>13680</v>
      </c>
      <c r="AG17" s="1131">
        <f t="shared" si="2"/>
        <v>4559</v>
      </c>
      <c r="AH17" s="1131">
        <f t="shared" si="2"/>
        <v>9114</v>
      </c>
      <c r="AI17" s="1131">
        <f t="shared" si="2"/>
        <v>2</v>
      </c>
      <c r="AJ17" s="1132">
        <f t="shared" si="2"/>
        <v>5</v>
      </c>
    </row>
    <row r="18" spans="1:36" ht="15" outlineLevel="1" thickBot="1" x14ac:dyDescent="0.4">
      <c r="A18" s="368" t="s">
        <v>2145</v>
      </c>
      <c r="B18" s="368"/>
      <c r="F18" s="3"/>
      <c r="G18" s="310">
        <f>'13A.)TODM_RateDesignSummary'!D52</f>
        <v>7.9000000000000008E-3</v>
      </c>
      <c r="H18" s="169">
        <f>H14</f>
        <v>7.9000000000000008E-3</v>
      </c>
      <c r="I18" s="3"/>
      <c r="J18" s="33" t="s">
        <v>741</v>
      </c>
      <c r="L18" s="701">
        <f>'[2]6B.)RateChgAllocation'!$J$50</f>
        <v>1598460968</v>
      </c>
      <c r="M18" s="701"/>
      <c r="P18" s="168" t="s">
        <v>112</v>
      </c>
      <c r="Q18" s="154" t="str">
        <f>Q8</f>
        <v>D3</v>
      </c>
      <c r="R18" s="154" t="str">
        <f>R8</f>
        <v>All Day</v>
      </c>
      <c r="S18" s="477"/>
      <c r="T18" s="453"/>
      <c r="U18" s="477"/>
      <c r="V18" s="367" t="s">
        <v>645</v>
      </c>
      <c r="W18" s="477"/>
      <c r="X18" s="477"/>
      <c r="Y18" s="367"/>
      <c r="Z18" s="477"/>
      <c r="AA18" s="477"/>
      <c r="AB18" s="1"/>
    </row>
    <row r="19" spans="1:36" ht="15.5" outlineLevel="1" thickTop="1" thickBot="1" x14ac:dyDescent="0.4">
      <c r="A19" s="368" t="s">
        <v>2146</v>
      </c>
      <c r="B19" s="368"/>
      <c r="F19" s="3"/>
      <c r="G19" s="310">
        <f>'13A.)TODM_RateDesignSummary'!D53</f>
        <v>7.9000000000000008E-3</v>
      </c>
      <c r="H19" s="169">
        <f t="shared" ref="H19:H21" si="3">H15</f>
        <v>7.9000000000000008E-3</v>
      </c>
      <c r="I19" s="3"/>
      <c r="J19" s="33" t="s">
        <v>123</v>
      </c>
      <c r="L19" s="245">
        <f>'[2]6B.)RateChgAllocation'!$M$50</f>
        <v>0</v>
      </c>
      <c r="M19" s="701">
        <f>ROUND(L19/L$9,0)</f>
        <v>0</v>
      </c>
      <c r="P19" s="1158" t="s">
        <v>2207</v>
      </c>
      <c r="Q19" s="1161">
        <f>W20+X20</f>
        <v>200</v>
      </c>
      <c r="S19" s="915">
        <f>W19+X19</f>
        <v>64539.1</v>
      </c>
      <c r="U19" s="915">
        <f>Z19+AA19</f>
        <v>24634561</v>
      </c>
      <c r="V19" s="367"/>
      <c r="W19" s="717">
        <f>'[1]D4.)RateIII_RateDevelopment'!$E$31</f>
        <v>50338.2</v>
      </c>
      <c r="X19" s="717">
        <f>'[1]D4.)RateIII_RateDevelopment'!$E$53</f>
        <v>14200.900000000001</v>
      </c>
      <c r="Y19" s="367"/>
      <c r="Z19" s="717">
        <f>'[1]D4.)RateIII_RateDevelopment'!$E$27</f>
        <v>18575845</v>
      </c>
      <c r="AA19" s="717">
        <f>'[1]D4.)RateIII_RateDevelopment'!$E$49</f>
        <v>6058716</v>
      </c>
      <c r="AB19" s="1"/>
    </row>
    <row r="20" spans="1:36" ht="15.5" outlineLevel="1" thickTop="1" thickBot="1" x14ac:dyDescent="0.4">
      <c r="A20" s="368" t="s">
        <v>2147</v>
      </c>
      <c r="B20" s="368"/>
      <c r="F20" s="3"/>
      <c r="G20" s="310">
        <f>'13A.)TODM_RateDesignSummary'!D54</f>
        <v>7.9000000000000008E-3</v>
      </c>
      <c r="H20" s="169">
        <f t="shared" si="3"/>
        <v>7.9000000000000008E-3</v>
      </c>
      <c r="I20" s="3"/>
      <c r="J20" s="33" t="s">
        <v>749</v>
      </c>
      <c r="L20" s="701">
        <f>'[2]4E-2.)HY_TODMRatePxOut(SC9)'!$Y$80</f>
        <v>15502731</v>
      </c>
      <c r="M20" s="245">
        <f>'[2]4E-2.)HY_TODMRatePxOut(SC9)'!$W$80</f>
        <v>15502731</v>
      </c>
      <c r="V20" s="1165" t="s">
        <v>2207</v>
      </c>
      <c r="W20" s="1159">
        <f>'11D.)Demand_RateDesign_SC9_I'!T19</f>
        <v>180</v>
      </c>
      <c r="X20" s="1161">
        <f>'[1]B1.)HYAdjSalesDatabase'!$T$254</f>
        <v>20</v>
      </c>
      <c r="Y20" s="367"/>
      <c r="Z20" s="748">
        <f>Z16+Z17-Z19</f>
        <v>0</v>
      </c>
      <c r="AA20" s="748">
        <f>AA16+AA17-AA19</f>
        <v>0</v>
      </c>
      <c r="AB20" s="1"/>
    </row>
    <row r="21" spans="1:36" ht="15.5" outlineLevel="1" thickTop="1" thickBot="1" x14ac:dyDescent="0.4">
      <c r="A21" s="368" t="s">
        <v>2148</v>
      </c>
      <c r="B21" s="368"/>
      <c r="F21" s="3"/>
      <c r="G21" s="311">
        <f>'13A.)TODM_RateDesignSummary'!D55</f>
        <v>7.9000000000000008E-3</v>
      </c>
      <c r="H21" s="167">
        <f t="shared" si="3"/>
        <v>7.9000000000000008E-3</v>
      </c>
      <c r="I21" s="3"/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161"/>
      <c r="V21" s="367" t="s">
        <v>643</v>
      </c>
      <c r="W21" s="386">
        <f>'[1]D4.)RateIII_RateDevelopment'!$J$32</f>
        <v>0</v>
      </c>
      <c r="X21" s="386">
        <f>'[1]D4.)RateIII_RateDevelopment'!$J$54</f>
        <v>0</v>
      </c>
      <c r="Y21" s="367" t="s">
        <v>444</v>
      </c>
      <c r="Z21" s="386">
        <f>'[1]D4.)RateIII_RateDevelopment'!$J$28</f>
        <v>17204467</v>
      </c>
      <c r="AA21" s="386">
        <f>'[1]D4.)RateIII_RateDevelopment'!$J$50</f>
        <v>5721224</v>
      </c>
      <c r="AB21" s="1" t="str">
        <f>P21</f>
        <v>Winter (HT)</v>
      </c>
    </row>
    <row r="22" spans="1:36" ht="15.5" outlineLevel="1" thickTop="1" thickBot="1" x14ac:dyDescent="0.4">
      <c r="J22" s="33" t="s">
        <v>1492</v>
      </c>
      <c r="L22" s="701">
        <f>'[2]6A.)RateChange'!$BN$50</f>
        <v>1660027094.2468894</v>
      </c>
      <c r="P22" s="160" t="s">
        <v>111</v>
      </c>
      <c r="Q22" s="157" t="str">
        <f>Q$7</f>
        <v>D2</v>
      </c>
      <c r="R22" s="157" t="str">
        <f>R$7</f>
        <v>8-10</v>
      </c>
      <c r="S22" s="156"/>
      <c r="T22" s="159" t="str">
        <f>T$7</f>
        <v>Off Peak</v>
      </c>
      <c r="U22" s="156"/>
      <c r="V22" s="750" t="s">
        <v>888</v>
      </c>
      <c r="W22" s="387">
        <f>'[1]D4.)RateIII_RateDevelopment'!$J$33</f>
        <v>91989.46</v>
      </c>
      <c r="X22" s="387">
        <f>'[1]D4.)RateIII_RateDevelopment'!$J$55</f>
        <v>25074</v>
      </c>
      <c r="Y22" s="367" t="s">
        <v>445</v>
      </c>
      <c r="Z22" s="387">
        <f>'[1]D4.)RateIII_RateDevelopment'!$J$29</f>
        <v>19480024</v>
      </c>
      <c r="AA22" s="387">
        <f>'[1]D4.)RateIII_RateDevelopment'!$J$51</f>
        <v>6430957</v>
      </c>
      <c r="AB22" s="1" t="str">
        <f>P22</f>
        <v>Winter (HT)</v>
      </c>
    </row>
    <row r="23" spans="1:36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477"/>
      <c r="T23" s="453"/>
      <c r="U23" s="477"/>
      <c r="V23" s="367" t="s">
        <v>645</v>
      </c>
      <c r="W23" s="477"/>
      <c r="X23" s="477"/>
      <c r="Y23" s="367"/>
      <c r="Z23" s="477"/>
      <c r="AA23" s="477"/>
      <c r="AB23" s="1"/>
    </row>
    <row r="24" spans="1:36" ht="15.5" outlineLevel="1" thickTop="1" thickBot="1" x14ac:dyDescent="0.4">
      <c r="A24" s="1174" t="s">
        <v>2229</v>
      </c>
      <c r="B24" s="1175"/>
      <c r="C24" s="1176"/>
      <c r="H24" s="1170">
        <f>'7C.)CustCharge_DemandClasses'!$J$15</f>
        <v>12.45</v>
      </c>
      <c r="I24" s="1"/>
      <c r="J24" s="222" t="s">
        <v>1522</v>
      </c>
      <c r="L24" s="701">
        <f>'[1]F2.)MMD_&amp;_BIR'!$D$22+'[1]F2.)MMD_&amp;_BIR'!$D$23</f>
        <v>6515494</v>
      </c>
      <c r="P24" s="1158" t="s">
        <v>2207</v>
      </c>
      <c r="Q24" s="1161">
        <f>W25+X25</f>
        <v>384</v>
      </c>
      <c r="S24" s="915">
        <f>W24+X24</f>
        <v>118937.1</v>
      </c>
      <c r="U24" s="915">
        <f>Z24+AA24</f>
        <v>48836673</v>
      </c>
      <c r="V24" s="367"/>
      <c r="W24" s="717">
        <f>'[1]D4.)RateIII_RateDevelopment'!$J$31</f>
        <v>93863.92</v>
      </c>
      <c r="X24" s="717">
        <f>'[1]D4.)RateIII_RateDevelopment'!$J$53</f>
        <v>25073.18</v>
      </c>
      <c r="Z24" s="717">
        <f>'[1]D4.)RateIII_RateDevelopment'!$J$27</f>
        <v>36684491</v>
      </c>
      <c r="AA24" s="717">
        <f>'[1]D4.)RateIII_RateDevelopment'!$J$49</f>
        <v>12152182</v>
      </c>
      <c r="AB24" s="1"/>
    </row>
    <row r="25" spans="1:36" ht="15.5" outlineLevel="1" thickTop="1" thickBot="1" x14ac:dyDescent="0.4">
      <c r="I25" s="1"/>
      <c r="J25" s="222" t="s">
        <v>697</v>
      </c>
      <c r="L25" s="701">
        <f>'[1]F2.)MMD_&amp;_BIR'!$H$22+'[1]F2.)MMD_&amp;_BIR'!$H$23</f>
        <v>-1678096.1284422702</v>
      </c>
      <c r="S25" s="150"/>
      <c r="V25" s="1165" t="s">
        <v>2207</v>
      </c>
      <c r="W25" s="1159">
        <f>'11D.)Demand_RateDesign_SC9_I'!T24</f>
        <v>344</v>
      </c>
      <c r="X25" s="1161">
        <f>'[1]B1.)HYAdjSalesDatabase'!$U$254</f>
        <v>40</v>
      </c>
      <c r="Z25" s="748">
        <f>Z21+Z22-Z24</f>
        <v>0</v>
      </c>
      <c r="AA25" s="748"/>
    </row>
    <row r="26" spans="1:36" ht="15.5" outlineLevel="1" thickTop="1" thickBot="1" x14ac:dyDescent="0.4">
      <c r="J26" s="33" t="s">
        <v>699</v>
      </c>
      <c r="L26" s="701">
        <f>'[1]F3.)Standby'!$E$28</f>
        <v>701672.37533170404</v>
      </c>
      <c r="R26" t="s">
        <v>205</v>
      </c>
      <c r="S26" s="151">
        <f>S9+S14+S19+S24</f>
        <v>50995101.180000007</v>
      </c>
      <c r="U26" s="151">
        <f>U9+U14+U19+U24</f>
        <v>18301568462.489998</v>
      </c>
      <c r="W26" s="151">
        <f t="shared" ref="W26:X26" si="4">W9+W14+W19+W24</f>
        <v>47064794.100000009</v>
      </c>
      <c r="X26" s="151">
        <f t="shared" si="4"/>
        <v>3930307.08</v>
      </c>
      <c r="Z26" s="151">
        <f t="shared" ref="Z26:AA26" si="5">Z9+Z14+Z19+Z24</f>
        <v>16339197760.49</v>
      </c>
      <c r="AA26" s="151">
        <f t="shared" si="5"/>
        <v>1962370702</v>
      </c>
    </row>
    <row r="27" spans="1:36" ht="15" outlineLevel="1" thickTop="1" x14ac:dyDescent="0.35">
      <c r="Z27" s="481"/>
      <c r="AA27" s="481"/>
      <c r="AC27" s="481"/>
      <c r="AD27" s="481"/>
    </row>
    <row r="28" spans="1:36" s="148" customFormat="1" outlineLevel="1" x14ac:dyDescent="0.35"/>
    <row r="29" spans="1:36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I29" s="1"/>
      <c r="J29" s="1"/>
      <c r="K29" s="1"/>
      <c r="L29" s="1178" t="s">
        <v>2212</v>
      </c>
      <c r="M29" s="1169" t="s">
        <v>2240</v>
      </c>
      <c r="N29" s="1"/>
    </row>
    <row r="30" spans="1:36" x14ac:dyDescent="0.35">
      <c r="A30" s="131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I30" s="1"/>
      <c r="J30" s="1"/>
      <c r="K30" s="1"/>
      <c r="L30" s="1165" t="s">
        <v>2214</v>
      </c>
      <c r="M30" s="1157">
        <f>H24</f>
        <v>12.45</v>
      </c>
      <c r="N30" s="1"/>
    </row>
    <row r="31" spans="1:36" x14ac:dyDescent="0.35">
      <c r="B31" s="41" t="str">
        <f>$A$4</f>
        <v>SC9 Rate III</v>
      </c>
      <c r="C31" s="133" t="s">
        <v>662</v>
      </c>
      <c r="D31" s="133"/>
      <c r="E31" s="133"/>
      <c r="F31" s="133"/>
      <c r="I31" s="1"/>
      <c r="J31" s="1"/>
      <c r="K31" s="1"/>
      <c r="L31" s="1158"/>
      <c r="M31" s="1158"/>
      <c r="N31" s="1"/>
      <c r="P31"/>
    </row>
    <row r="32" spans="1:36" x14ac:dyDescent="0.35">
      <c r="C32" s="464" t="s">
        <v>2220</v>
      </c>
      <c r="I32" s="370">
        <f>L17</f>
        <v>56027056.000000007</v>
      </c>
      <c r="J32" s="1"/>
      <c r="K32" s="1"/>
      <c r="L32" s="1165" t="s">
        <v>2215</v>
      </c>
      <c r="M32" s="1159">
        <f>AG16+AG17</f>
        <v>533473</v>
      </c>
      <c r="N32" s="1"/>
      <c r="P32"/>
    </row>
    <row r="33" spans="3:16" x14ac:dyDescent="0.35">
      <c r="C33" s="464" t="s">
        <v>2219</v>
      </c>
      <c r="I33" s="810">
        <f>L17-M38</f>
        <v>35881924.000000007</v>
      </c>
      <c r="J33" s="1121" t="s">
        <v>79</v>
      </c>
      <c r="K33" s="1"/>
      <c r="L33" s="1165" t="s">
        <v>2216</v>
      </c>
      <c r="M33" s="1159">
        <f>AH16+AH17</f>
        <v>1066294</v>
      </c>
      <c r="N33" s="1"/>
      <c r="P33"/>
    </row>
    <row r="34" spans="3:16" x14ac:dyDescent="0.35">
      <c r="C34" t="s">
        <v>696</v>
      </c>
      <c r="H34" s="964">
        <f>L14</f>
        <v>3.4929590000000003E-2</v>
      </c>
      <c r="I34" s="1"/>
      <c r="J34" s="1121" t="s">
        <v>78</v>
      </c>
      <c r="K34" s="1"/>
      <c r="L34" s="1158"/>
      <c r="M34" s="1158"/>
      <c r="N34" s="1"/>
      <c r="P34"/>
    </row>
    <row r="35" spans="3:16" x14ac:dyDescent="0.35">
      <c r="H35" s="467"/>
      <c r="I35" s="1"/>
      <c r="J35" s="1014"/>
      <c r="K35" s="1"/>
      <c r="L35" s="1165" t="s">
        <v>2217</v>
      </c>
      <c r="M35" s="1159">
        <f>AI16+AI17</f>
        <v>200</v>
      </c>
      <c r="N35" s="1"/>
      <c r="P35"/>
    </row>
    <row r="36" spans="3:16" x14ac:dyDescent="0.35">
      <c r="C36" t="s">
        <v>703</v>
      </c>
      <c r="G36" s="135"/>
      <c r="H36" s="135" t="s">
        <v>702</v>
      </c>
      <c r="I36" s="370"/>
      <c r="J36" s="1014"/>
      <c r="K36" s="1"/>
      <c r="L36" s="1165" t="s">
        <v>2218</v>
      </c>
      <c r="M36" s="1159">
        <f>AJ16+AJ17</f>
        <v>384</v>
      </c>
      <c r="N36" s="484"/>
      <c r="P36"/>
    </row>
    <row r="37" spans="3:16" x14ac:dyDescent="0.35">
      <c r="C37" t="s">
        <v>1523</v>
      </c>
      <c r="G37" s="819">
        <f>L24</f>
        <v>6515494</v>
      </c>
      <c r="H37" s="819">
        <f>ROUND(G37*H$34,0)</f>
        <v>227584</v>
      </c>
      <c r="I37" s="370"/>
      <c r="J37" s="1121" t="s">
        <v>1878</v>
      </c>
      <c r="K37" s="1"/>
      <c r="L37" s="1165"/>
      <c r="M37" s="1159"/>
      <c r="N37" s="370"/>
      <c r="P37"/>
    </row>
    <row r="38" spans="3:16" x14ac:dyDescent="0.35">
      <c r="C38" t="s">
        <v>705</v>
      </c>
      <c r="G38" s="819">
        <f>L25</f>
        <v>-1678096.1284422702</v>
      </c>
      <c r="H38" s="819">
        <f>ROUND(G38*H$34,0)</f>
        <v>-58615</v>
      </c>
      <c r="I38" s="370"/>
      <c r="J38" s="1121" t="s">
        <v>1879</v>
      </c>
      <c r="K38" s="1"/>
      <c r="L38" s="1165" t="s">
        <v>2282</v>
      </c>
      <c r="M38" s="1160">
        <f>ROUND((M32+M33+M35+M36)*M30*L9,0)</f>
        <v>20145132</v>
      </c>
      <c r="N38" s="1"/>
      <c r="P38"/>
    </row>
    <row r="39" spans="3:16" x14ac:dyDescent="0.35">
      <c r="C39" t="s">
        <v>721</v>
      </c>
      <c r="G39" s="819">
        <f>L26</f>
        <v>701672.37533170404</v>
      </c>
      <c r="H39" s="903">
        <f>ROUND(G39*H$34,0)</f>
        <v>24509</v>
      </c>
      <c r="I39" s="1"/>
      <c r="J39" s="1121" t="s">
        <v>1880</v>
      </c>
      <c r="K39" s="1"/>
      <c r="L39" s="1"/>
      <c r="M39" s="541"/>
      <c r="N39" s="1"/>
      <c r="P39"/>
    </row>
    <row r="40" spans="3:16" x14ac:dyDescent="0.35">
      <c r="C40" t="s">
        <v>726</v>
      </c>
      <c r="G40" s="130"/>
      <c r="I40" s="379">
        <f>SUM(H37:H39)</f>
        <v>193478</v>
      </c>
      <c r="J40" s="136" t="s">
        <v>1881</v>
      </c>
      <c r="P40"/>
    </row>
    <row r="41" spans="3:16" x14ac:dyDescent="0.35">
      <c r="C41" t="s">
        <v>722</v>
      </c>
      <c r="G41" s="130"/>
      <c r="H41" s="130"/>
      <c r="I41" s="130">
        <f>I33-I40</f>
        <v>35688446.000000007</v>
      </c>
      <c r="J41" s="136" t="s">
        <v>1979</v>
      </c>
      <c r="P41"/>
    </row>
    <row r="42" spans="3:16" x14ac:dyDescent="0.35">
      <c r="G42" s="130"/>
      <c r="H42" s="130"/>
      <c r="I42" s="130"/>
      <c r="P42"/>
    </row>
    <row r="43" spans="3:16" x14ac:dyDescent="0.35">
      <c r="C43" t="s">
        <v>1493</v>
      </c>
      <c r="I43" s="130">
        <f>L18</f>
        <v>1598460968</v>
      </c>
      <c r="J43" s="136" t="s">
        <v>1583</v>
      </c>
      <c r="P43"/>
    </row>
    <row r="44" spans="3:16" x14ac:dyDescent="0.35">
      <c r="C44" t="s">
        <v>723</v>
      </c>
      <c r="I44" s="130">
        <f>G156</f>
        <v>144582393</v>
      </c>
      <c r="J44" s="1014" t="s">
        <v>1304</v>
      </c>
      <c r="P44"/>
    </row>
    <row r="45" spans="3:16" x14ac:dyDescent="0.35">
      <c r="C45" t="s">
        <v>724</v>
      </c>
      <c r="I45" s="140">
        <f>I41+I43-I44</f>
        <v>1489567021</v>
      </c>
      <c r="J45" s="1014" t="s">
        <v>1980</v>
      </c>
      <c r="P45"/>
    </row>
    <row r="46" spans="3:16" ht="15" thickBot="1" x14ac:dyDescent="0.4">
      <c r="C46" s="466" t="s">
        <v>701</v>
      </c>
      <c r="H46" s="822">
        <f>L9</f>
        <v>1.01108</v>
      </c>
      <c r="I46" s="345"/>
      <c r="J46" s="136" t="s">
        <v>1302</v>
      </c>
      <c r="P46"/>
    </row>
    <row r="47" spans="3:16" ht="15.5" thickTop="1" thickBot="1" x14ac:dyDescent="0.4">
      <c r="C47" t="s">
        <v>725</v>
      </c>
      <c r="I47" s="991">
        <f>I45/H46</f>
        <v>1473243483.2060766</v>
      </c>
      <c r="J47" s="136" t="s">
        <v>1981</v>
      </c>
      <c r="P47"/>
    </row>
    <row r="48" spans="3:16" ht="15" thickTop="1" x14ac:dyDescent="0.35">
      <c r="I48" s="345"/>
      <c r="P48"/>
    </row>
    <row r="49" spans="1:16" x14ac:dyDescent="0.35">
      <c r="B49" s="480" t="s">
        <v>734</v>
      </c>
      <c r="C49" s="380" t="s">
        <v>731</v>
      </c>
      <c r="P49"/>
    </row>
    <row r="50" spans="1:16" x14ac:dyDescent="0.35">
      <c r="B50" s="480"/>
      <c r="C50" s="380"/>
      <c r="F50" s="135" t="s">
        <v>735</v>
      </c>
      <c r="G50" s="135" t="s">
        <v>732</v>
      </c>
      <c r="H50" s="135" t="s">
        <v>733</v>
      </c>
      <c r="P50"/>
    </row>
    <row r="51" spans="1:16" x14ac:dyDescent="0.35">
      <c r="C51" s="3" t="s">
        <v>196</v>
      </c>
      <c r="D51" s="3" t="s">
        <v>42</v>
      </c>
      <c r="F51" s="911">
        <f>H66</f>
        <v>8.9499999999999993</v>
      </c>
      <c r="G51" s="1006">
        <f>W6+W16</f>
        <v>16829267.98</v>
      </c>
      <c r="H51" s="1006">
        <f>X6+X16</f>
        <v>1379818</v>
      </c>
      <c r="I51" s="134">
        <f>ROUND(F51*(G51+H51),0)</f>
        <v>162971320</v>
      </c>
      <c r="J51" s="136" t="s">
        <v>1982</v>
      </c>
      <c r="P51"/>
    </row>
    <row r="52" spans="1:16" x14ac:dyDescent="0.35">
      <c r="C52" s="3"/>
      <c r="D52" s="3" t="s">
        <v>40</v>
      </c>
      <c r="F52" s="911">
        <f>J66</f>
        <v>0</v>
      </c>
      <c r="G52" s="1006">
        <f>W11+W21</f>
        <v>0</v>
      </c>
      <c r="H52" s="1006">
        <f>X11+X21</f>
        <v>0</v>
      </c>
      <c r="I52" s="134">
        <f t="shared" ref="I52:I56" si="6">ROUND(F52*(G52+H52),0)</f>
        <v>0</v>
      </c>
      <c r="P52"/>
    </row>
    <row r="53" spans="1:16" x14ac:dyDescent="0.35">
      <c r="C53" s="3" t="s">
        <v>202</v>
      </c>
      <c r="D53" s="3" t="s">
        <v>42</v>
      </c>
      <c r="F53" s="911">
        <f>H67</f>
        <v>19.2</v>
      </c>
      <c r="G53" s="1007">
        <f>W7+W17</f>
        <v>16995328.360000003</v>
      </c>
      <c r="H53" s="1007">
        <f>X7+X17</f>
        <v>1390843</v>
      </c>
      <c r="I53" s="134">
        <f t="shared" si="6"/>
        <v>353014490</v>
      </c>
      <c r="J53" s="136" t="s">
        <v>1983</v>
      </c>
      <c r="P53"/>
    </row>
    <row r="54" spans="1:16" x14ac:dyDescent="0.35">
      <c r="C54" s="3"/>
      <c r="D54" s="3" t="s">
        <v>40</v>
      </c>
      <c r="F54" s="911">
        <f>J67</f>
        <v>12.43</v>
      </c>
      <c r="G54" s="1006">
        <f>W12+W22</f>
        <v>29223451.02</v>
      </c>
      <c r="H54" s="1006">
        <f>X12+X22</f>
        <v>2488591</v>
      </c>
      <c r="I54" s="134">
        <f t="shared" si="6"/>
        <v>394180682</v>
      </c>
      <c r="J54" s="136" t="s">
        <v>1984</v>
      </c>
      <c r="P54"/>
    </row>
    <row r="55" spans="1:16" x14ac:dyDescent="0.35">
      <c r="C55" s="3" t="s">
        <v>198</v>
      </c>
      <c r="D55" s="3" t="s">
        <v>42</v>
      </c>
      <c r="F55" s="911">
        <f>H68</f>
        <v>18.36</v>
      </c>
      <c r="G55" s="1006">
        <f>W8+W18</f>
        <v>17195520.75</v>
      </c>
      <c r="H55" s="1006">
        <f>X8+X18</f>
        <v>1392081</v>
      </c>
      <c r="I55" s="134">
        <f t="shared" si="6"/>
        <v>341268368</v>
      </c>
      <c r="J55" s="136" t="s">
        <v>1985</v>
      </c>
      <c r="P55"/>
    </row>
    <row r="56" spans="1:16" ht="15" thickBot="1" x14ac:dyDescent="0.4">
      <c r="C56" s="3"/>
      <c r="D56" s="3" t="s">
        <v>40</v>
      </c>
      <c r="F56" s="911">
        <f>J68</f>
        <v>5.26</v>
      </c>
      <c r="G56" s="1006">
        <f>W13+W23</f>
        <v>29725071.23</v>
      </c>
      <c r="H56" s="1006">
        <f>X13+X23</f>
        <v>2498952</v>
      </c>
      <c r="I56" s="134">
        <f t="shared" si="6"/>
        <v>169498362</v>
      </c>
      <c r="J56" s="136" t="s">
        <v>1986</v>
      </c>
      <c r="P56"/>
    </row>
    <row r="57" spans="1:16" ht="15.5" thickTop="1" thickBot="1" x14ac:dyDescent="0.4">
      <c r="C57" t="s">
        <v>736</v>
      </c>
      <c r="I57" s="128">
        <f>SUM(I51:I56)</f>
        <v>1420933222</v>
      </c>
      <c r="J57" s="136" t="s">
        <v>1987</v>
      </c>
      <c r="P57"/>
    </row>
    <row r="58" spans="1:16" ht="15" thickTop="1" x14ac:dyDescent="0.35">
      <c r="P58"/>
    </row>
    <row r="59" spans="1:16" x14ac:dyDescent="0.35">
      <c r="C59" s="75" t="s">
        <v>658</v>
      </c>
      <c r="D59" s="75"/>
      <c r="E59" s="75"/>
      <c r="F59" s="75"/>
      <c r="I59" s="964">
        <f>ROUND(I47/I57-1,8)</f>
        <v>3.6814020000000003E-2</v>
      </c>
      <c r="J59" s="136" t="s">
        <v>1988</v>
      </c>
      <c r="P59"/>
    </row>
    <row r="60" spans="1:16" x14ac:dyDescent="0.35">
      <c r="P60"/>
    </row>
    <row r="61" spans="1:16" x14ac:dyDescent="0.35">
      <c r="P61"/>
    </row>
    <row r="62" spans="1:16" x14ac:dyDescent="0.35">
      <c r="A62" s="858" t="s">
        <v>666</v>
      </c>
      <c r="P62"/>
    </row>
    <row r="63" spans="1:16" ht="15" thickBot="1" x14ac:dyDescent="0.4">
      <c r="A63" s="406"/>
      <c r="P63"/>
    </row>
    <row r="64" spans="1:16" ht="15.5" thickTop="1" thickBot="1" x14ac:dyDescent="0.4">
      <c r="A64" s="406"/>
      <c r="B64" s="41" t="str">
        <f>$A$4</f>
        <v>SC9 Rate III</v>
      </c>
      <c r="C64" s="3"/>
      <c r="D64" s="3"/>
      <c r="E64" s="3"/>
      <c r="F64" s="3"/>
      <c r="G64" s="3"/>
      <c r="H64" s="1316" t="s">
        <v>82</v>
      </c>
      <c r="I64" s="1317"/>
      <c r="J64" s="1318"/>
      <c r="K64" s="3"/>
      <c r="L64" s="1307" t="s">
        <v>81</v>
      </c>
      <c r="M64" s="1308"/>
      <c r="N64" s="1309"/>
    </row>
    <row r="65" spans="1:21" ht="15" thickTop="1" x14ac:dyDescent="0.35">
      <c r="A65" s="406"/>
      <c r="B65" s="3"/>
      <c r="C65" s="3"/>
      <c r="E65" s="30" t="s">
        <v>80</v>
      </c>
      <c r="F65" s="3"/>
      <c r="G65" s="3"/>
      <c r="H65" s="30" t="s">
        <v>42</v>
      </c>
      <c r="I65" s="30"/>
      <c r="J65" s="30" t="s">
        <v>40</v>
      </c>
      <c r="K65" s="3"/>
      <c r="L65" s="30" t="s">
        <v>42</v>
      </c>
      <c r="M65" s="86"/>
      <c r="N65" s="30" t="s">
        <v>40</v>
      </c>
    </row>
    <row r="66" spans="1:21" x14ac:dyDescent="0.35">
      <c r="B66" s="3" t="s">
        <v>656</v>
      </c>
      <c r="C66" s="3"/>
      <c r="D66" s="121" t="str">
        <f>Q6</f>
        <v>D1</v>
      </c>
      <c r="E66" s="122"/>
      <c r="F66" s="121" t="str">
        <f>R6</f>
        <v>8-6</v>
      </c>
      <c r="G66" s="123"/>
      <c r="H66" s="35">
        <f>G11</f>
        <v>8.9499999999999993</v>
      </c>
      <c r="I66" s="136" t="s">
        <v>165</v>
      </c>
      <c r="J66" s="35">
        <f>G8</f>
        <v>0</v>
      </c>
      <c r="K66" s="3"/>
      <c r="L66" s="27">
        <f>H66-$J$67</f>
        <v>-3.4800000000000004</v>
      </c>
      <c r="M66" s="1014" t="s">
        <v>1885</v>
      </c>
      <c r="N66" s="3"/>
    </row>
    <row r="67" spans="1:21" x14ac:dyDescent="0.35">
      <c r="B67" s="3"/>
      <c r="C67" s="3"/>
      <c r="D67" s="121" t="str">
        <f>Q7</f>
        <v>D2</v>
      </c>
      <c r="E67" s="122"/>
      <c r="F67" s="121" t="str">
        <f>R7</f>
        <v>8-10</v>
      </c>
      <c r="G67" s="36"/>
      <c r="H67" s="35">
        <f>G12</f>
        <v>19.2</v>
      </c>
      <c r="I67" s="136" t="s">
        <v>166</v>
      </c>
      <c r="J67" s="35">
        <f>G9</f>
        <v>12.43</v>
      </c>
      <c r="K67" s="136" t="s">
        <v>101</v>
      </c>
      <c r="L67" s="27">
        <f>H67-$J$67</f>
        <v>6.77</v>
      </c>
      <c r="M67" s="1014" t="s">
        <v>1886</v>
      </c>
      <c r="N67" s="112"/>
      <c r="O67" s="1014" t="s">
        <v>1556</v>
      </c>
    </row>
    <row r="68" spans="1:21" x14ac:dyDescent="0.35">
      <c r="B68" s="3"/>
      <c r="C68" s="3"/>
      <c r="D68" s="121" t="str">
        <f>Q8</f>
        <v>D3</v>
      </c>
      <c r="E68" s="122"/>
      <c r="F68" s="121" t="str">
        <f>R8</f>
        <v>All Day</v>
      </c>
      <c r="G68" s="36"/>
      <c r="H68" s="35">
        <f>G13</f>
        <v>18.36</v>
      </c>
      <c r="I68" s="136" t="s">
        <v>138</v>
      </c>
      <c r="J68" s="35">
        <f>G10</f>
        <v>5.26</v>
      </c>
      <c r="K68" s="136" t="s">
        <v>100</v>
      </c>
      <c r="L68" s="27">
        <f>H68-$J$67</f>
        <v>5.93</v>
      </c>
      <c r="M68" s="1014" t="s">
        <v>1887</v>
      </c>
      <c r="N68" s="27">
        <f>J68-$J$67</f>
        <v>-7.17</v>
      </c>
      <c r="O68" s="1014" t="s">
        <v>1888</v>
      </c>
    </row>
    <row r="69" spans="1:21" x14ac:dyDescent="0.35">
      <c r="B69" s="3"/>
      <c r="C69" s="3"/>
      <c r="D69" s="3"/>
      <c r="E69" s="123"/>
      <c r="F69" s="123"/>
      <c r="G69" s="36"/>
      <c r="H69" s="120"/>
      <c r="J69" s="120"/>
      <c r="L69" s="27"/>
      <c r="N69" s="61"/>
    </row>
    <row r="70" spans="1:21" ht="15" thickBot="1" x14ac:dyDescent="0.4">
      <c r="K70" s="100" t="s">
        <v>688</v>
      </c>
      <c r="L70" s="906">
        <f>I59</f>
        <v>3.6814020000000003E-2</v>
      </c>
      <c r="M70" s="1014" t="s">
        <v>1601</v>
      </c>
    </row>
    <row r="71" spans="1:21" ht="15.5" thickTop="1" thickBot="1" x14ac:dyDescent="0.4">
      <c r="B71" s="119" t="s">
        <v>77</v>
      </c>
      <c r="L71" s="1307" t="s">
        <v>76</v>
      </c>
      <c r="M71" s="1308"/>
      <c r="N71" s="1309"/>
    </row>
    <row r="72" spans="1:21" ht="15.5" thickTop="1" thickBot="1" x14ac:dyDescent="0.4">
      <c r="C72" s="41" t="str">
        <f>B64</f>
        <v>SC9 Rate III</v>
      </c>
      <c r="D72" s="41" t="str">
        <f>$B$66</f>
        <v>(HT &amp; LT)</v>
      </c>
      <c r="H72" s="118" t="s">
        <v>42</v>
      </c>
      <c r="I72" s="118" t="s">
        <v>40</v>
      </c>
      <c r="L72" s="30" t="s">
        <v>42</v>
      </c>
      <c r="M72" s="86"/>
      <c r="N72" s="30" t="s">
        <v>40</v>
      </c>
    </row>
    <row r="73" spans="1:21" x14ac:dyDescent="0.35">
      <c r="C73" s="121" t="str">
        <f>D66</f>
        <v>D1</v>
      </c>
      <c r="D73" s="121" t="str">
        <f>F66</f>
        <v>8-6</v>
      </c>
      <c r="H73" s="117" t="str">
        <f>CONCATENATE("X + ",L73)</f>
        <v>X + -3.61</v>
      </c>
      <c r="I73" s="457"/>
      <c r="L73" s="27">
        <f>ROUND(L66*(1+$L$70),2)</f>
        <v>-3.61</v>
      </c>
      <c r="M73" s="1043" t="s">
        <v>2047</v>
      </c>
    </row>
    <row r="74" spans="1:21" x14ac:dyDescent="0.35">
      <c r="C74" s="121" t="str">
        <f>D67</f>
        <v>D2</v>
      </c>
      <c r="D74" s="121" t="str">
        <f>F67</f>
        <v>8-10</v>
      </c>
      <c r="H74" s="114" t="str">
        <f>CONCATENATE("X + ",L74)</f>
        <v>X + 7.02</v>
      </c>
      <c r="I74" s="115" t="s">
        <v>32</v>
      </c>
      <c r="L74" s="27">
        <f>ROUND(L67*(1+$L$70),2)</f>
        <v>7.02</v>
      </c>
      <c r="M74" s="1043" t="s">
        <v>2048</v>
      </c>
      <c r="N74" s="112"/>
      <c r="O74" s="1014" t="s">
        <v>1556</v>
      </c>
    </row>
    <row r="75" spans="1:21" s="1" customFormat="1" ht="15" thickBot="1" x14ac:dyDescent="0.4">
      <c r="A75"/>
      <c r="C75" s="121" t="str">
        <f>D68</f>
        <v>D3</v>
      </c>
      <c r="D75" s="121" t="str">
        <f>F68</f>
        <v>All Day</v>
      </c>
      <c r="E75"/>
      <c r="F75"/>
      <c r="H75" s="111" t="str">
        <f>CONCATENATE("X + ",L75)</f>
        <v>X + 6.15</v>
      </c>
      <c r="I75" s="110" t="str">
        <f>CONCATENATE("X + ",N75)</f>
        <v>X + -7.43</v>
      </c>
      <c r="J75"/>
      <c r="K75"/>
      <c r="L75" s="27">
        <f>ROUND(L68*(1+$L$70),2)</f>
        <v>6.15</v>
      </c>
      <c r="M75" s="1043" t="s">
        <v>2049</v>
      </c>
      <c r="N75" s="27">
        <f>ROUND(N68*(1+$L$70),2)</f>
        <v>-7.43</v>
      </c>
      <c r="O75" s="1043" t="s">
        <v>2046</v>
      </c>
      <c r="Q75"/>
      <c r="R75"/>
      <c r="S75"/>
      <c r="T75"/>
      <c r="U75"/>
    </row>
    <row r="76" spans="1:21" s="1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N76"/>
      <c r="O76"/>
      <c r="Q76"/>
      <c r="R76"/>
      <c r="S76"/>
      <c r="T76"/>
      <c r="U76"/>
    </row>
    <row r="77" spans="1:21" s="1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Q77"/>
      <c r="R77"/>
      <c r="S77"/>
      <c r="T77"/>
      <c r="U77"/>
    </row>
    <row r="78" spans="1:21" s="1" customFormat="1" x14ac:dyDescent="0.35">
      <c r="A78"/>
      <c r="B78" s="334" t="s">
        <v>70</v>
      </c>
      <c r="C78"/>
      <c r="D78"/>
      <c r="E78"/>
      <c r="F78"/>
      <c r="G78"/>
      <c r="H78"/>
      <c r="I78"/>
      <c r="J78"/>
      <c r="K78"/>
      <c r="L78"/>
      <c r="M78"/>
      <c r="N78"/>
      <c r="O78"/>
      <c r="Q78"/>
      <c r="R78"/>
      <c r="S78"/>
      <c r="T78"/>
      <c r="U78"/>
    </row>
    <row r="79" spans="1:21" s="1" customFormat="1" x14ac:dyDescent="0.35">
      <c r="A79"/>
      <c r="B79" s="41" t="str">
        <f>$A$4</f>
        <v>SC9 Rate III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ht="15" thickBot="1" x14ac:dyDescent="0.4">
      <c r="A80"/>
      <c r="B80" s="70" t="s">
        <v>69</v>
      </c>
      <c r="C80" s="70"/>
      <c r="D80" s="70"/>
      <c r="E80" s="3"/>
      <c r="F80" s="3"/>
      <c r="G80" s="135" t="s">
        <v>732</v>
      </c>
      <c r="H80" s="135" t="s">
        <v>733</v>
      </c>
      <c r="I80" s="135" t="s">
        <v>737</v>
      </c>
      <c r="J80" s="3"/>
      <c r="K80" s="3"/>
      <c r="L80"/>
      <c r="M80"/>
      <c r="N80"/>
      <c r="O80"/>
      <c r="Q80"/>
      <c r="R80"/>
      <c r="S80"/>
      <c r="T80"/>
      <c r="U80"/>
    </row>
    <row r="81" spans="1:21" s="1" customFormat="1" x14ac:dyDescent="0.35">
      <c r="A81"/>
      <c r="B81" s="3"/>
      <c r="C81" s="392" t="str">
        <f>CONCATENATE(D66,": ",F66)</f>
        <v>D1: 8-6</v>
      </c>
      <c r="D81" s="3" t="s">
        <v>42</v>
      </c>
      <c r="F81" s="3"/>
      <c r="G81" s="515">
        <f>G51</f>
        <v>16829267.98</v>
      </c>
      <c r="H81" s="515">
        <f t="shared" ref="H81:H86" si="7">H51</f>
        <v>1379818</v>
      </c>
      <c r="I81" s="905">
        <f>G81+H81</f>
        <v>18209085.98</v>
      </c>
      <c r="J81" s="36"/>
      <c r="K81" s="74" t="str">
        <f>CONCATENATE("[",H73,"]")</f>
        <v>[X + -3.61]</v>
      </c>
      <c r="L81" s="61"/>
      <c r="M81"/>
      <c r="N81"/>
      <c r="O81"/>
      <c r="Q81"/>
      <c r="R81"/>
      <c r="S81"/>
      <c r="T81"/>
      <c r="U81"/>
    </row>
    <row r="82" spans="1:21" s="1" customFormat="1" x14ac:dyDescent="0.35">
      <c r="A82"/>
      <c r="B82" s="3"/>
      <c r="C82" s="464"/>
      <c r="D82" s="3" t="s">
        <v>40</v>
      </c>
      <c r="F82" s="3"/>
      <c r="G82" s="515">
        <f t="shared" ref="G82:G86" si="8">G52</f>
        <v>0</v>
      </c>
      <c r="H82" s="515">
        <f t="shared" si="7"/>
        <v>0</v>
      </c>
      <c r="I82" s="1008">
        <f t="shared" ref="I82:I86" si="9">G82+H82</f>
        <v>0</v>
      </c>
      <c r="J82" s="36" t="s">
        <v>39</v>
      </c>
      <c r="K82" s="456"/>
      <c r="L82"/>
      <c r="M82"/>
      <c r="N82"/>
      <c r="O82"/>
      <c r="Q82"/>
      <c r="R82"/>
      <c r="S82"/>
      <c r="T82"/>
      <c r="U82"/>
    </row>
    <row r="83" spans="1:21" s="1" customFormat="1" x14ac:dyDescent="0.35">
      <c r="A83"/>
      <c r="B83" s="3"/>
      <c r="C83" s="392" t="str">
        <f>CONCATENATE(D67,": ",F67)</f>
        <v>D2: 8-10</v>
      </c>
      <c r="D83" s="3" t="s">
        <v>42</v>
      </c>
      <c r="F83" s="3"/>
      <c r="G83" s="515">
        <f t="shared" si="8"/>
        <v>16995328.360000003</v>
      </c>
      <c r="H83" s="515">
        <f t="shared" si="7"/>
        <v>1390843</v>
      </c>
      <c r="I83" s="905">
        <f t="shared" si="9"/>
        <v>18386171.360000003</v>
      </c>
      <c r="J83" s="36"/>
      <c r="K83" s="73" t="str">
        <f>CONCATENATE("[",H74,"]")</f>
        <v>[X + 7.02]</v>
      </c>
      <c r="L83" s="61"/>
      <c r="M83"/>
      <c r="N83"/>
      <c r="O83"/>
      <c r="Q83"/>
      <c r="R83"/>
      <c r="S83"/>
      <c r="T83"/>
      <c r="U83"/>
    </row>
    <row r="84" spans="1:21" s="1" customFormat="1" x14ac:dyDescent="0.35">
      <c r="A84"/>
      <c r="B84" s="3"/>
      <c r="C84" s="464"/>
      <c r="D84" s="3" t="s">
        <v>40</v>
      </c>
      <c r="F84" s="3"/>
      <c r="G84" s="515">
        <f t="shared" si="8"/>
        <v>29223451.02</v>
      </c>
      <c r="H84" s="515">
        <f t="shared" si="7"/>
        <v>2488591</v>
      </c>
      <c r="I84" s="1009">
        <f t="shared" si="9"/>
        <v>31712042.02</v>
      </c>
      <c r="J84" s="36" t="s">
        <v>39</v>
      </c>
      <c r="K84" s="73" t="str">
        <f>CONCATENATE("[",I74,"]")</f>
        <v>[X]</v>
      </c>
      <c r="L84" s="61"/>
      <c r="M84"/>
      <c r="N84"/>
      <c r="O84"/>
      <c r="Q84"/>
      <c r="R84"/>
      <c r="S84"/>
      <c r="T84"/>
      <c r="U84"/>
    </row>
    <row r="85" spans="1:21" s="1" customFormat="1" x14ac:dyDescent="0.35">
      <c r="A85"/>
      <c r="B85" s="3"/>
      <c r="C85" s="392" t="str">
        <f>CONCATENATE(D68,": ",F68)</f>
        <v>D3: All Day</v>
      </c>
      <c r="D85" s="3" t="s">
        <v>42</v>
      </c>
      <c r="F85" s="3"/>
      <c r="G85" s="515">
        <f t="shared" si="8"/>
        <v>17195520.75</v>
      </c>
      <c r="H85" s="515">
        <f t="shared" si="7"/>
        <v>1392081</v>
      </c>
      <c r="I85" s="905">
        <f t="shared" si="9"/>
        <v>18587601.75</v>
      </c>
      <c r="J85" s="36" t="s">
        <v>39</v>
      </c>
      <c r="K85" s="73" t="str">
        <f>CONCATENATE("[",H75,"]")</f>
        <v>[X + 6.15]</v>
      </c>
      <c r="L85" s="61"/>
      <c r="M85"/>
      <c r="N85"/>
      <c r="O85"/>
      <c r="Q85"/>
      <c r="R85"/>
      <c r="S85"/>
      <c r="T85"/>
      <c r="U85"/>
    </row>
    <row r="86" spans="1:21" s="1" customFormat="1" ht="15" thickBot="1" x14ac:dyDescent="0.4">
      <c r="A86"/>
      <c r="B86" s="3"/>
      <c r="C86" s="410"/>
      <c r="D86" s="3" t="s">
        <v>40</v>
      </c>
      <c r="F86" s="3"/>
      <c r="G86" s="515">
        <f t="shared" si="8"/>
        <v>29725071.23</v>
      </c>
      <c r="H86" s="515">
        <f t="shared" si="7"/>
        <v>2498952</v>
      </c>
      <c r="I86" s="1010">
        <f t="shared" si="9"/>
        <v>32224023.23</v>
      </c>
      <c r="J86" s="36" t="s">
        <v>39</v>
      </c>
      <c r="K86" s="71" t="str">
        <f>CONCATENATE("[",I75,"]")</f>
        <v>[X + -7.43]</v>
      </c>
      <c r="L86" s="61"/>
      <c r="M86"/>
      <c r="N86"/>
      <c r="O86"/>
      <c r="Q86"/>
      <c r="R86"/>
      <c r="S86"/>
      <c r="T86"/>
      <c r="U86"/>
    </row>
    <row r="87" spans="1:21" s="1" customFormat="1" x14ac:dyDescent="0.35">
      <c r="A87"/>
      <c r="B87" s="3"/>
      <c r="C87" s="3"/>
      <c r="D87" s="3"/>
      <c r="E87" s="3"/>
      <c r="F87" s="3"/>
      <c r="H87"/>
      <c r="I87" s="28">
        <f>SUM(I81:I86)</f>
        <v>119118924.34</v>
      </c>
      <c r="J87" s="61" t="s">
        <v>1568</v>
      </c>
      <c r="K87"/>
      <c r="L87"/>
      <c r="M87"/>
      <c r="N87"/>
      <c r="O87"/>
      <c r="Q87"/>
      <c r="R87"/>
      <c r="S87"/>
      <c r="T87"/>
      <c r="U87"/>
    </row>
    <row r="88" spans="1:21" x14ac:dyDescent="0.35">
      <c r="B88" s="70" t="s">
        <v>660</v>
      </c>
    </row>
    <row r="89" spans="1:21" x14ac:dyDescent="0.35">
      <c r="B89" s="41" t="str">
        <f>$A$4</f>
        <v>SC9 Rate III</v>
      </c>
      <c r="C89" s="3" t="s">
        <v>656</v>
      </c>
      <c r="F89" s="3"/>
      <c r="G89" s="3"/>
      <c r="H89" s="3"/>
      <c r="I89" s="69" t="s">
        <v>25</v>
      </c>
      <c r="J89" s="3"/>
      <c r="K89" s="106"/>
      <c r="L89" s="3"/>
      <c r="M89" s="3"/>
      <c r="N89" s="17"/>
    </row>
    <row r="90" spans="1:21" x14ac:dyDescent="0.35">
      <c r="C90" s="3" t="str">
        <f>C81</f>
        <v>D1: 8-6</v>
      </c>
      <c r="D90" s="3" t="str">
        <f>D81</f>
        <v>Summer</v>
      </c>
      <c r="F90" s="3"/>
      <c r="G90" s="3"/>
      <c r="H90" s="3"/>
      <c r="I90" s="105">
        <f t="shared" ref="I90:I95" si="10">I81</f>
        <v>18209085.98</v>
      </c>
      <c r="J90" s="65" t="s">
        <v>63</v>
      </c>
      <c r="K90" s="103">
        <f>ROUND(I90*L73,0)</f>
        <v>-65734800</v>
      </c>
      <c r="L90" s="3" t="s">
        <v>62</v>
      </c>
      <c r="M90" s="362" t="s">
        <v>1566</v>
      </c>
      <c r="N90" s="17"/>
    </row>
    <row r="91" spans="1:21" x14ac:dyDescent="0.35">
      <c r="C91" s="3"/>
      <c r="D91" s="3" t="str">
        <f>D82</f>
        <v>Winter</v>
      </c>
      <c r="F91" s="3"/>
      <c r="G91" s="3"/>
      <c r="H91" s="3"/>
      <c r="I91" s="105">
        <f t="shared" si="10"/>
        <v>0</v>
      </c>
      <c r="J91" s="65" t="s">
        <v>63</v>
      </c>
      <c r="K91" s="103">
        <f>ROUND(I91*N73,0)</f>
        <v>0</v>
      </c>
      <c r="L91" s="3" t="s">
        <v>62</v>
      </c>
      <c r="M91" s="362"/>
      <c r="N91" s="17"/>
    </row>
    <row r="92" spans="1:21" x14ac:dyDescent="0.35">
      <c r="C92" s="3" t="str">
        <f>C83</f>
        <v>D2: 8-10</v>
      </c>
      <c r="D92" s="3" t="str">
        <f>D83</f>
        <v>Summer</v>
      </c>
      <c r="F92" s="3"/>
      <c r="G92" s="3"/>
      <c r="H92" s="3"/>
      <c r="I92" s="105">
        <f t="shared" si="10"/>
        <v>18386171.360000003</v>
      </c>
      <c r="J92" s="65" t="s">
        <v>63</v>
      </c>
      <c r="K92" s="103">
        <f>ROUND(I92*L74,0)</f>
        <v>129070923</v>
      </c>
      <c r="L92" s="3" t="s">
        <v>62</v>
      </c>
      <c r="M92" s="362" t="s">
        <v>1561</v>
      </c>
      <c r="N92" s="17"/>
    </row>
    <row r="93" spans="1:21" x14ac:dyDescent="0.35">
      <c r="C93" s="3"/>
      <c r="D93" s="3" t="str">
        <f>D84</f>
        <v>Winter</v>
      </c>
      <c r="F93" s="3"/>
      <c r="G93" s="3"/>
      <c r="H93" s="3"/>
      <c r="I93" s="105">
        <f t="shared" si="10"/>
        <v>31712042.02</v>
      </c>
      <c r="J93" s="65" t="s">
        <v>63</v>
      </c>
      <c r="K93" s="134">
        <f>ROUND(I93*N74,0)</f>
        <v>0</v>
      </c>
      <c r="L93" s="3" t="s">
        <v>62</v>
      </c>
      <c r="M93" s="362" t="s">
        <v>1707</v>
      </c>
      <c r="N93" s="17"/>
    </row>
    <row r="94" spans="1:21" x14ac:dyDescent="0.35">
      <c r="C94" s="3" t="str">
        <f>C85</f>
        <v>D3: All Day</v>
      </c>
      <c r="D94" s="3" t="str">
        <f>D85</f>
        <v>Summer</v>
      </c>
      <c r="F94" s="3"/>
      <c r="G94" s="3"/>
      <c r="H94" s="3"/>
      <c r="I94" s="105">
        <f t="shared" si="10"/>
        <v>18587601.75</v>
      </c>
      <c r="J94" s="65" t="s">
        <v>63</v>
      </c>
      <c r="K94" s="103">
        <f>ROUND(I94*L75,0)</f>
        <v>114313751</v>
      </c>
      <c r="L94" s="3" t="s">
        <v>62</v>
      </c>
      <c r="M94" s="362" t="s">
        <v>1562</v>
      </c>
      <c r="N94" s="17"/>
    </row>
    <row r="95" spans="1:21" x14ac:dyDescent="0.35">
      <c r="C95" s="3"/>
      <c r="D95" s="3" t="str">
        <f>D86</f>
        <v>Winter</v>
      </c>
      <c r="F95" s="3"/>
      <c r="G95" s="3"/>
      <c r="H95" s="3"/>
      <c r="I95" s="351">
        <f t="shared" si="10"/>
        <v>32224023.23</v>
      </c>
      <c r="J95" s="104" t="s">
        <v>63</v>
      </c>
      <c r="K95" s="977">
        <f>ROUND(I95*N75,0)</f>
        <v>-239424493</v>
      </c>
      <c r="L95" s="44" t="s">
        <v>62</v>
      </c>
      <c r="M95" s="362" t="s">
        <v>1997</v>
      </c>
      <c r="N95" s="17"/>
    </row>
    <row r="96" spans="1:21" x14ac:dyDescent="0.35">
      <c r="C96" s="3" t="s">
        <v>659</v>
      </c>
      <c r="F96" s="66"/>
      <c r="G96" s="824">
        <f>I47</f>
        <v>1473243483.2060766</v>
      </c>
      <c r="H96" s="63" t="s">
        <v>31</v>
      </c>
      <c r="I96" s="28">
        <f>SUM(I90:I95)</f>
        <v>119118924.34</v>
      </c>
      <c r="J96" s="65" t="s">
        <v>63</v>
      </c>
      <c r="K96" s="103">
        <f>SUM(K90:K95)</f>
        <v>-61774619</v>
      </c>
      <c r="L96" s="3" t="s">
        <v>1569</v>
      </c>
      <c r="M96" s="362" t="s">
        <v>1563</v>
      </c>
      <c r="N96" s="17"/>
    </row>
    <row r="97" spans="1:21" x14ac:dyDescent="0.35">
      <c r="F97" s="3"/>
      <c r="G97" s="3"/>
      <c r="H97" s="3"/>
      <c r="I97" s="3"/>
      <c r="J97" s="3"/>
      <c r="K97" s="3"/>
      <c r="L97" s="3"/>
      <c r="M97" s="362" t="s">
        <v>1105</v>
      </c>
      <c r="N97" s="17"/>
    </row>
    <row r="98" spans="1:21" x14ac:dyDescent="0.35">
      <c r="F98" s="34"/>
      <c r="G98" s="34">
        <f>G96-K96</f>
        <v>1535018102.2060766</v>
      </c>
      <c r="H98" s="63" t="s">
        <v>31</v>
      </c>
      <c r="I98" s="28">
        <f>I96</f>
        <v>119118924.34</v>
      </c>
      <c r="J98" s="65" t="s">
        <v>32</v>
      </c>
      <c r="K98" s="3"/>
      <c r="L98" s="3"/>
      <c r="M98" s="362" t="s">
        <v>1106</v>
      </c>
      <c r="N98" s="17"/>
    </row>
    <row r="99" spans="1:21" ht="15" thickBot="1" x14ac:dyDescent="0.4">
      <c r="F99" s="3"/>
      <c r="G99" s="3"/>
      <c r="H99" s="3"/>
      <c r="I99" s="3"/>
      <c r="J99" s="3"/>
      <c r="K99" s="3"/>
      <c r="L99" s="3"/>
      <c r="M99" s="1044"/>
      <c r="N99" s="17"/>
    </row>
    <row r="100" spans="1:21" s="1" customFormat="1" ht="15.5" thickTop="1" thickBot="1" x14ac:dyDescent="0.4">
      <c r="A100"/>
      <c r="B100"/>
      <c r="C100"/>
      <c r="D100"/>
      <c r="E100"/>
      <c r="F100" s="64"/>
      <c r="G100" s="64" t="s">
        <v>32</v>
      </c>
      <c r="H100" s="63" t="s">
        <v>31</v>
      </c>
      <c r="I100" s="102">
        <f>ROUND(G98/I98,2)</f>
        <v>12.89</v>
      </c>
      <c r="J100" s="61" t="s">
        <v>1108</v>
      </c>
      <c r="K100" s="3"/>
      <c r="L100" s="3"/>
      <c r="M100" s="362" t="s">
        <v>1998</v>
      </c>
      <c r="N100" s="17"/>
      <c r="O100"/>
      <c r="Q100"/>
      <c r="R100"/>
      <c r="S100"/>
      <c r="T100"/>
      <c r="U100"/>
    </row>
    <row r="101" spans="1:21" ht="15" thickTop="1" x14ac:dyDescent="0.35">
      <c r="P101"/>
    </row>
    <row r="102" spans="1:21" s="1" customFormat="1" x14ac:dyDescent="0.35">
      <c r="A102"/>
      <c r="B102" s="334" t="str">
        <f>CONCATENATE($A$4," at Proposed Demand Rates")</f>
        <v>SC9 Rate III at Proposed Demand Rates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Q102"/>
      <c r="R102"/>
      <c r="S102"/>
      <c r="T102"/>
      <c r="U102"/>
    </row>
    <row r="103" spans="1:21" s="1" customFormat="1" x14ac:dyDescent="0.35">
      <c r="A103"/>
      <c r="C103" s="3" t="s">
        <v>5</v>
      </c>
      <c r="D103" s="1319">
        <f>$L$4</f>
        <v>2020</v>
      </c>
      <c r="E103" s="1319"/>
      <c r="F103" s="1319"/>
      <c r="G103" s="3"/>
      <c r="H103" s="3"/>
      <c r="I103" s="3"/>
      <c r="J103" s="3"/>
      <c r="K103" s="3"/>
      <c r="L103" s="3"/>
      <c r="M103" s="3"/>
      <c r="Q103"/>
      <c r="R103"/>
      <c r="S103"/>
      <c r="T103"/>
      <c r="U103"/>
    </row>
    <row r="104" spans="1:21" s="1" customFormat="1" ht="15" thickBot="1" x14ac:dyDescent="0.4">
      <c r="A104"/>
      <c r="B10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/>
      <c r="Q104"/>
      <c r="R104"/>
      <c r="S104"/>
      <c r="T104"/>
      <c r="U104"/>
    </row>
    <row r="105" spans="1:21" s="1" customFormat="1" ht="15" thickBot="1" x14ac:dyDescent="0.4">
      <c r="A105"/>
      <c r="B105"/>
      <c r="C105" s="60"/>
      <c r="D105" s="59"/>
      <c r="E105" s="59"/>
      <c r="F105" s="59"/>
      <c r="G105" s="59"/>
      <c r="H105" s="59"/>
      <c r="I105" s="59"/>
      <c r="J105" s="59"/>
      <c r="K105" s="59"/>
      <c r="L105" s="98"/>
      <c r="M105" s="3"/>
      <c r="N105" s="1347" t="s">
        <v>661</v>
      </c>
      <c r="O105" s="1347"/>
      <c r="P105" s="1347"/>
      <c r="Q105" s="1347"/>
      <c r="R105"/>
      <c r="S105"/>
      <c r="T105"/>
      <c r="U105"/>
    </row>
    <row r="106" spans="1:21" s="1" customFormat="1" ht="15.5" thickTop="1" thickBot="1" x14ac:dyDescent="0.4">
      <c r="A106"/>
      <c r="B106"/>
      <c r="C106" s="461" t="str">
        <f>$A$4</f>
        <v>SC9 Rate III</v>
      </c>
      <c r="D106" s="44"/>
      <c r="E106" s="44"/>
      <c r="F106" s="44"/>
      <c r="G106" s="44"/>
      <c r="H106" s="1313" t="s">
        <v>58</v>
      </c>
      <c r="I106" s="1314"/>
      <c r="J106" s="1315"/>
      <c r="K106" s="44"/>
      <c r="L106" s="94"/>
      <c r="N106" s="1347" t="s">
        <v>57</v>
      </c>
      <c r="O106" s="1347"/>
      <c r="P106" s="1347"/>
      <c r="Q106" s="1347"/>
      <c r="R106"/>
      <c r="S106"/>
      <c r="T106"/>
      <c r="U106"/>
    </row>
    <row r="107" spans="1:21" s="1" customFormat="1" ht="15" thickTop="1" x14ac:dyDescent="0.35">
      <c r="A107"/>
      <c r="B107"/>
      <c r="C107" s="96" t="str">
        <f>$B$66</f>
        <v>(HT &amp; LT)</v>
      </c>
      <c r="D107" s="44"/>
      <c r="E107" s="44"/>
      <c r="F107" s="44"/>
      <c r="G107" s="44"/>
      <c r="H107" s="56" t="s">
        <v>10</v>
      </c>
      <c r="I107" s="44"/>
      <c r="J107" s="56" t="s">
        <v>7</v>
      </c>
      <c r="K107" s="44"/>
      <c r="L107" s="94"/>
      <c r="N107" s="36" t="s">
        <v>10</v>
      </c>
      <c r="P107" s="36" t="s">
        <v>7</v>
      </c>
      <c r="Q107"/>
      <c r="R107"/>
      <c r="S107"/>
      <c r="T107"/>
      <c r="U107"/>
    </row>
    <row r="108" spans="1:21" x14ac:dyDescent="0.35">
      <c r="C108" s="96"/>
      <c r="D108" s="56" t="str">
        <f>$C$73</f>
        <v>D1</v>
      </c>
      <c r="E108" s="56"/>
      <c r="F108" s="56" t="str">
        <f>$D$73</f>
        <v>8-6</v>
      </c>
      <c r="G108" s="44"/>
      <c r="H108" s="97">
        <f>$J$109+L73</f>
        <v>9.2800000000000011</v>
      </c>
      <c r="I108" s="358" t="s">
        <v>1896</v>
      </c>
      <c r="J108" s="459"/>
      <c r="K108" s="54"/>
      <c r="L108" s="94"/>
      <c r="N108" s="460">
        <f>H108/H66-1</f>
        <v>3.6871508379888507E-2</v>
      </c>
      <c r="O108" s="358" t="s">
        <v>1901</v>
      </c>
      <c r="P108" s="460"/>
    </row>
    <row r="109" spans="1:21" x14ac:dyDescent="0.35">
      <c r="C109" s="96"/>
      <c r="D109" s="56" t="str">
        <f>$C$74</f>
        <v>D2</v>
      </c>
      <c r="E109" s="56"/>
      <c r="F109" s="56" t="str">
        <f>$D$74</f>
        <v>8-10</v>
      </c>
      <c r="G109" s="44"/>
      <c r="H109" s="97">
        <f>$J$109+L74</f>
        <v>19.91</v>
      </c>
      <c r="I109" s="358" t="s">
        <v>1897</v>
      </c>
      <c r="J109" s="95">
        <f>I100</f>
        <v>12.89</v>
      </c>
      <c r="K109" s="1045" t="s">
        <v>2003</v>
      </c>
      <c r="L109" s="94"/>
      <c r="N109" s="460">
        <f>H109/H67-1</f>
        <v>3.6979166666666785E-2</v>
      </c>
      <c r="O109" s="358" t="s">
        <v>1902</v>
      </c>
      <c r="P109" s="460">
        <f>J109/J67-1</f>
        <v>3.7007240547063613E-2</v>
      </c>
      <c r="Q109" s="358" t="s">
        <v>1904</v>
      </c>
    </row>
    <row r="110" spans="1:21" x14ac:dyDescent="0.35">
      <c r="C110" s="96"/>
      <c r="D110" s="56" t="str">
        <f>$C$75</f>
        <v>D3</v>
      </c>
      <c r="E110" s="56"/>
      <c r="F110" s="56" t="str">
        <f>$D$75</f>
        <v>All Day</v>
      </c>
      <c r="G110" s="44"/>
      <c r="H110" s="97">
        <f>$J$109+L75</f>
        <v>19.04</v>
      </c>
      <c r="I110" s="54" t="s">
        <v>1898</v>
      </c>
      <c r="J110" s="97">
        <f>$J$109+N75</f>
        <v>5.4600000000000009</v>
      </c>
      <c r="K110" s="1045" t="s">
        <v>1900</v>
      </c>
      <c r="L110" s="94"/>
      <c r="N110" s="460">
        <f>H110/H68-1</f>
        <v>3.7037037037036979E-2</v>
      </c>
      <c r="O110" s="358" t="s">
        <v>1903</v>
      </c>
      <c r="P110" s="460">
        <f>J110/J68-1</f>
        <v>3.8022813688213031E-2</v>
      </c>
      <c r="Q110" s="358" t="s">
        <v>1905</v>
      </c>
    </row>
    <row r="111" spans="1:21" ht="15" thickBot="1" x14ac:dyDescent="0.4">
      <c r="C111" s="93"/>
      <c r="D111" s="46"/>
      <c r="E111" s="46"/>
      <c r="F111" s="46"/>
      <c r="G111" s="46"/>
      <c r="H111" s="46"/>
      <c r="I111" s="92"/>
      <c r="J111" s="46"/>
      <c r="K111" s="92"/>
      <c r="L111" s="91"/>
      <c r="M111" s="17"/>
    </row>
    <row r="112" spans="1:21" ht="15" thickBot="1" x14ac:dyDescent="0.4">
      <c r="C112" s="1183"/>
      <c r="D112" s="1153" t="s">
        <v>1174</v>
      </c>
      <c r="E112" s="1153"/>
      <c r="F112" s="1153"/>
      <c r="G112" s="1153"/>
      <c r="H112" s="1242">
        <f>H24</f>
        <v>12.45</v>
      </c>
      <c r="I112" s="1184" t="s">
        <v>1665</v>
      </c>
      <c r="J112" s="1242">
        <f>H112</f>
        <v>12.45</v>
      </c>
      <c r="K112" s="1184" t="s">
        <v>2243</v>
      </c>
      <c r="L112" s="1154"/>
    </row>
    <row r="114" spans="1:17" x14ac:dyDescent="0.35">
      <c r="A114" s="858" t="s">
        <v>665</v>
      </c>
      <c r="B114" s="3"/>
      <c r="C114" s="3"/>
      <c r="D114" s="3"/>
      <c r="E114" s="3"/>
      <c r="F114" s="3"/>
      <c r="G114" s="3"/>
      <c r="H114" s="3"/>
      <c r="I114" s="3"/>
    </row>
    <row r="115" spans="1:17" x14ac:dyDescent="0.35">
      <c r="A115" s="858"/>
      <c r="B115" s="3"/>
      <c r="C115" s="3"/>
      <c r="D115" s="3"/>
      <c r="E115" s="3"/>
      <c r="F115" s="3"/>
      <c r="G115" s="3"/>
      <c r="H115" s="3"/>
      <c r="I115" s="3"/>
    </row>
    <row r="116" spans="1:17" x14ac:dyDescent="0.35">
      <c r="A116" s="334"/>
      <c r="B116" s="334" t="s">
        <v>664</v>
      </c>
      <c r="C116" s="3"/>
      <c r="D116" s="3"/>
      <c r="E116" s="3"/>
      <c r="F116" s="3"/>
      <c r="G116" s="3"/>
      <c r="H116" s="3"/>
      <c r="I116" s="3"/>
    </row>
    <row r="117" spans="1:17" x14ac:dyDescent="0.35">
      <c r="A117" s="334"/>
      <c r="B117" s="41" t="str">
        <f>$A$4</f>
        <v>SC9 Rate III</v>
      </c>
      <c r="C117" s="133" t="s">
        <v>669</v>
      </c>
      <c r="D117" s="133"/>
      <c r="E117" s="133"/>
      <c r="F117" s="133"/>
    </row>
    <row r="118" spans="1:17" x14ac:dyDescent="0.35">
      <c r="A118" s="334"/>
      <c r="B118" s="41"/>
      <c r="C118" t="s">
        <v>670</v>
      </c>
      <c r="I118" s="819">
        <f>M19</f>
        <v>0</v>
      </c>
      <c r="J118" s="358" t="s">
        <v>50</v>
      </c>
    </row>
    <row r="119" spans="1:17" ht="15" thickBot="1" x14ac:dyDescent="0.4">
      <c r="A119" s="334"/>
      <c r="B119" s="41"/>
      <c r="C119" t="s">
        <v>720</v>
      </c>
      <c r="I119" s="819">
        <f>M20</f>
        <v>15502731</v>
      </c>
      <c r="J119" s="358" t="s">
        <v>49</v>
      </c>
    </row>
    <row r="120" spans="1:17" ht="15.5" thickTop="1" thickBot="1" x14ac:dyDescent="0.4">
      <c r="A120" s="334"/>
      <c r="B120" s="41"/>
      <c r="C120" t="s">
        <v>1494</v>
      </c>
      <c r="I120" s="128">
        <f>I118+I119</f>
        <v>15502731</v>
      </c>
      <c r="J120" s="358" t="s">
        <v>1906</v>
      </c>
    </row>
    <row r="121" spans="1:17" ht="15" thickTop="1" x14ac:dyDescent="0.35">
      <c r="A121" s="334"/>
      <c r="B121" s="41"/>
      <c r="I121" s="345"/>
    </row>
    <row r="122" spans="1:17" x14ac:dyDescent="0.35">
      <c r="A122" s="334"/>
      <c r="B122" s="41"/>
      <c r="C122" s="75" t="s">
        <v>681</v>
      </c>
      <c r="D122" s="75"/>
      <c r="E122" s="75"/>
      <c r="F122" s="75"/>
      <c r="I122" s="964">
        <f>IF(ISNUMBER(ROUND(I118/I119,8)),ROUND(I118/I119,8),0)</f>
        <v>0</v>
      </c>
      <c r="J122" s="358" t="s">
        <v>1907</v>
      </c>
    </row>
    <row r="123" spans="1:17" x14ac:dyDescent="0.35">
      <c r="A123" s="334"/>
      <c r="B123" s="41"/>
      <c r="C123" s="3"/>
      <c r="D123" s="3"/>
      <c r="E123" s="3"/>
      <c r="F123" s="3"/>
      <c r="G123" s="3"/>
      <c r="H123" s="3"/>
      <c r="I123" s="3"/>
    </row>
    <row r="124" spans="1:17" x14ac:dyDescent="0.35">
      <c r="A124" s="407" t="s">
        <v>682</v>
      </c>
      <c r="P124"/>
    </row>
    <row r="125" spans="1:17" ht="15" thickBot="1" x14ac:dyDescent="0.4">
      <c r="A125" s="406"/>
      <c r="B125" s="372" t="s">
        <v>718</v>
      </c>
      <c r="Q125" s="1"/>
    </row>
    <row r="126" spans="1:17" ht="15.5" thickTop="1" thickBot="1" x14ac:dyDescent="0.4">
      <c r="A126" s="406"/>
      <c r="B126" s="41" t="str">
        <f>$A$4</f>
        <v>SC9 Rate III</v>
      </c>
      <c r="C126" s="3"/>
      <c r="D126" s="3"/>
      <c r="E126" s="3"/>
      <c r="F126" s="3"/>
      <c r="G126" s="3"/>
      <c r="H126" s="1316" t="s">
        <v>680</v>
      </c>
      <c r="I126" s="1317"/>
      <c r="J126" s="1318"/>
      <c r="K126" s="3"/>
      <c r="L126" s="1307" t="s">
        <v>81</v>
      </c>
      <c r="M126" s="1308"/>
      <c r="N126" s="1309"/>
      <c r="P126"/>
    </row>
    <row r="127" spans="1:17" ht="15" thickTop="1" x14ac:dyDescent="0.35">
      <c r="A127" s="406"/>
      <c r="B127" s="3"/>
      <c r="C127" s="3"/>
      <c r="E127" s="30" t="s">
        <v>80</v>
      </c>
      <c r="F127" s="3"/>
      <c r="G127" s="3"/>
      <c r="H127" s="30" t="s">
        <v>42</v>
      </c>
      <c r="I127" s="30"/>
      <c r="J127" s="30" t="s">
        <v>40</v>
      </c>
      <c r="K127" s="3"/>
      <c r="L127" s="30" t="s">
        <v>42</v>
      </c>
      <c r="M127" s="86"/>
      <c r="N127" s="30" t="s">
        <v>40</v>
      </c>
      <c r="P127"/>
    </row>
    <row r="128" spans="1:17" x14ac:dyDescent="0.35">
      <c r="A128" s="406"/>
      <c r="E128" s="123"/>
      <c r="F128" s="121" t="s">
        <v>1393</v>
      </c>
      <c r="G128" s="123"/>
      <c r="H128" s="348">
        <f>G14</f>
        <v>7.9000000000000008E-3</v>
      </c>
      <c r="I128" s="358" t="s">
        <v>53</v>
      </c>
      <c r="J128" s="348">
        <f>G16</f>
        <v>7.9000000000000008E-3</v>
      </c>
      <c r="K128" s="358" t="s">
        <v>30</v>
      </c>
      <c r="L128" s="27">
        <f>H128-$J$129</f>
        <v>0</v>
      </c>
      <c r="M128" s="358" t="s">
        <v>1908</v>
      </c>
      <c r="N128" s="27">
        <f>J128-$J$129</f>
        <v>0</v>
      </c>
      <c r="O128" s="358" t="s">
        <v>1910</v>
      </c>
      <c r="P128"/>
    </row>
    <row r="129" spans="1:16" x14ac:dyDescent="0.35">
      <c r="A129" s="406"/>
      <c r="B129" s="3"/>
      <c r="C129" s="3"/>
      <c r="D129" s="3"/>
      <c r="E129" s="123"/>
      <c r="F129" s="121" t="s">
        <v>445</v>
      </c>
      <c r="G129" s="36"/>
      <c r="H129" s="348">
        <f>G15</f>
        <v>7.9000000000000008E-3</v>
      </c>
      <c r="I129" s="358" t="s">
        <v>1127</v>
      </c>
      <c r="J129" s="348">
        <f>G17</f>
        <v>7.9000000000000008E-3</v>
      </c>
      <c r="K129" s="358" t="s">
        <v>1790</v>
      </c>
      <c r="L129" s="27">
        <f>H129-$J$129</f>
        <v>0</v>
      </c>
      <c r="M129" s="358" t="s">
        <v>1909</v>
      </c>
      <c r="N129" s="112"/>
      <c r="O129" s="358" t="s">
        <v>1911</v>
      </c>
      <c r="P129"/>
    </row>
    <row r="130" spans="1:16" x14ac:dyDescent="0.35">
      <c r="A130" s="406"/>
      <c r="B130" s="3"/>
      <c r="C130" s="3"/>
      <c r="D130" s="3"/>
      <c r="E130" s="3"/>
      <c r="F130" s="3"/>
      <c r="G130" s="36"/>
      <c r="P130"/>
    </row>
    <row r="131" spans="1:16" x14ac:dyDescent="0.35">
      <c r="A131" s="406"/>
      <c r="B131" s="3"/>
      <c r="E131" s="123"/>
      <c r="F131" s="123"/>
      <c r="G131" s="36"/>
      <c r="J131" s="120"/>
      <c r="K131" s="3"/>
      <c r="L131" s="27"/>
      <c r="M131" s="61"/>
      <c r="N131" s="61"/>
      <c r="P131"/>
    </row>
    <row r="132" spans="1:16" ht="15" thickBot="1" x14ac:dyDescent="0.4">
      <c r="A132" s="406"/>
      <c r="K132" s="100" t="s">
        <v>683</v>
      </c>
      <c r="L132" s="906">
        <f>I122</f>
        <v>0</v>
      </c>
      <c r="M132" s="358" t="s">
        <v>1962</v>
      </c>
      <c r="P132"/>
    </row>
    <row r="133" spans="1:16" ht="15.5" thickTop="1" thickBot="1" x14ac:dyDescent="0.4">
      <c r="A133" s="406"/>
      <c r="D133" s="1"/>
      <c r="E133" s="1"/>
      <c r="F133" s="1"/>
      <c r="L133" s="1307" t="s">
        <v>76</v>
      </c>
      <c r="M133" s="1308"/>
      <c r="N133" s="1309"/>
      <c r="P133"/>
    </row>
    <row r="134" spans="1:16" ht="15.5" thickTop="1" thickBot="1" x14ac:dyDescent="0.4">
      <c r="A134" s="406"/>
      <c r="C134" s="70" t="s">
        <v>77</v>
      </c>
      <c r="D134" s="1"/>
      <c r="E134" s="1"/>
      <c r="F134" s="1"/>
      <c r="G134" s="118" t="s">
        <v>42</v>
      </c>
      <c r="H134" s="118" t="s">
        <v>40</v>
      </c>
      <c r="L134" s="30" t="s">
        <v>42</v>
      </c>
      <c r="M134" s="86"/>
      <c r="N134" s="30" t="s">
        <v>40</v>
      </c>
      <c r="P134"/>
    </row>
    <row r="135" spans="1:16" x14ac:dyDescent="0.35">
      <c r="A135" s="406"/>
      <c r="D135" s="121"/>
      <c r="E135" s="122"/>
      <c r="F135" s="121" t="str">
        <f>F128</f>
        <v>On Peak</v>
      </c>
      <c r="G135" s="117" t="str">
        <f>CONCATENATE("X + ",L135)</f>
        <v>X + 0</v>
      </c>
      <c r="H135" s="116" t="str">
        <f>CONCATENATE("X + ",N135)</f>
        <v>X + 0</v>
      </c>
      <c r="L135" s="907">
        <f>ROUND(L128*(1+$L$132),4)</f>
        <v>0</v>
      </c>
      <c r="M135" s="358" t="s">
        <v>2004</v>
      </c>
      <c r="N135" s="223">
        <f>ROUND(N128*(1+$L$132),4)</f>
        <v>0</v>
      </c>
      <c r="O135" s="358" t="s">
        <v>2006</v>
      </c>
      <c r="P135"/>
    </row>
    <row r="136" spans="1:16" ht="15" thickBot="1" x14ac:dyDescent="0.4">
      <c r="A136" s="406"/>
      <c r="C136" s="3"/>
      <c r="D136" s="2"/>
      <c r="E136" s="122"/>
      <c r="F136" s="121" t="str">
        <f>F129</f>
        <v>Off Peak</v>
      </c>
      <c r="G136" s="111" t="str">
        <f>CONCATENATE("X + ",L136)</f>
        <v>X + 0</v>
      </c>
      <c r="H136" s="350" t="s">
        <v>32</v>
      </c>
      <c r="L136" s="223">
        <f>ROUND(L129*(1+$L$132),4)</f>
        <v>0</v>
      </c>
      <c r="M136" s="358" t="s">
        <v>2005</v>
      </c>
      <c r="N136" s="223">
        <f>ROUND(N129*(1+$L$132),4)</f>
        <v>0</v>
      </c>
      <c r="O136" s="358" t="s">
        <v>2007</v>
      </c>
      <c r="P136"/>
    </row>
    <row r="137" spans="1:16" x14ac:dyDescent="0.35">
      <c r="A137" s="406"/>
      <c r="D137" s="1"/>
      <c r="E137" s="1"/>
      <c r="F137" s="1"/>
      <c r="N137" s="1"/>
      <c r="P137"/>
    </row>
    <row r="138" spans="1:16" x14ac:dyDescent="0.35">
      <c r="A138" s="406"/>
      <c r="D138" s="1"/>
      <c r="E138" s="1"/>
      <c r="F138" s="1"/>
      <c r="P138"/>
    </row>
    <row r="139" spans="1:16" x14ac:dyDescent="0.35">
      <c r="B139" s="334" t="s">
        <v>46</v>
      </c>
      <c r="P139"/>
    </row>
    <row r="140" spans="1:16" x14ac:dyDescent="0.35">
      <c r="B140" s="41" t="str">
        <f>$A$4</f>
        <v>SC9 Rate III</v>
      </c>
      <c r="C140" s="372" t="s">
        <v>718</v>
      </c>
      <c r="I140" s="296" t="str">
        <f>C140</f>
        <v>(Rate I &amp; III)</v>
      </c>
      <c r="P140"/>
    </row>
    <row r="141" spans="1:16" ht="15" thickBot="1" x14ac:dyDescent="0.4">
      <c r="B141" s="70" t="s">
        <v>414</v>
      </c>
      <c r="C141" s="70"/>
      <c r="D141" s="70"/>
      <c r="E141" s="3"/>
      <c r="F141" s="3"/>
      <c r="I141" s="69" t="s">
        <v>44</v>
      </c>
      <c r="J141" s="3"/>
      <c r="K141" s="3"/>
      <c r="P141"/>
    </row>
    <row r="142" spans="1:16" x14ac:dyDescent="0.35">
      <c r="B142" s="3"/>
      <c r="C142" s="3" t="s">
        <v>42</v>
      </c>
      <c r="D142" s="108" t="s">
        <v>44</v>
      </c>
      <c r="I142" s="72">
        <f>U9+U19</f>
        <v>6687305096.6299992</v>
      </c>
      <c r="J142" s="36" t="s">
        <v>39</v>
      </c>
      <c r="K142" s="74" t="str">
        <f>CONCATENATE("[",G135,"]")</f>
        <v>[X + 0]</v>
      </c>
      <c r="L142" s="61" t="s">
        <v>1918</v>
      </c>
      <c r="P142"/>
    </row>
    <row r="143" spans="1:16" x14ac:dyDescent="0.35">
      <c r="B143" s="3"/>
      <c r="C143" s="3"/>
      <c r="D143" s="108"/>
      <c r="I143" s="72"/>
      <c r="J143" s="36" t="s">
        <v>39</v>
      </c>
      <c r="K143" s="107" t="str">
        <f>CONCATENATE("[",G136,"]")</f>
        <v>[X + 0]</v>
      </c>
      <c r="L143" s="61" t="s">
        <v>1919</v>
      </c>
      <c r="P143"/>
    </row>
    <row r="144" spans="1:16" x14ac:dyDescent="0.35">
      <c r="B144" s="3"/>
      <c r="C144" s="3" t="s">
        <v>40</v>
      </c>
      <c r="D144" s="3" t="str">
        <f>D142</f>
        <v>kWh</v>
      </c>
      <c r="I144" s="72">
        <f>U14+U24</f>
        <v>11614263365.860001</v>
      </c>
      <c r="J144" s="36" t="s">
        <v>39</v>
      </c>
      <c r="K144" s="73" t="str">
        <f>CONCATENATE("[",H135,"]")</f>
        <v>[X + 0]</v>
      </c>
      <c r="L144" s="61" t="s">
        <v>1920</v>
      </c>
      <c r="P144"/>
    </row>
    <row r="145" spans="2:17" ht="15" thickBot="1" x14ac:dyDescent="0.4">
      <c r="B145" s="3"/>
      <c r="C145" s="3"/>
      <c r="D145" s="3"/>
      <c r="I145" s="67"/>
      <c r="J145" s="36" t="s">
        <v>39</v>
      </c>
      <c r="K145" s="71" t="str">
        <f>CONCATENATE("[",H136,"]")</f>
        <v>[X]</v>
      </c>
      <c r="L145" s="61" t="s">
        <v>2008</v>
      </c>
      <c r="P145"/>
    </row>
    <row r="146" spans="2:17" x14ac:dyDescent="0.35">
      <c r="I146" s="28">
        <f>SUM(I142:I145)</f>
        <v>18301568462.489998</v>
      </c>
      <c r="J146" s="61" t="s">
        <v>1992</v>
      </c>
      <c r="Q146" s="1"/>
    </row>
    <row r="147" spans="2:17" ht="15" thickBot="1" x14ac:dyDescent="0.4">
      <c r="Q147" s="1"/>
    </row>
    <row r="148" spans="2:17" ht="15" thickBot="1" x14ac:dyDescent="0.4">
      <c r="B148" s="400" t="s">
        <v>2039</v>
      </c>
      <c r="C148" s="478"/>
      <c r="D148" s="478"/>
      <c r="E148" s="478"/>
      <c r="F148" s="478"/>
      <c r="G148" s="738">
        <f>H128</f>
        <v>7.9000000000000008E-3</v>
      </c>
      <c r="H148" s="478"/>
      <c r="I148" s="1012">
        <f>Z26</f>
        <v>16339197760.49</v>
      </c>
      <c r="J148" s="478"/>
      <c r="K148" s="1011">
        <f>ROUND(G148*I148,0)</f>
        <v>129079662</v>
      </c>
      <c r="L148" s="61" t="s">
        <v>1916</v>
      </c>
      <c r="Q148" s="1"/>
    </row>
    <row r="149" spans="2:17" x14ac:dyDescent="0.35">
      <c r="Q149" s="1"/>
    </row>
    <row r="150" spans="2:17" x14ac:dyDescent="0.35">
      <c r="B150" s="70" t="s">
        <v>472</v>
      </c>
      <c r="P150"/>
    </row>
    <row r="151" spans="2:17" x14ac:dyDescent="0.35">
      <c r="B151" s="41" t="str">
        <f>$A$4</f>
        <v>SC9 Rate III</v>
      </c>
      <c r="F151" s="3"/>
      <c r="G151" s="3"/>
      <c r="H151" s="3"/>
      <c r="I151" s="69" t="s">
        <v>44</v>
      </c>
      <c r="J151" s="3"/>
      <c r="K151" s="106"/>
      <c r="L151" s="3"/>
      <c r="M151" s="3"/>
      <c r="N151" s="17"/>
      <c r="P151"/>
    </row>
    <row r="152" spans="2:17" x14ac:dyDescent="0.35">
      <c r="B152" s="372" t="s">
        <v>718</v>
      </c>
      <c r="C152" s="3" t="s">
        <v>42</v>
      </c>
      <c r="D152" s="392" t="str">
        <f>D142</f>
        <v>kWh</v>
      </c>
      <c r="H152" s="3"/>
      <c r="I152" s="105">
        <f>I142</f>
        <v>6687305096.6299992</v>
      </c>
      <c r="J152" s="65" t="s">
        <v>63</v>
      </c>
      <c r="K152" s="26">
        <f>ROUND(I152*L135,0)</f>
        <v>0</v>
      </c>
      <c r="L152" s="3" t="s">
        <v>62</v>
      </c>
      <c r="M152" s="61" t="s">
        <v>1922</v>
      </c>
      <c r="N152" s="17"/>
      <c r="P152"/>
    </row>
    <row r="153" spans="2:17" x14ac:dyDescent="0.35">
      <c r="C153" s="3" t="s">
        <v>42</v>
      </c>
      <c r="D153" s="392"/>
      <c r="H153" s="3"/>
      <c r="I153" s="105">
        <f>I143</f>
        <v>0</v>
      </c>
      <c r="J153" s="65" t="s">
        <v>63</v>
      </c>
      <c r="K153" s="26">
        <f>ROUND(I153*L136,0)</f>
        <v>0</v>
      </c>
      <c r="L153" s="3" t="s">
        <v>62</v>
      </c>
      <c r="M153" s="61" t="s">
        <v>1923</v>
      </c>
      <c r="N153" s="17"/>
      <c r="P153"/>
    </row>
    <row r="154" spans="2:17" x14ac:dyDescent="0.35">
      <c r="C154" s="3" t="s">
        <v>40</v>
      </c>
      <c r="D154" s="392" t="str">
        <f>D144</f>
        <v>kWh</v>
      </c>
      <c r="H154" s="3"/>
      <c r="I154" s="105">
        <f>I144</f>
        <v>11614263365.860001</v>
      </c>
      <c r="J154" s="65" t="s">
        <v>63</v>
      </c>
      <c r="K154" s="26">
        <f>ROUND(I154*N135,0)</f>
        <v>0</v>
      </c>
      <c r="L154" s="3" t="s">
        <v>62</v>
      </c>
      <c r="M154" s="61" t="s">
        <v>1924</v>
      </c>
      <c r="N154" s="17"/>
      <c r="P154"/>
    </row>
    <row r="155" spans="2:17" x14ac:dyDescent="0.35">
      <c r="C155" s="3" t="s">
        <v>40</v>
      </c>
      <c r="D155" s="392"/>
      <c r="H155" s="3"/>
      <c r="I155" s="351">
        <f>I145</f>
        <v>0</v>
      </c>
      <c r="J155" s="65" t="s">
        <v>63</v>
      </c>
      <c r="K155" s="37">
        <f>ROUND(I155*N136,0)</f>
        <v>0</v>
      </c>
      <c r="L155" s="3" t="s">
        <v>62</v>
      </c>
      <c r="M155" s="61" t="s">
        <v>2011</v>
      </c>
      <c r="N155" s="17"/>
      <c r="P155"/>
    </row>
    <row r="156" spans="2:17" x14ac:dyDescent="0.35">
      <c r="C156" s="372"/>
      <c r="F156" s="66"/>
      <c r="G156" s="908">
        <f>I120+K148</f>
        <v>144582393</v>
      </c>
      <c r="H156" s="63" t="s">
        <v>31</v>
      </c>
      <c r="I156" s="28">
        <f>SUM(I152:I155)</f>
        <v>18301568462.489998</v>
      </c>
      <c r="J156" s="65" t="s">
        <v>63</v>
      </c>
      <c r="K156" s="103">
        <f>SUM(K152:K155)</f>
        <v>0</v>
      </c>
      <c r="L156" s="3" t="s">
        <v>2009</v>
      </c>
      <c r="M156" s="61" t="s">
        <v>2017</v>
      </c>
      <c r="N156" s="17"/>
      <c r="P156"/>
    </row>
    <row r="157" spans="2:17" x14ac:dyDescent="0.35">
      <c r="B157" s="406"/>
      <c r="F157" s="3"/>
      <c r="G157" s="3"/>
      <c r="H157" s="3"/>
      <c r="I157" s="3"/>
      <c r="J157" s="3"/>
      <c r="K157" s="3"/>
      <c r="L157" s="3"/>
      <c r="M157" s="61" t="s">
        <v>2018</v>
      </c>
      <c r="N157" s="17"/>
      <c r="P157"/>
    </row>
    <row r="158" spans="2:17" x14ac:dyDescent="0.35">
      <c r="B158" s="406"/>
      <c r="F158" s="34"/>
      <c r="G158" s="34">
        <f>G156-K156</f>
        <v>144582393</v>
      </c>
      <c r="H158" s="63" t="s">
        <v>31</v>
      </c>
      <c r="I158" s="28">
        <f>I156</f>
        <v>18301568462.489998</v>
      </c>
      <c r="J158" s="65" t="s">
        <v>32</v>
      </c>
      <c r="K158" s="3"/>
      <c r="L158" s="3"/>
      <c r="M158" s="61" t="s">
        <v>2019</v>
      </c>
      <c r="N158" s="17"/>
      <c r="P158"/>
    </row>
    <row r="159" spans="2:17" ht="15" thickBot="1" x14ac:dyDescent="0.4">
      <c r="B159" s="406"/>
      <c r="F159" s="3"/>
      <c r="G159" s="3"/>
      <c r="H159" s="3"/>
      <c r="I159" s="3"/>
      <c r="J159" s="3"/>
      <c r="K159" s="34"/>
      <c r="L159" s="34"/>
      <c r="M159" s="34"/>
      <c r="N159" s="17"/>
      <c r="P159"/>
    </row>
    <row r="160" spans="2:17" ht="15.5" thickTop="1" thickBot="1" x14ac:dyDescent="0.4">
      <c r="B160" s="406"/>
      <c r="F160" s="64"/>
      <c r="G160" s="101" t="s">
        <v>32</v>
      </c>
      <c r="H160" s="63" t="s">
        <v>31</v>
      </c>
      <c r="I160" s="983">
        <f>ROUND(G158/I158,4)</f>
        <v>7.9000000000000008E-3</v>
      </c>
      <c r="J160" s="61" t="s">
        <v>2010</v>
      </c>
      <c r="K160" s="34"/>
      <c r="L160" s="34"/>
      <c r="M160" s="61" t="s">
        <v>2020</v>
      </c>
      <c r="N160" s="17"/>
      <c r="P160"/>
    </row>
    <row r="161" spans="1:16" ht="15" thickTop="1" x14ac:dyDescent="0.35">
      <c r="A161" s="42"/>
      <c r="B161" s="407"/>
      <c r="C161" s="3"/>
      <c r="D161" s="3"/>
      <c r="E161" s="3"/>
      <c r="F161" s="3"/>
      <c r="G161" s="3"/>
      <c r="H161" s="3"/>
      <c r="I161" s="3"/>
    </row>
    <row r="162" spans="1:16" x14ac:dyDescent="0.35">
      <c r="B162" s="334" t="str">
        <f>CONCATENATE($A$4," at Proposed Energy Rates")</f>
        <v>SC9 Rate III at Proposed Energy Rates</v>
      </c>
      <c r="P162"/>
    </row>
    <row r="163" spans="1:16" ht="15" thickBot="1" x14ac:dyDescent="0.4">
      <c r="B163" s="334"/>
      <c r="P163"/>
    </row>
    <row r="164" spans="1:16" ht="15" thickBot="1" x14ac:dyDescent="0.4">
      <c r="B164" s="406"/>
      <c r="C164" s="60" t="s">
        <v>5</v>
      </c>
      <c r="D164" s="982">
        <f>$L$4</f>
        <v>2020</v>
      </c>
      <c r="E164" s="58"/>
      <c r="F164" s="58"/>
      <c r="G164" s="59"/>
      <c r="H164" s="59"/>
      <c r="I164" s="59"/>
      <c r="J164" s="59"/>
      <c r="K164" s="98"/>
      <c r="L164" s="3"/>
      <c r="M164" s="3"/>
      <c r="N164" s="17"/>
      <c r="O164" s="3"/>
      <c r="P164"/>
    </row>
    <row r="165" spans="1:16" ht="15.5" thickTop="1" thickBot="1" x14ac:dyDescent="0.4">
      <c r="C165" s="96"/>
      <c r="D165" s="360"/>
      <c r="E165" s="44"/>
      <c r="F165" s="44"/>
      <c r="G165" s="44"/>
      <c r="H165" s="1313" t="s">
        <v>668</v>
      </c>
      <c r="I165" s="1314"/>
      <c r="J165" s="1315"/>
      <c r="K165" s="94"/>
      <c r="L165" s="3"/>
      <c r="M165" s="1307" t="s">
        <v>471</v>
      </c>
      <c r="N165" s="1308"/>
      <c r="O165" s="1309"/>
      <c r="P165"/>
    </row>
    <row r="166" spans="1:16" ht="15" thickTop="1" x14ac:dyDescent="0.35">
      <c r="C166" s="96"/>
      <c r="D166" s="44"/>
      <c r="E166" s="44"/>
      <c r="F166" s="44"/>
      <c r="G166" s="44"/>
      <c r="H166" s="56" t="s">
        <v>10</v>
      </c>
      <c r="I166" s="44"/>
      <c r="J166" s="56" t="s">
        <v>7</v>
      </c>
      <c r="K166" s="94"/>
      <c r="L166" s="3"/>
      <c r="M166" s="56" t="s">
        <v>10</v>
      </c>
      <c r="N166" s="44"/>
      <c r="O166" s="56" t="s">
        <v>7</v>
      </c>
      <c r="P166"/>
    </row>
    <row r="167" spans="1:16" x14ac:dyDescent="0.35">
      <c r="C167" s="96"/>
      <c r="D167" s="355"/>
      <c r="E167" s="356"/>
      <c r="F167" s="355" t="str">
        <f>$F$135</f>
        <v>On Peak</v>
      </c>
      <c r="G167" s="44"/>
      <c r="H167" s="357">
        <f>$I$160+L135</f>
        <v>7.9000000000000008E-3</v>
      </c>
      <c r="I167" s="358" t="s">
        <v>2012</v>
      </c>
      <c r="J167" s="357">
        <f>$I$160+N135</f>
        <v>7.9000000000000008E-3</v>
      </c>
      <c r="K167" s="359" t="s">
        <v>2014</v>
      </c>
      <c r="L167" s="3"/>
      <c r="M167" s="81">
        <f>ROUND(H167/H128-1,4)</f>
        <v>0</v>
      </c>
      <c r="N167" s="358" t="s">
        <v>1993</v>
      </c>
      <c r="O167" s="81">
        <f>ROUND(J167/J128-1,4)</f>
        <v>0</v>
      </c>
      <c r="P167" s="358" t="s">
        <v>1995</v>
      </c>
    </row>
    <row r="168" spans="1:16" x14ac:dyDescent="0.35">
      <c r="C168" s="96"/>
      <c r="D168" s="360"/>
      <c r="E168" s="356"/>
      <c r="F168" s="355" t="str">
        <f>$F$136</f>
        <v>Off Peak</v>
      </c>
      <c r="G168" s="44"/>
      <c r="H168" s="357">
        <f>$I$160+L136</f>
        <v>7.9000000000000008E-3</v>
      </c>
      <c r="I168" s="358" t="s">
        <v>2013</v>
      </c>
      <c r="J168" s="357">
        <f>$I$160+N136</f>
        <v>7.9000000000000008E-3</v>
      </c>
      <c r="K168" s="359" t="s">
        <v>2015</v>
      </c>
      <c r="L168" s="3"/>
      <c r="M168" s="81">
        <f>ROUND(H168/H129-1,4)</f>
        <v>0</v>
      </c>
      <c r="N168" s="358" t="s">
        <v>1994</v>
      </c>
      <c r="O168" s="81">
        <f>ROUND(J168/J129-1,4)</f>
        <v>0</v>
      </c>
      <c r="P168" s="358" t="s">
        <v>1996</v>
      </c>
    </row>
    <row r="169" spans="1:16" ht="15" thickBot="1" x14ac:dyDescent="0.4">
      <c r="C169" s="93"/>
      <c r="D169" s="46"/>
      <c r="E169" s="46"/>
      <c r="F169" s="46"/>
      <c r="G169" s="46"/>
      <c r="H169" s="46"/>
      <c r="I169" s="46"/>
      <c r="J169" s="46"/>
      <c r="K169" s="91"/>
      <c r="L169" s="3"/>
      <c r="M169" s="81"/>
      <c r="N169" s="3"/>
      <c r="O169" s="81"/>
      <c r="P169"/>
    </row>
    <row r="170" spans="1:16" x14ac:dyDescent="0.35">
      <c r="A170" s="42"/>
      <c r="B170" s="41"/>
      <c r="C170" s="3"/>
      <c r="D170" s="3"/>
      <c r="E170" s="3"/>
      <c r="F170" s="3"/>
      <c r="G170" s="3"/>
      <c r="H170" s="3"/>
      <c r="I170" s="3"/>
    </row>
    <row r="171" spans="1:16" x14ac:dyDescent="0.35">
      <c r="A171" s="42"/>
      <c r="B171" s="41"/>
      <c r="C171" s="3"/>
      <c r="D171" s="3"/>
      <c r="E171" s="3"/>
      <c r="F171" s="3"/>
      <c r="G171" s="3"/>
      <c r="H171" s="3"/>
      <c r="I171" s="3"/>
    </row>
    <row r="172" spans="1:16" x14ac:dyDescent="0.35">
      <c r="A172" s="334" t="s">
        <v>1873</v>
      </c>
      <c r="B172" s="410"/>
      <c r="C172" s="410"/>
      <c r="D172" s="410"/>
      <c r="E172" s="410"/>
      <c r="F172" s="410"/>
      <c r="G172" s="3"/>
      <c r="H172" s="3"/>
      <c r="I172" s="3"/>
      <c r="P172"/>
    </row>
    <row r="173" spans="1:16" x14ac:dyDescent="0.35">
      <c r="A173" s="334"/>
      <c r="B173" s="410"/>
      <c r="C173" s="410"/>
      <c r="P173"/>
    </row>
    <row r="174" spans="1:16" x14ac:dyDescent="0.35">
      <c r="A174" s="410"/>
      <c r="B174" s="334" t="str">
        <f>CONCATENATE($A$4," at Proposed Demand Rates")</f>
        <v>SC9 Rate III at Proposed Demand Rates</v>
      </c>
      <c r="C174" s="410"/>
      <c r="D174" s="410"/>
      <c r="E174" s="410"/>
      <c r="F174" s="410"/>
      <c r="G174" s="3"/>
      <c r="H174" s="3"/>
      <c r="I174" s="486" t="s">
        <v>718</v>
      </c>
      <c r="K174" s="3"/>
      <c r="L174" s="3"/>
      <c r="M174" s="462" t="s">
        <v>10</v>
      </c>
      <c r="N174" s="3"/>
      <c r="O174" s="3"/>
      <c r="P174" s="2"/>
    </row>
    <row r="175" spans="1:16" x14ac:dyDescent="0.35">
      <c r="A175" s="410"/>
      <c r="B175" s="410"/>
      <c r="C175" s="410"/>
      <c r="D175" s="410"/>
      <c r="E175" s="410"/>
      <c r="F175" s="410"/>
      <c r="G175" s="392"/>
      <c r="H175" s="834" t="s">
        <v>26</v>
      </c>
      <c r="I175" s="30" t="s">
        <v>25</v>
      </c>
      <c r="J175" s="3"/>
      <c r="K175" s="30" t="s">
        <v>11</v>
      </c>
      <c r="L175" s="3"/>
      <c r="M175" s="30" t="s">
        <v>6</v>
      </c>
      <c r="N175" s="3"/>
      <c r="O175" s="3"/>
      <c r="P175" s="2"/>
    </row>
    <row r="176" spans="1:16" x14ac:dyDescent="0.35">
      <c r="A176" s="406"/>
      <c r="B176" s="410" t="s">
        <v>656</v>
      </c>
      <c r="C176" s="835" t="s">
        <v>667</v>
      </c>
      <c r="D176" s="1158" t="s">
        <v>1174</v>
      </c>
      <c r="E176" s="1168"/>
      <c r="F176" s="1158"/>
      <c r="G176" s="1133"/>
      <c r="H176" s="1159">
        <f>M32+M35</f>
        <v>533673</v>
      </c>
      <c r="K176" s="1157">
        <f>H112</f>
        <v>12.45</v>
      </c>
      <c r="L176" s="3"/>
      <c r="M176" s="1164">
        <f>ROUND(H176*K176,0)</f>
        <v>6644229</v>
      </c>
      <c r="N176" s="3"/>
      <c r="O176" s="3"/>
      <c r="P176" s="2"/>
    </row>
    <row r="177" spans="1:16" x14ac:dyDescent="0.35">
      <c r="A177" s="406"/>
      <c r="B177" s="410"/>
      <c r="C177" s="410" t="s">
        <v>42</v>
      </c>
      <c r="D177" s="988" t="str">
        <f>$C$73</f>
        <v>D1</v>
      </c>
      <c r="E177" s="272"/>
      <c r="F177" s="988" t="str">
        <f>$D$73</f>
        <v>8-6</v>
      </c>
      <c r="G177" s="3"/>
      <c r="H177" s="3"/>
      <c r="I177" s="29">
        <f>I81</f>
        <v>18209085.98</v>
      </c>
      <c r="J177" s="3"/>
      <c r="K177" s="35">
        <f>H108</f>
        <v>9.2800000000000011</v>
      </c>
      <c r="L177" s="3"/>
      <c r="M177" s="26">
        <f>ROUND(K177*I177,0)</f>
        <v>168980318</v>
      </c>
      <c r="N177" s="3"/>
      <c r="O177" s="3"/>
      <c r="P177"/>
    </row>
    <row r="178" spans="1:16" x14ac:dyDescent="0.35">
      <c r="A178" s="406"/>
      <c r="B178" s="410"/>
      <c r="C178" s="410"/>
      <c r="D178" s="988" t="str">
        <f>$C$74</f>
        <v>D2</v>
      </c>
      <c r="E178" s="272"/>
      <c r="F178" s="988" t="str">
        <f>$D$74</f>
        <v>8-10</v>
      </c>
      <c r="G178" s="3"/>
      <c r="H178" s="3"/>
      <c r="I178" s="29">
        <f>I83</f>
        <v>18386171.360000003</v>
      </c>
      <c r="J178" s="3"/>
      <c r="K178" s="35">
        <f>H109</f>
        <v>19.91</v>
      </c>
      <c r="L178" s="3"/>
      <c r="M178" s="26">
        <f>ROUND(K178*I178,0)</f>
        <v>366068672</v>
      </c>
      <c r="N178" s="3"/>
      <c r="O178" s="3"/>
      <c r="P178"/>
    </row>
    <row r="179" spans="1:16" x14ac:dyDescent="0.35">
      <c r="A179" s="406"/>
      <c r="B179" s="410"/>
      <c r="C179" s="410"/>
      <c r="D179" s="988" t="str">
        <f>$C$75</f>
        <v>D3</v>
      </c>
      <c r="E179" s="272"/>
      <c r="F179" s="988" t="str">
        <f>$D$75</f>
        <v>All Day</v>
      </c>
      <c r="G179" s="3"/>
      <c r="H179" s="3"/>
      <c r="I179" s="38">
        <f>I85</f>
        <v>18587601.75</v>
      </c>
      <c r="J179" s="3"/>
      <c r="K179" s="35">
        <f>H110</f>
        <v>19.04</v>
      </c>
      <c r="L179" s="3"/>
      <c r="M179" s="37">
        <f>ROUND(K179*I179,0)</f>
        <v>353907937</v>
      </c>
      <c r="N179" s="3"/>
      <c r="O179" s="3"/>
      <c r="P179"/>
    </row>
    <row r="180" spans="1:16" x14ac:dyDescent="0.35">
      <c r="A180" s="406"/>
      <c r="B180" s="410"/>
      <c r="C180" s="410"/>
      <c r="D180" s="272"/>
      <c r="E180" s="272"/>
      <c r="F180" s="272"/>
      <c r="G180" s="3"/>
      <c r="H180" s="3"/>
      <c r="I180" s="28">
        <f>I177+I178+I179</f>
        <v>55182859.090000004</v>
      </c>
      <c r="J180" s="3"/>
      <c r="K180" s="35"/>
      <c r="L180" s="3"/>
      <c r="M180" s="832">
        <f>M176+M177+M178+M179</f>
        <v>895601156</v>
      </c>
      <c r="N180" s="34"/>
      <c r="O180" s="36" t="s">
        <v>10</v>
      </c>
      <c r="P180"/>
    </row>
    <row r="181" spans="1:16" x14ac:dyDescent="0.35">
      <c r="A181" s="406"/>
      <c r="B181" s="410"/>
      <c r="C181" s="410"/>
      <c r="D181" s="272"/>
      <c r="E181" s="272"/>
      <c r="F181" s="272"/>
      <c r="G181" s="28"/>
      <c r="H181" s="3"/>
      <c r="I181" s="28"/>
      <c r="J181" s="3"/>
      <c r="K181" s="35"/>
      <c r="L181" s="33" t="s">
        <v>22</v>
      </c>
      <c r="M181" s="34">
        <f>ROUND(M180*(O181-1),0)</f>
        <v>10675566</v>
      </c>
      <c r="N181" s="33" t="s">
        <v>23</v>
      </c>
      <c r="O181" s="40">
        <f>L10</f>
        <v>1.0119199999999999</v>
      </c>
      <c r="P181"/>
    </row>
    <row r="182" spans="1:16" x14ac:dyDescent="0.35">
      <c r="A182" s="406"/>
      <c r="B182" s="410"/>
      <c r="C182" s="410"/>
      <c r="D182" s="272"/>
      <c r="E182" s="272"/>
      <c r="F182" s="272"/>
      <c r="G182" s="28"/>
      <c r="H182" s="3"/>
      <c r="I182" s="28"/>
      <c r="J182" s="3"/>
      <c r="K182" s="35"/>
      <c r="L182" s="33" t="s">
        <v>21</v>
      </c>
      <c r="M182" s="32">
        <f>M180+M181</f>
        <v>906276722</v>
      </c>
      <c r="N182" s="8"/>
      <c r="O182" s="3"/>
      <c r="P182"/>
    </row>
    <row r="183" spans="1:16" x14ac:dyDescent="0.35">
      <c r="A183" s="406"/>
      <c r="B183" s="410"/>
      <c r="C183" s="410"/>
      <c r="L183" s="3"/>
      <c r="M183" s="3"/>
      <c r="N183" s="3"/>
      <c r="O183" s="3"/>
      <c r="P183"/>
    </row>
    <row r="184" spans="1:16" x14ac:dyDescent="0.35">
      <c r="B184" s="3"/>
      <c r="C184" s="3"/>
      <c r="D184" s="410"/>
      <c r="E184" s="410"/>
      <c r="F184" s="410"/>
      <c r="G184" s="3"/>
      <c r="H184" s="3"/>
      <c r="I184" s="486" t="s">
        <v>718</v>
      </c>
      <c r="J184" s="3"/>
      <c r="K184" s="3"/>
      <c r="L184" s="3"/>
      <c r="M184" s="462" t="s">
        <v>7</v>
      </c>
      <c r="N184" s="3"/>
      <c r="O184" s="3"/>
      <c r="P184"/>
    </row>
    <row r="185" spans="1:16" x14ac:dyDescent="0.35">
      <c r="B185" s="3"/>
      <c r="C185" s="3"/>
      <c r="D185" s="3"/>
      <c r="E185" s="3"/>
      <c r="F185" s="3"/>
      <c r="G185" s="979"/>
      <c r="H185" s="834" t="s">
        <v>26</v>
      </c>
      <c r="I185" s="30" t="s">
        <v>25</v>
      </c>
      <c r="J185" s="3"/>
      <c r="K185" s="30" t="s">
        <v>11</v>
      </c>
      <c r="L185" s="3"/>
      <c r="M185" s="30" t="s">
        <v>6</v>
      </c>
      <c r="N185" s="3"/>
      <c r="O185" s="3"/>
      <c r="P185"/>
    </row>
    <row r="186" spans="1:16" x14ac:dyDescent="0.35">
      <c r="B186" s="3"/>
      <c r="C186" s="3"/>
      <c r="D186" s="1158" t="s">
        <v>1174</v>
      </c>
      <c r="E186" s="1168"/>
      <c r="F186" s="1158"/>
      <c r="G186" s="1133"/>
      <c r="H186" s="1159">
        <f>M33+M36</f>
        <v>1066678</v>
      </c>
      <c r="K186" s="1157">
        <f>J112</f>
        <v>12.45</v>
      </c>
      <c r="L186" s="3"/>
      <c r="M186" s="1164">
        <f>ROUND(H186*K186,0)</f>
        <v>13280141</v>
      </c>
      <c r="N186" s="3"/>
      <c r="O186" s="3"/>
      <c r="P186"/>
    </row>
    <row r="187" spans="1:16" x14ac:dyDescent="0.35">
      <c r="B187" s="3"/>
      <c r="C187" s="3" t="s">
        <v>40</v>
      </c>
      <c r="D187" s="56" t="str">
        <f>$C$73</f>
        <v>D1</v>
      </c>
      <c r="E187" s="36"/>
      <c r="F187" s="56" t="str">
        <f>$D$73</f>
        <v>8-6</v>
      </c>
      <c r="G187" s="3"/>
      <c r="H187" s="3"/>
      <c r="I187" s="29">
        <f>I82</f>
        <v>0</v>
      </c>
      <c r="J187" s="3"/>
      <c r="K187" s="35">
        <f>J108</f>
        <v>0</v>
      </c>
      <c r="L187" s="3"/>
      <c r="M187" s="26">
        <f>ROUND(K187*I187,0)</f>
        <v>0</v>
      </c>
      <c r="N187" s="3"/>
      <c r="O187" s="3"/>
      <c r="P187"/>
    </row>
    <row r="188" spans="1:16" x14ac:dyDescent="0.35">
      <c r="B188" s="3"/>
      <c r="C188" s="3"/>
      <c r="D188" s="56" t="str">
        <f>$C$74</f>
        <v>D2</v>
      </c>
      <c r="E188" s="36"/>
      <c r="F188" s="56" t="str">
        <f>$D$74</f>
        <v>8-10</v>
      </c>
      <c r="G188" s="3"/>
      <c r="H188" s="3"/>
      <c r="I188" s="29">
        <f>I84</f>
        <v>31712042.02</v>
      </c>
      <c r="J188" s="3"/>
      <c r="K188" s="35">
        <f>J109</f>
        <v>12.89</v>
      </c>
      <c r="L188" s="3"/>
      <c r="M188" s="26">
        <f>ROUND(K188*I188,0)</f>
        <v>408768222</v>
      </c>
      <c r="N188" s="3"/>
      <c r="O188" s="3"/>
      <c r="P188"/>
    </row>
    <row r="189" spans="1:16" x14ac:dyDescent="0.35">
      <c r="B189" s="3"/>
      <c r="C189" s="3"/>
      <c r="D189" s="56" t="str">
        <f>$C$75</f>
        <v>D3</v>
      </c>
      <c r="E189" s="36"/>
      <c r="F189" s="56" t="str">
        <f>$D$75</f>
        <v>All Day</v>
      </c>
      <c r="G189" s="3"/>
      <c r="H189" s="3"/>
      <c r="I189" s="38">
        <f>I86</f>
        <v>32224023.23</v>
      </c>
      <c r="J189" s="3"/>
      <c r="K189" s="35">
        <f>J110</f>
        <v>5.4600000000000009</v>
      </c>
      <c r="L189" s="3"/>
      <c r="M189" s="37">
        <f>ROUND(K189*I189,0)</f>
        <v>175943167</v>
      </c>
      <c r="N189" s="3"/>
      <c r="O189" s="3"/>
      <c r="P189"/>
    </row>
    <row r="190" spans="1:16" x14ac:dyDescent="0.35">
      <c r="B190" s="3"/>
      <c r="C190" s="3"/>
      <c r="D190" s="36"/>
      <c r="E190" s="36"/>
      <c r="F190" s="36"/>
      <c r="G190" s="3"/>
      <c r="H190" s="3"/>
      <c r="I190" s="28">
        <f>I187+I188+I189</f>
        <v>63936065.25</v>
      </c>
      <c r="J190" s="3"/>
      <c r="K190" s="35"/>
      <c r="L190" s="3"/>
      <c r="M190" s="832">
        <f>M186+M187+M188+M189</f>
        <v>597991530</v>
      </c>
      <c r="N190" s="3"/>
      <c r="O190" s="36" t="s">
        <v>7</v>
      </c>
      <c r="P190"/>
    </row>
    <row r="191" spans="1:16" x14ac:dyDescent="0.35">
      <c r="B191" s="3"/>
      <c r="C191" s="3"/>
      <c r="D191" s="36"/>
      <c r="E191" s="36"/>
      <c r="F191" s="36"/>
      <c r="G191" s="3"/>
      <c r="H191" s="3"/>
      <c r="I191" s="28"/>
      <c r="J191" s="3"/>
      <c r="K191" s="35"/>
      <c r="L191" s="33" t="s">
        <v>22</v>
      </c>
      <c r="M191" s="34">
        <f>ROUND(M190*(O191-1),0)</f>
        <v>6380570</v>
      </c>
      <c r="N191" s="33" t="s">
        <v>23</v>
      </c>
      <c r="O191" s="40">
        <f>L11</f>
        <v>1.01067</v>
      </c>
      <c r="P191" s="2"/>
    </row>
    <row r="192" spans="1:16" x14ac:dyDescent="0.35">
      <c r="B192" s="3"/>
      <c r="C192" s="410"/>
      <c r="D192" s="272"/>
      <c r="E192" s="272"/>
      <c r="F192" s="272"/>
      <c r="G192" s="65"/>
      <c r="H192" s="3"/>
      <c r="I192" s="28"/>
      <c r="J192" s="3"/>
      <c r="K192" s="35"/>
      <c r="L192" s="33" t="s">
        <v>21</v>
      </c>
      <c r="M192" s="32">
        <f>M190+M191</f>
        <v>604372100</v>
      </c>
      <c r="N192" s="8"/>
      <c r="O192" s="3"/>
      <c r="P192" s="2"/>
    </row>
    <row r="193" spans="1:17" x14ac:dyDescent="0.35">
      <c r="B193" s="3"/>
      <c r="C193" s="410"/>
      <c r="D193" s="410"/>
      <c r="E193" s="410"/>
      <c r="F193" s="410"/>
      <c r="G193" s="410"/>
      <c r="H193" s="3"/>
      <c r="I193" s="3"/>
      <c r="J193" s="3"/>
      <c r="K193" s="3"/>
      <c r="L193" s="3"/>
      <c r="M193" s="3"/>
      <c r="N193" s="3"/>
      <c r="O193" s="3"/>
      <c r="P193" s="2"/>
    </row>
    <row r="194" spans="1:17" x14ac:dyDescent="0.35">
      <c r="B194" s="3"/>
      <c r="C194" s="837" t="str">
        <f>CONCATENATE($A$4," - Annual Demand Revenue Price-Out at Proposed Rates - Incl. EDB:")</f>
        <v>SC9 Rate III - Annual Demand Revenue Price-Out at Proposed Rates - Incl. EDB:</v>
      </c>
      <c r="D194" s="410"/>
      <c r="E194" s="410"/>
      <c r="F194" s="410"/>
      <c r="G194" s="410"/>
      <c r="H194" s="3"/>
      <c r="I194" s="3"/>
      <c r="J194" s="3"/>
      <c r="K194" s="3"/>
      <c r="L194" s="3"/>
      <c r="M194" s="32">
        <f>M182+M192</f>
        <v>1510648822</v>
      </c>
      <c r="N194" s="468"/>
      <c r="O194" s="3"/>
      <c r="P194" s="2"/>
    </row>
    <row r="195" spans="1:17" x14ac:dyDescent="0.35">
      <c r="B195" s="3"/>
      <c r="C195" s="410"/>
      <c r="D195" s="410"/>
      <c r="E195" s="410"/>
      <c r="F195" s="410"/>
      <c r="G195" s="410"/>
      <c r="H195" s="3"/>
      <c r="I195" s="3"/>
      <c r="J195" s="3"/>
      <c r="K195" s="3"/>
      <c r="L195" s="3"/>
      <c r="M195" s="26"/>
      <c r="N195" s="17"/>
      <c r="O195" s="3"/>
      <c r="P195" s="2"/>
    </row>
    <row r="196" spans="1:17" x14ac:dyDescent="0.35">
      <c r="B196" s="3"/>
      <c r="C196" s="410"/>
      <c r="D196" s="410"/>
      <c r="E196" s="410"/>
      <c r="F196" s="410"/>
      <c r="G196" s="410"/>
      <c r="H196" s="3"/>
      <c r="I196" s="3"/>
      <c r="J196" s="3"/>
      <c r="K196" s="3"/>
      <c r="L196" s="3"/>
      <c r="M196" s="26"/>
      <c r="N196" s="17"/>
      <c r="O196" s="3"/>
      <c r="P196" s="2"/>
    </row>
    <row r="197" spans="1:17" ht="15" thickBot="1" x14ac:dyDescent="0.4">
      <c r="A197" s="42"/>
      <c r="B197" s="334" t="str">
        <f>CONCATENATE($A$4," at Proposed Energy Rates")</f>
        <v>SC9 Rate III at Proposed Energy Rates</v>
      </c>
      <c r="C197" s="410"/>
      <c r="D197" s="410"/>
      <c r="E197" s="410"/>
      <c r="F197" s="410"/>
      <c r="G197" s="410"/>
      <c r="H197" s="3"/>
      <c r="I197" s="3"/>
      <c r="K197" s="367" t="s">
        <v>426</v>
      </c>
      <c r="L197" s="368">
        <f>$L$10</f>
        <v>1.0119199999999999</v>
      </c>
      <c r="N197" s="344" t="str">
        <f>$A$4</f>
        <v>SC9 Rate III</v>
      </c>
      <c r="P197"/>
      <c r="Q197" s="1"/>
    </row>
    <row r="198" spans="1:17" ht="15.5" thickTop="1" thickBot="1" x14ac:dyDescent="0.4">
      <c r="B198" s="487" t="s">
        <v>718</v>
      </c>
      <c r="C198" s="406"/>
      <c r="D198" s="406"/>
      <c r="E198" s="406"/>
      <c r="F198" s="406"/>
      <c r="G198" s="406"/>
      <c r="H198" s="1307" t="s">
        <v>417</v>
      </c>
      <c r="I198" s="1308"/>
      <c r="J198" s="1309"/>
      <c r="L198" s="473" t="s">
        <v>475</v>
      </c>
      <c r="N198" s="369" t="s">
        <v>42</v>
      </c>
      <c r="P198"/>
      <c r="Q198" s="1"/>
    </row>
    <row r="199" spans="1:17" ht="15" thickTop="1" x14ac:dyDescent="0.35">
      <c r="B199" s="3"/>
      <c r="C199" s="406"/>
      <c r="D199" s="406"/>
      <c r="E199" s="406"/>
      <c r="F199" s="406"/>
      <c r="G199" s="406"/>
      <c r="H199" s="30" t="s">
        <v>416</v>
      </c>
      <c r="I199" s="30" t="s">
        <v>674</v>
      </c>
      <c r="J199" s="36" t="s">
        <v>676</v>
      </c>
      <c r="L199" s="30" t="s">
        <v>425</v>
      </c>
      <c r="N199" s="36" t="s">
        <v>675</v>
      </c>
      <c r="P199"/>
      <c r="Q199" s="1"/>
    </row>
    <row r="200" spans="1:17" x14ac:dyDescent="0.35">
      <c r="B200" s="407" t="s">
        <v>42</v>
      </c>
      <c r="C200" s="978" t="str">
        <f>$F$135</f>
        <v>On Peak</v>
      </c>
      <c r="D200" s="979"/>
      <c r="E200" s="980"/>
      <c r="F200" s="406"/>
      <c r="G200" s="406"/>
      <c r="H200" s="223">
        <f>H167</f>
        <v>7.9000000000000008E-3</v>
      </c>
      <c r="I200" s="105">
        <f>I152</f>
        <v>6687305096.6299992</v>
      </c>
      <c r="J200" s="26">
        <f>ROUND(H200*I200,0)</f>
        <v>52829710</v>
      </c>
      <c r="L200" s="397"/>
      <c r="N200" s="26">
        <f>J200+L200</f>
        <v>52829710</v>
      </c>
      <c r="P200"/>
      <c r="Q200" s="1"/>
    </row>
    <row r="201" spans="1:17" x14ac:dyDescent="0.35">
      <c r="C201" s="978" t="str">
        <f>$F$136</f>
        <v>Off Peak</v>
      </c>
      <c r="D201" s="272"/>
      <c r="E201" s="980"/>
      <c r="F201" s="406"/>
      <c r="G201" s="406"/>
      <c r="H201" s="223">
        <f>H168</f>
        <v>7.9000000000000008E-3</v>
      </c>
      <c r="I201" s="105">
        <f>I153</f>
        <v>0</v>
      </c>
      <c r="J201" s="26">
        <f>ROUND(H201*I201,0)</f>
        <v>0</v>
      </c>
      <c r="L201" s="397"/>
      <c r="N201" s="26">
        <f>J201+L201</f>
        <v>0</v>
      </c>
      <c r="P201"/>
      <c r="Q201" s="1"/>
    </row>
    <row r="202" spans="1:17" x14ac:dyDescent="0.35">
      <c r="C202" s="410" t="s">
        <v>420</v>
      </c>
      <c r="D202" s="410"/>
      <c r="E202" s="410"/>
      <c r="F202" s="410"/>
      <c r="G202" s="406"/>
      <c r="H202" s="223"/>
      <c r="I202" s="223"/>
      <c r="J202" s="32">
        <f>SUM(J200:J201)</f>
        <v>52829710</v>
      </c>
      <c r="L202" s="32">
        <f>SUM(L200:L201)</f>
        <v>0</v>
      </c>
      <c r="N202" s="32">
        <f>SUM(N200:N201)</f>
        <v>52829710</v>
      </c>
      <c r="P202"/>
      <c r="Q202" s="1"/>
    </row>
    <row r="203" spans="1:17" s="1" customFormat="1" x14ac:dyDescent="0.35">
      <c r="C203" s="392"/>
      <c r="D203" s="979"/>
      <c r="E203" s="979"/>
      <c r="F203" s="981"/>
      <c r="G203" s="464"/>
      <c r="H203" s="223"/>
      <c r="I203" s="362"/>
      <c r="J203" s="395"/>
      <c r="K203"/>
    </row>
    <row r="204" spans="1:17" s="1" customFormat="1" ht="15" thickBot="1" x14ac:dyDescent="0.4">
      <c r="C204" s="392"/>
      <c r="D204" s="979"/>
      <c r="E204" s="979"/>
      <c r="F204" s="981"/>
      <c r="G204" s="464"/>
      <c r="H204" s="223"/>
      <c r="I204" s="362"/>
      <c r="J204" s="223"/>
      <c r="K204"/>
      <c r="L204" s="368">
        <f>$L$11</f>
        <v>1.01067</v>
      </c>
    </row>
    <row r="205" spans="1:17" s="1" customFormat="1" ht="15.5" thickTop="1" thickBot="1" x14ac:dyDescent="0.4">
      <c r="C205" s="392"/>
      <c r="D205" s="979"/>
      <c r="E205" s="979"/>
      <c r="F205" s="981"/>
      <c r="G205" s="464"/>
      <c r="H205" s="1307" t="s">
        <v>417</v>
      </c>
      <c r="I205" s="1308"/>
      <c r="J205" s="1309"/>
      <c r="K205"/>
      <c r="L205" s="473" t="s">
        <v>475</v>
      </c>
      <c r="N205" s="369" t="s">
        <v>40</v>
      </c>
    </row>
    <row r="206" spans="1:17" s="1" customFormat="1" ht="15" thickTop="1" x14ac:dyDescent="0.35">
      <c r="C206" s="392"/>
      <c r="D206" s="979"/>
      <c r="E206" s="979"/>
      <c r="F206" s="981"/>
      <c r="G206" s="464"/>
      <c r="H206" s="30" t="s">
        <v>416</v>
      </c>
      <c r="I206" s="30" t="s">
        <v>674</v>
      </c>
      <c r="J206" s="36" t="s">
        <v>676</v>
      </c>
      <c r="K206"/>
      <c r="L206" s="30" t="s">
        <v>425</v>
      </c>
      <c r="N206" s="36" t="s">
        <v>675</v>
      </c>
    </row>
    <row r="207" spans="1:17" s="1" customFormat="1" x14ac:dyDescent="0.35">
      <c r="A207" s="464"/>
      <c r="B207" s="407" t="s">
        <v>40</v>
      </c>
      <c r="C207" s="978" t="str">
        <f>$F$135</f>
        <v>On Peak</v>
      </c>
      <c r="D207" s="979"/>
      <c r="E207" s="980"/>
      <c r="F207" s="464"/>
      <c r="G207" s="464"/>
      <c r="H207" s="223">
        <f>J167</f>
        <v>7.9000000000000008E-3</v>
      </c>
      <c r="I207" s="105">
        <f>I154</f>
        <v>11614263365.860001</v>
      </c>
      <c r="J207" s="26">
        <f>ROUND(H207*I207,0)</f>
        <v>91752681</v>
      </c>
      <c r="K207"/>
      <c r="L207" s="397"/>
      <c r="N207" s="26">
        <f>J207+L207</f>
        <v>91752681</v>
      </c>
    </row>
    <row r="208" spans="1:17" s="1" customFormat="1" x14ac:dyDescent="0.35">
      <c r="A208" s="464"/>
      <c r="B208" s="406"/>
      <c r="C208" s="978" t="str">
        <f>$F$136</f>
        <v>Off Peak</v>
      </c>
      <c r="D208" s="272"/>
      <c r="E208" s="980"/>
      <c r="F208" s="464"/>
      <c r="G208" s="464"/>
      <c r="H208" s="223">
        <f>J168</f>
        <v>7.9000000000000008E-3</v>
      </c>
      <c r="I208" s="105">
        <f>I155</f>
        <v>0</v>
      </c>
      <c r="J208" s="26">
        <f>ROUND(H208*I208,0)</f>
        <v>0</v>
      </c>
      <c r="K208"/>
      <c r="L208" s="397"/>
      <c r="N208" s="26">
        <f>J208+L208</f>
        <v>0</v>
      </c>
    </row>
    <row r="209" spans="1:18" s="1" customFormat="1" x14ac:dyDescent="0.35">
      <c r="A209" s="464"/>
      <c r="B209" s="406"/>
      <c r="C209" s="410" t="s">
        <v>421</v>
      </c>
      <c r="D209" s="410"/>
      <c r="E209" s="410"/>
      <c r="F209" s="410"/>
      <c r="G209" s="464"/>
      <c r="H209" s="223"/>
      <c r="I209" s="223"/>
      <c r="J209" s="32">
        <f>SUM(J207:J208)</f>
        <v>91752681</v>
      </c>
      <c r="K209"/>
      <c r="L209" s="32">
        <f>SUM(L207:L208)</f>
        <v>0</v>
      </c>
      <c r="N209" s="32">
        <f>SUM(N207:N208)</f>
        <v>91752681</v>
      </c>
    </row>
    <row r="210" spans="1:18" s="1" customFormat="1" ht="15" thickBot="1" x14ac:dyDescent="0.4">
      <c r="A210" s="464"/>
      <c r="B210" s="464"/>
      <c r="C210" s="392"/>
      <c r="D210" s="979"/>
      <c r="E210" s="979"/>
      <c r="F210" s="981"/>
      <c r="G210" s="464"/>
      <c r="H210" s="223"/>
      <c r="I210" s="362"/>
      <c r="J210" s="395"/>
      <c r="K210"/>
      <c r="N210" s="223"/>
    </row>
    <row r="211" spans="1:18" s="1" customFormat="1" ht="15.5" thickTop="1" thickBot="1" x14ac:dyDescent="0.4">
      <c r="A211" s="464"/>
      <c r="B211" s="464"/>
      <c r="C211" s="837" t="str">
        <f>CONCATENATE($A$4," - Annual Energy Revenue Price-Out at Proposed Rates:")</f>
        <v>SC9 Rate III - Annual Energy Revenue Price-Out at Proposed Rates:</v>
      </c>
      <c r="D211" s="979"/>
      <c r="E211" s="979"/>
      <c r="F211" s="981"/>
      <c r="G211" s="464"/>
      <c r="H211" s="223"/>
      <c r="I211" s="222" t="s">
        <v>427</v>
      </c>
      <c r="J211" s="243">
        <f>J202+J209</f>
        <v>144582391</v>
      </c>
      <c r="K211" s="222" t="s">
        <v>428</v>
      </c>
      <c r="L211" s="243">
        <f>L202+L209</f>
        <v>0</v>
      </c>
      <c r="N211" s="243">
        <f>N202+N209</f>
        <v>144582391</v>
      </c>
    </row>
    <row r="212" spans="1:18" s="1" customFormat="1" ht="15" thickTop="1" x14ac:dyDescent="0.35">
      <c r="A212" s="464"/>
      <c r="B212" s="464"/>
      <c r="C212" s="25"/>
      <c r="D212" s="121"/>
      <c r="E212" s="121"/>
      <c r="F212" s="361"/>
      <c r="H212" s="223"/>
      <c r="I212" s="222"/>
      <c r="J212" s="396"/>
      <c r="K212" s="362"/>
      <c r="L212" s="363"/>
      <c r="M212" s="364"/>
      <c r="N212" s="222"/>
      <c r="Q212" s="26"/>
      <c r="R212" s="374"/>
    </row>
    <row r="213" spans="1:18" s="1" customFormat="1" x14ac:dyDescent="0.35">
      <c r="A213" s="464"/>
      <c r="B213" s="464"/>
      <c r="C213" s="25"/>
      <c r="D213" s="121"/>
      <c r="E213" s="121"/>
      <c r="F213" s="361"/>
      <c r="H213" s="223"/>
      <c r="I213" s="222"/>
      <c r="J213" s="396"/>
      <c r="K213" s="362"/>
      <c r="L213" s="363"/>
      <c r="M213" s="364"/>
      <c r="N213" s="222"/>
      <c r="Q213" s="26"/>
      <c r="R213" s="374"/>
    </row>
    <row r="214" spans="1:18" x14ac:dyDescent="0.35">
      <c r="A214" s="406"/>
      <c r="B214" s="410"/>
      <c r="C214" s="70" t="s">
        <v>684</v>
      </c>
      <c r="D214" s="3"/>
      <c r="E214" s="3"/>
      <c r="F214" s="3"/>
      <c r="G214" s="3"/>
      <c r="H214" s="3"/>
      <c r="I214" s="3"/>
      <c r="J214" s="3"/>
      <c r="K214" s="3"/>
      <c r="L214" s="3"/>
      <c r="M214" s="26"/>
      <c r="N214" s="17"/>
      <c r="O214" s="1"/>
      <c r="P214" s="2"/>
    </row>
    <row r="215" spans="1:18" x14ac:dyDescent="0.35">
      <c r="A215" s="464"/>
      <c r="B215" s="410"/>
      <c r="C215" s="41" t="str">
        <f>$A$4</f>
        <v>SC9 Rate III</v>
      </c>
      <c r="D215" s="3"/>
      <c r="E215" s="3"/>
      <c r="F215" s="3"/>
      <c r="G215" s="3"/>
      <c r="H215" s="3"/>
      <c r="I215" s="3"/>
      <c r="J215" s="3"/>
      <c r="K215" s="3"/>
      <c r="L215" s="3"/>
      <c r="M215" s="26"/>
      <c r="N215" s="17"/>
      <c r="O215" s="1"/>
      <c r="P215" s="2"/>
    </row>
    <row r="216" spans="1:18" x14ac:dyDescent="0.35">
      <c r="A216" s="464"/>
      <c r="B216" s="410"/>
      <c r="C216" s="3" t="s">
        <v>678</v>
      </c>
      <c r="D216" s="3"/>
      <c r="E216" s="3"/>
      <c r="F216" s="3"/>
      <c r="G216" s="3"/>
      <c r="H216" s="3"/>
      <c r="I216" s="3"/>
      <c r="J216" s="3"/>
      <c r="K216" s="3"/>
      <c r="L216" s="3"/>
      <c r="M216" s="26">
        <f>M194</f>
        <v>1510648822</v>
      </c>
      <c r="N216" s="17"/>
      <c r="O216" s="1"/>
      <c r="P216" s="2"/>
    </row>
    <row r="217" spans="1:18" x14ac:dyDescent="0.35">
      <c r="A217" s="464"/>
      <c r="B217" s="410"/>
      <c r="C217" s="407" t="s">
        <v>700</v>
      </c>
      <c r="D217" s="410" t="s">
        <v>1153</v>
      </c>
      <c r="E217" s="410"/>
      <c r="F217" s="410"/>
      <c r="G217" s="3"/>
      <c r="H217" s="3"/>
      <c r="I217" s="3"/>
      <c r="J217" s="3"/>
      <c r="K217" s="3"/>
      <c r="L217" s="34">
        <f>G37+H37</f>
        <v>6743078</v>
      </c>
      <c r="M217" s="26"/>
      <c r="N217" s="17"/>
      <c r="O217" s="1"/>
      <c r="P217" s="2"/>
    </row>
    <row r="218" spans="1:18" x14ac:dyDescent="0.35">
      <c r="A218" s="464"/>
      <c r="B218" s="410"/>
      <c r="C218" s="407"/>
      <c r="D218" s="410" t="s">
        <v>1154</v>
      </c>
      <c r="E218" s="410"/>
      <c r="F218" s="410"/>
      <c r="G218" s="3"/>
      <c r="H218" s="3"/>
      <c r="I218" s="3"/>
      <c r="J218" s="3"/>
      <c r="K218" s="3"/>
      <c r="L218" s="34">
        <f>G38+H38</f>
        <v>-1736711.1284422702</v>
      </c>
      <c r="M218" s="26"/>
      <c r="N218" s="17"/>
      <c r="O218" s="1"/>
      <c r="P218" s="2"/>
    </row>
    <row r="219" spans="1:18" x14ac:dyDescent="0.35">
      <c r="A219" s="464"/>
      <c r="B219" s="410"/>
      <c r="C219" s="407"/>
      <c r="D219" s="410" t="s">
        <v>1155</v>
      </c>
      <c r="E219" s="410"/>
      <c r="F219" s="410"/>
      <c r="G219" s="3"/>
      <c r="H219" s="3"/>
      <c r="I219" s="3"/>
      <c r="J219" s="3"/>
      <c r="K219" s="3"/>
      <c r="L219" s="37">
        <f>G39+H39</f>
        <v>726181.37533170404</v>
      </c>
      <c r="M219" s="26"/>
      <c r="N219" s="1"/>
      <c r="O219" s="1"/>
      <c r="P219" s="2"/>
    </row>
    <row r="220" spans="1:18" x14ac:dyDescent="0.35">
      <c r="A220" s="464"/>
      <c r="B220" s="410"/>
      <c r="C220" s="407"/>
      <c r="D220" s="410" t="s">
        <v>1156</v>
      </c>
      <c r="E220" s="410"/>
      <c r="F220" s="410"/>
      <c r="G220" s="3"/>
      <c r="H220" s="3"/>
      <c r="I220" s="3"/>
      <c r="J220" s="3"/>
      <c r="K220" s="3"/>
      <c r="L220" s="3"/>
      <c r="M220" s="37">
        <f>L217+L218+L219</f>
        <v>5732548.2468894329</v>
      </c>
      <c r="N220" s="1"/>
      <c r="O220" s="1"/>
      <c r="P220" s="2"/>
    </row>
    <row r="221" spans="1:18" x14ac:dyDescent="0.35">
      <c r="A221" s="464"/>
      <c r="B221" s="410"/>
      <c r="C221" s="410" t="s">
        <v>678</v>
      </c>
      <c r="D221" s="410"/>
      <c r="E221" s="410"/>
      <c r="F221" s="410"/>
      <c r="G221" s="3"/>
      <c r="H221" s="3"/>
      <c r="I221" s="3"/>
      <c r="J221" s="3"/>
      <c r="K221" s="3"/>
      <c r="L221" s="3"/>
      <c r="M221" s="26">
        <f>M216+M220</f>
        <v>1516381370.2468894</v>
      </c>
      <c r="N221" s="1"/>
      <c r="O221" s="1"/>
      <c r="P221" s="2"/>
    </row>
    <row r="222" spans="1:18" ht="15" thickBot="1" x14ac:dyDescent="0.4">
      <c r="A222" s="406"/>
      <c r="B222" s="410"/>
      <c r="C222" s="410" t="s">
        <v>677</v>
      </c>
      <c r="D222" s="410"/>
      <c r="E222" s="410"/>
      <c r="F222" s="410"/>
      <c r="G222" s="3"/>
      <c r="H222" s="3"/>
      <c r="I222" s="3"/>
      <c r="J222" s="3"/>
      <c r="K222" s="3"/>
      <c r="L222" s="3"/>
      <c r="M222" s="26">
        <f>N211</f>
        <v>144582391</v>
      </c>
      <c r="N222" s="1"/>
      <c r="O222" s="1"/>
      <c r="P222" s="2"/>
    </row>
    <row r="223" spans="1:18" ht="15.5" thickTop="1" thickBot="1" x14ac:dyDescent="0.4">
      <c r="A223" s="406"/>
      <c r="B223" s="410"/>
      <c r="C223" s="837" t="s">
        <v>685</v>
      </c>
      <c r="D223" s="410"/>
      <c r="E223" s="410"/>
      <c r="F223" s="410"/>
      <c r="G223" s="3"/>
      <c r="H223" s="3"/>
      <c r="I223" s="3"/>
      <c r="J223" s="3"/>
      <c r="K223" s="3"/>
      <c r="L223" s="3"/>
      <c r="M223" s="925">
        <f>M221+M222</f>
        <v>1660963761.2468894</v>
      </c>
      <c r="N223" s="1"/>
      <c r="O223" s="3"/>
      <c r="P223" s="2"/>
    </row>
    <row r="224" spans="1:18" ht="15" thickTop="1" x14ac:dyDescent="0.35">
      <c r="A224" s="406"/>
      <c r="B224" s="4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"/>
      <c r="O224" s="3"/>
      <c r="P224" s="2"/>
    </row>
    <row r="225" spans="1:16" ht="15" thickBot="1" x14ac:dyDescent="0.4">
      <c r="A225" s="406"/>
      <c r="B225" s="4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"/>
      <c r="O225" s="3"/>
      <c r="P225" s="2"/>
    </row>
    <row r="226" spans="1:16" x14ac:dyDescent="0.35">
      <c r="A226" s="406"/>
      <c r="B226" s="410"/>
      <c r="C226" s="23" t="str">
        <f>$A$4</f>
        <v>SC9 Rate III</v>
      </c>
      <c r="D226" s="1016" t="s">
        <v>718</v>
      </c>
      <c r="E226" s="22"/>
      <c r="F226" s="22"/>
      <c r="G226" s="22"/>
      <c r="H226" s="22"/>
      <c r="I226" s="22"/>
      <c r="J226" s="22"/>
      <c r="K226" s="22"/>
      <c r="L226" s="22"/>
      <c r="M226" s="21" t="s">
        <v>6</v>
      </c>
      <c r="P226"/>
    </row>
    <row r="227" spans="1:16" x14ac:dyDescent="0.35">
      <c r="A227" s="406"/>
      <c r="B227" s="410"/>
      <c r="C227" s="11" t="s">
        <v>5</v>
      </c>
      <c r="D227" s="1305">
        <f>L4</f>
        <v>2020</v>
      </c>
      <c r="E227" s="1305"/>
      <c r="F227" s="1305"/>
      <c r="G227" s="10"/>
      <c r="H227" s="10"/>
      <c r="I227" s="10"/>
      <c r="J227" s="10"/>
      <c r="K227" s="10"/>
      <c r="L227" s="10"/>
      <c r="M227" s="13"/>
      <c r="P227"/>
    </row>
    <row r="228" spans="1:16" x14ac:dyDescent="0.35">
      <c r="A228" s="406"/>
      <c r="B228" s="410"/>
      <c r="C228" s="699" t="s">
        <v>1469</v>
      </c>
      <c r="D228" s="19"/>
      <c r="E228" s="19"/>
      <c r="F228" s="19"/>
      <c r="G228" s="10"/>
      <c r="H228" s="10"/>
      <c r="I228" s="10"/>
      <c r="J228" s="10"/>
      <c r="K228" s="10"/>
      <c r="L228" s="10"/>
      <c r="M228" s="12">
        <f>M223</f>
        <v>1660963761.2468894</v>
      </c>
      <c r="P228"/>
    </row>
    <row r="229" spans="1:16" x14ac:dyDescent="0.35">
      <c r="B229" s="3"/>
      <c r="C229" s="20"/>
      <c r="D229" s="368"/>
      <c r="E229" s="19"/>
      <c r="F229" s="19"/>
      <c r="G229" s="10"/>
      <c r="I229" s="10"/>
      <c r="J229" s="10"/>
      <c r="K229" s="10"/>
      <c r="L229" s="605"/>
      <c r="M229" s="470"/>
      <c r="P229"/>
    </row>
    <row r="230" spans="1:16" x14ac:dyDescent="0.35">
      <c r="B230" s="3"/>
      <c r="C230" s="20"/>
      <c r="D230" s="368"/>
      <c r="E230" s="19"/>
      <c r="F230" s="19"/>
      <c r="G230" s="10"/>
      <c r="I230" s="10"/>
      <c r="J230" s="10"/>
      <c r="K230" s="10"/>
      <c r="L230" s="605"/>
      <c r="M230" s="470"/>
      <c r="P230"/>
    </row>
    <row r="231" spans="1:16" x14ac:dyDescent="0.35">
      <c r="B231" s="3"/>
      <c r="C231" s="20"/>
      <c r="D231" s="368"/>
      <c r="E231" s="19"/>
      <c r="F231" s="19"/>
      <c r="G231" s="10"/>
      <c r="I231" s="10"/>
      <c r="J231" s="10"/>
      <c r="K231" s="10"/>
      <c r="L231" s="605"/>
      <c r="M231" s="470"/>
      <c r="P231"/>
    </row>
    <row r="232" spans="1:16" x14ac:dyDescent="0.35">
      <c r="B232" s="3"/>
      <c r="C232" s="20"/>
      <c r="D232" s="368"/>
      <c r="E232" s="19"/>
      <c r="F232" s="19"/>
      <c r="G232" s="10"/>
      <c r="I232" s="10"/>
      <c r="J232" s="10"/>
      <c r="K232" s="10"/>
      <c r="L232" s="469"/>
      <c r="M232" s="471">
        <f>SUM(L229:L231)</f>
        <v>0</v>
      </c>
      <c r="P232"/>
    </row>
    <row r="233" spans="1:16" x14ac:dyDescent="0.35">
      <c r="B233" s="3"/>
      <c r="C233" s="11" t="s">
        <v>1469</v>
      </c>
      <c r="D233" s="10"/>
      <c r="E233" s="10"/>
      <c r="F233" s="10"/>
      <c r="G233" s="10"/>
      <c r="I233" s="10"/>
      <c r="J233" s="10"/>
      <c r="K233" s="10"/>
      <c r="L233" s="10"/>
      <c r="M233" s="12">
        <f>M228+M232</f>
        <v>1660963761.2468894</v>
      </c>
      <c r="P233"/>
    </row>
    <row r="234" spans="1:16" x14ac:dyDescent="0.35">
      <c r="B234" s="3"/>
      <c r="C234" s="11"/>
      <c r="D234" s="10"/>
      <c r="E234" s="10"/>
      <c r="F234" s="10"/>
      <c r="G234" s="10"/>
      <c r="H234" s="10"/>
      <c r="I234" s="10"/>
      <c r="J234" s="10"/>
      <c r="K234" s="10"/>
      <c r="L234" s="10"/>
      <c r="M234" s="13"/>
      <c r="P234"/>
    </row>
    <row r="235" spans="1:16" x14ac:dyDescent="0.35">
      <c r="B235" s="3"/>
      <c r="C235" s="11"/>
      <c r="D235" s="10" t="s">
        <v>2</v>
      </c>
      <c r="E235" s="10"/>
      <c r="F235" s="10"/>
      <c r="G235" s="10"/>
      <c r="H235" s="10"/>
      <c r="I235" s="10"/>
      <c r="J235" s="10"/>
      <c r="K235" s="10"/>
      <c r="L235" s="10"/>
      <c r="M235" s="924">
        <f>L22</f>
        <v>1660027094.2468894</v>
      </c>
      <c r="P235"/>
    </row>
    <row r="236" spans="1:16" x14ac:dyDescent="0.35">
      <c r="B236" s="3"/>
      <c r="C236" s="11"/>
      <c r="D236" s="10" t="s">
        <v>1</v>
      </c>
      <c r="E236" s="10"/>
      <c r="F236" s="10"/>
      <c r="G236" s="10"/>
      <c r="H236" s="10"/>
      <c r="I236" s="10"/>
      <c r="J236" s="10"/>
      <c r="K236" s="10"/>
      <c r="L236" s="10"/>
      <c r="M236" s="12">
        <f>M233-M235</f>
        <v>936667</v>
      </c>
      <c r="P236"/>
    </row>
    <row r="237" spans="1:16" x14ac:dyDescent="0.35">
      <c r="B237" s="3"/>
      <c r="C237" s="11"/>
      <c r="D237" s="10" t="s">
        <v>0</v>
      </c>
      <c r="E237" s="10"/>
      <c r="F237" s="10"/>
      <c r="G237" s="10"/>
      <c r="H237" s="10"/>
      <c r="I237" s="10"/>
      <c r="J237" s="10"/>
      <c r="K237" s="10"/>
      <c r="L237" s="10"/>
      <c r="M237" s="9">
        <f>M233/M235-1</f>
        <v>5.6424801935239799E-4</v>
      </c>
      <c r="P237"/>
    </row>
    <row r="238" spans="1:16" ht="15" thickBot="1" x14ac:dyDescent="0.4">
      <c r="B238" s="3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5"/>
      <c r="P238" s="2"/>
    </row>
    <row r="239" spans="1:16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"/>
      <c r="O239" s="3"/>
      <c r="P239" s="2"/>
    </row>
    <row r="240" spans="1:16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"/>
    </row>
    <row r="241" spans="1:34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2"/>
    </row>
    <row r="242" spans="1:34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2"/>
    </row>
    <row r="243" spans="1:34" s="87" customFormat="1" x14ac:dyDescent="0.35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</row>
    <row r="244" spans="1:34" x14ac:dyDescent="0.35">
      <c r="A244" s="334" t="s">
        <v>1160</v>
      </c>
      <c r="B244" s="410"/>
      <c r="C244" s="410"/>
      <c r="D244" s="410"/>
      <c r="E244" s="410"/>
      <c r="F244" s="410"/>
      <c r="G244" s="410"/>
      <c r="H244" s="410"/>
      <c r="I244" s="410"/>
      <c r="J244" s="406"/>
      <c r="Q244" s="694"/>
      <c r="S244" s="476"/>
      <c r="T244" s="476" t="s">
        <v>2272</v>
      </c>
      <c r="U244" s="476" t="s">
        <v>2273</v>
      </c>
      <c r="V244" s="476" t="s">
        <v>2274</v>
      </c>
      <c r="W244" s="476"/>
      <c r="X244" s="476"/>
      <c r="Y244" s="476"/>
      <c r="Z244" s="476" t="s">
        <v>2275</v>
      </c>
      <c r="AA244" s="476" t="s">
        <v>2276</v>
      </c>
      <c r="AB244" s="476" t="s">
        <v>2277</v>
      </c>
      <c r="AC244" s="476"/>
      <c r="AD244" s="476"/>
      <c r="AE244" s="476"/>
      <c r="AF244" s="476" t="s">
        <v>2278</v>
      </c>
      <c r="AG244" s="476" t="s">
        <v>2279</v>
      </c>
      <c r="AH244" s="476" t="s">
        <v>2280</v>
      </c>
    </row>
    <row r="245" spans="1:34" x14ac:dyDescent="0.35">
      <c r="A245" s="334"/>
      <c r="B245" s="410"/>
      <c r="C245" s="410"/>
      <c r="Q245" s="694"/>
      <c r="R245" s="1189" t="s">
        <v>1081</v>
      </c>
      <c r="S245" s="1190"/>
      <c r="T245" s="1190" t="s">
        <v>2258</v>
      </c>
      <c r="U245" s="1190" t="s">
        <v>2258</v>
      </c>
      <c r="V245" s="1191" t="s">
        <v>2258</v>
      </c>
      <c r="X245" s="1189" t="s">
        <v>1081</v>
      </c>
      <c r="Y245" s="1190"/>
      <c r="Z245" s="1206" t="s">
        <v>2257</v>
      </c>
      <c r="AA245" s="1206" t="s">
        <v>2257</v>
      </c>
      <c r="AB245" s="1207" t="s">
        <v>2257</v>
      </c>
      <c r="AC245" s="296" t="s">
        <v>2269</v>
      </c>
      <c r="AD245" s="296"/>
      <c r="AE245" s="1201" t="s">
        <v>1081</v>
      </c>
      <c r="AF245" s="1351" t="s">
        <v>2259</v>
      </c>
      <c r="AG245" s="1352"/>
      <c r="AH245" s="1353"/>
    </row>
    <row r="246" spans="1:34" x14ac:dyDescent="0.35">
      <c r="A246" s="410"/>
      <c r="B246" s="334" t="str">
        <f>CONCATENATE($A$4," at Proposed Demand Rates")</f>
        <v>SC9 Rate III at Proposed Demand Rates</v>
      </c>
      <c r="C246" s="410"/>
      <c r="D246" s="410"/>
      <c r="E246" s="410"/>
      <c r="F246" s="410"/>
      <c r="G246" s="410"/>
      <c r="H246" s="410"/>
      <c r="I246" s="486" t="s">
        <v>1158</v>
      </c>
      <c r="J246" s="406"/>
      <c r="M246" s="462" t="s">
        <v>10</v>
      </c>
      <c r="N246" s="3"/>
      <c r="O246" s="3"/>
      <c r="Q246" s="694"/>
      <c r="R246" s="1192"/>
      <c r="S246" s="1193" t="s">
        <v>2255</v>
      </c>
      <c r="T246" s="1193" t="s">
        <v>2255</v>
      </c>
      <c r="U246" s="1193" t="s">
        <v>1158</v>
      </c>
      <c r="V246" s="1194" t="s">
        <v>2256</v>
      </c>
      <c r="X246" s="1192"/>
      <c r="Y246" s="1193" t="s">
        <v>2255</v>
      </c>
      <c r="Z246" s="1193" t="s">
        <v>2255</v>
      </c>
      <c r="AA246" s="1193" t="s">
        <v>1158</v>
      </c>
      <c r="AB246" s="1194" t="s">
        <v>2256</v>
      </c>
      <c r="AF246" s="486" t="s">
        <v>2255</v>
      </c>
      <c r="AG246" s="486" t="s">
        <v>1158</v>
      </c>
      <c r="AH246" s="486" t="s">
        <v>2212</v>
      </c>
    </row>
    <row r="247" spans="1:34" x14ac:dyDescent="0.35">
      <c r="A247" s="3"/>
      <c r="B247" s="410"/>
      <c r="C247" s="410"/>
      <c r="D247" s="410"/>
      <c r="E247" s="410"/>
      <c r="F247" s="410"/>
      <c r="G247" s="410"/>
      <c r="H247" s="30" t="s">
        <v>26</v>
      </c>
      <c r="I247" s="30" t="s">
        <v>25</v>
      </c>
      <c r="J247" s="410"/>
      <c r="K247" s="30" t="s">
        <v>11</v>
      </c>
      <c r="L247" s="3"/>
      <c r="M247" s="30" t="s">
        <v>6</v>
      </c>
      <c r="N247" s="3"/>
      <c r="O247" s="3"/>
      <c r="Q247" s="694"/>
      <c r="R247" s="1195" t="s">
        <v>42</v>
      </c>
      <c r="S247" s="1185" t="s">
        <v>25</v>
      </c>
      <c r="T247" s="1185" t="s">
        <v>6</v>
      </c>
      <c r="U247" s="1185" t="s">
        <v>6</v>
      </c>
      <c r="V247" s="1196" t="s">
        <v>6</v>
      </c>
      <c r="X247" s="1195" t="s">
        <v>42</v>
      </c>
      <c r="Y247" s="1185" t="s">
        <v>25</v>
      </c>
      <c r="Z247" s="1185" t="s">
        <v>6</v>
      </c>
      <c r="AA247" s="1185" t="s">
        <v>6</v>
      </c>
      <c r="AB247" s="1196" t="s">
        <v>6</v>
      </c>
      <c r="AE247" s="30" t="s">
        <v>42</v>
      </c>
      <c r="AF247" s="30" t="s">
        <v>526</v>
      </c>
      <c r="AG247" s="30" t="s">
        <v>526</v>
      </c>
      <c r="AH247" s="30" t="s">
        <v>526</v>
      </c>
    </row>
    <row r="248" spans="1:34" x14ac:dyDescent="0.35">
      <c r="B248" s="410" t="s">
        <v>656</v>
      </c>
      <c r="C248" s="835" t="s">
        <v>667</v>
      </c>
      <c r="D248" s="1158" t="s">
        <v>1174</v>
      </c>
      <c r="E248" s="1168"/>
      <c r="F248" s="1158"/>
      <c r="G248" s="1133"/>
      <c r="H248" s="1159">
        <f>$X10+$X20</f>
        <v>18466</v>
      </c>
      <c r="K248" s="1157">
        <f>K176</f>
        <v>12.45</v>
      </c>
      <c r="L248" s="3"/>
      <c r="M248" s="1164">
        <f>ROUND(H248*K248,0)</f>
        <v>229902</v>
      </c>
      <c r="N248" s="3"/>
      <c r="O248" s="3"/>
      <c r="Q248" s="694"/>
      <c r="R248" s="1192" t="s">
        <v>2260</v>
      </c>
      <c r="S248" s="1197">
        <f>$W10+$W20</f>
        <v>515206.99999999994</v>
      </c>
      <c r="T248" s="26">
        <f>S248*K248</f>
        <v>6414327.1499999985</v>
      </c>
      <c r="U248" s="1198">
        <f>M248</f>
        <v>229902</v>
      </c>
      <c r="V248" s="1199">
        <f t="shared" ref="V248:V253" si="11">U248+T248</f>
        <v>6644229.1499999985</v>
      </c>
      <c r="X248" s="1192" t="s">
        <v>2260</v>
      </c>
      <c r="Y248" s="1197">
        <v>515206.99999999994</v>
      </c>
      <c r="Z248" s="26">
        <v>126179346.37</v>
      </c>
      <c r="AA248" s="1198">
        <v>4522508</v>
      </c>
      <c r="AB248" s="1199">
        <v>130701854.37</v>
      </c>
      <c r="AC248" s="130">
        <f>AB248-V248</f>
        <v>124057625.22</v>
      </c>
      <c r="AD248" s="130"/>
      <c r="AE248" t="s">
        <v>2260</v>
      </c>
      <c r="AF248" s="130">
        <f t="shared" ref="AF248:AG254" si="12">Z248-T248</f>
        <v>119765019.22</v>
      </c>
      <c r="AG248" s="130">
        <f t="shared" si="12"/>
        <v>4292606</v>
      </c>
      <c r="AH248" s="130">
        <f>AF248+AG248</f>
        <v>124057625.22</v>
      </c>
    </row>
    <row r="249" spans="1:34" x14ac:dyDescent="0.35">
      <c r="B249" s="410"/>
      <c r="C249" s="410" t="s">
        <v>42</v>
      </c>
      <c r="D249" s="56" t="str">
        <f>$C$73</f>
        <v>D1</v>
      </c>
      <c r="E249" s="36"/>
      <c r="F249" s="56" t="str">
        <f>$D$73</f>
        <v>8-6</v>
      </c>
      <c r="G249" s="3"/>
      <c r="H249" s="3"/>
      <c r="I249" s="105">
        <f>$H$81</f>
        <v>1379818</v>
      </c>
      <c r="J249" s="3"/>
      <c r="K249" s="35">
        <f>K177</f>
        <v>9.2800000000000011</v>
      </c>
      <c r="L249" s="3"/>
      <c r="M249" s="26">
        <f>ROUND(K249*I249,0)</f>
        <v>12804711</v>
      </c>
      <c r="N249" s="3"/>
      <c r="O249" s="3"/>
      <c r="Q249" s="694"/>
      <c r="R249" s="1192" t="s">
        <v>640</v>
      </c>
      <c r="S249" s="105">
        <f>$G$81</f>
        <v>16829267.98</v>
      </c>
      <c r="T249" s="26">
        <f t="shared" ref="T249:T251" si="13">S249*K249</f>
        <v>156175606.85440001</v>
      </c>
      <c r="U249" s="1198">
        <f t="shared" ref="U249:U253" si="14">M249</f>
        <v>12804711</v>
      </c>
      <c r="V249" s="1199">
        <f t="shared" si="11"/>
        <v>168980317.85440001</v>
      </c>
      <c r="X249" s="1192" t="s">
        <v>640</v>
      </c>
      <c r="Y249" s="105">
        <v>16829267.98</v>
      </c>
      <c r="Z249" s="26">
        <v>122012192.855</v>
      </c>
      <c r="AA249" s="1198">
        <v>10003681</v>
      </c>
      <c r="AB249" s="1199">
        <v>132015873.855</v>
      </c>
      <c r="AC249" s="130">
        <f t="shared" ref="AC249:AC254" si="15">AB249-V249</f>
        <v>-36964443.999400005</v>
      </c>
      <c r="AD249" s="130"/>
      <c r="AE249" t="s">
        <v>640</v>
      </c>
      <c r="AF249" s="130">
        <f t="shared" si="12"/>
        <v>-34163413.999400005</v>
      </c>
      <c r="AG249" s="130">
        <f t="shared" si="12"/>
        <v>-2801030</v>
      </c>
      <c r="AH249" s="130">
        <f t="shared" ref="AH249:AH254" si="16">AF249+AG249</f>
        <v>-36964443.999400005</v>
      </c>
    </row>
    <row r="250" spans="1:34" x14ac:dyDescent="0.35">
      <c r="B250" s="410"/>
      <c r="C250" s="410"/>
      <c r="D250" s="56" t="str">
        <f>$C$74</f>
        <v>D2</v>
      </c>
      <c r="E250" s="36"/>
      <c r="F250" s="56" t="str">
        <f>$D$74</f>
        <v>8-10</v>
      </c>
      <c r="G250" s="3"/>
      <c r="H250" s="3"/>
      <c r="I250" s="105">
        <f>$H$83</f>
        <v>1390843</v>
      </c>
      <c r="J250" s="3"/>
      <c r="K250" s="35">
        <f>K178</f>
        <v>19.91</v>
      </c>
      <c r="L250" s="3"/>
      <c r="M250" s="26">
        <f>ROUND(K250*I250,0)</f>
        <v>27691684</v>
      </c>
      <c r="N250" s="3"/>
      <c r="O250" s="3"/>
      <c r="Q250" s="694"/>
      <c r="R250" s="1192" t="s">
        <v>641</v>
      </c>
      <c r="S250" s="105">
        <f>$G$83</f>
        <v>16995328.360000003</v>
      </c>
      <c r="T250" s="26">
        <f t="shared" si="13"/>
        <v>338376987.64760005</v>
      </c>
      <c r="U250" s="1198">
        <f t="shared" si="14"/>
        <v>27691684</v>
      </c>
      <c r="V250" s="1199">
        <f t="shared" si="11"/>
        <v>366068671.64760005</v>
      </c>
      <c r="X250" s="1192" t="s">
        <v>641</v>
      </c>
      <c r="Y250" s="105">
        <v>16995328.360000003</v>
      </c>
      <c r="Z250" s="26">
        <v>264277355.99800006</v>
      </c>
      <c r="AA250" s="1198">
        <v>21627609</v>
      </c>
      <c r="AB250" s="1199">
        <v>285904964.99800003</v>
      </c>
      <c r="AC250" s="130">
        <f t="shared" si="15"/>
        <v>-80163706.649600029</v>
      </c>
      <c r="AD250" s="130"/>
      <c r="AE250" t="s">
        <v>641</v>
      </c>
      <c r="AF250" s="130">
        <f t="shared" si="12"/>
        <v>-74099631.649599999</v>
      </c>
      <c r="AG250" s="130">
        <f t="shared" si="12"/>
        <v>-6064075</v>
      </c>
      <c r="AH250" s="130">
        <f t="shared" si="16"/>
        <v>-80163706.649599999</v>
      </c>
    </row>
    <row r="251" spans="1:34" x14ac:dyDescent="0.35">
      <c r="B251" s="410"/>
      <c r="C251" s="410"/>
      <c r="D251" s="56" t="str">
        <f>$C$75</f>
        <v>D3</v>
      </c>
      <c r="E251" s="36"/>
      <c r="F251" s="56" t="str">
        <f>$D$75</f>
        <v>All Day</v>
      </c>
      <c r="G251" s="3"/>
      <c r="H251" s="3"/>
      <c r="I251" s="351">
        <f>$H$85</f>
        <v>1392081</v>
      </c>
      <c r="J251" s="3"/>
      <c r="K251" s="35">
        <f>K179</f>
        <v>19.04</v>
      </c>
      <c r="L251" s="3"/>
      <c r="M251" s="37">
        <f>ROUND(K251*I251,0)</f>
        <v>26505222</v>
      </c>
      <c r="N251" s="3"/>
      <c r="O251" s="3"/>
      <c r="Q251" s="694"/>
      <c r="R251" s="1192" t="s">
        <v>642</v>
      </c>
      <c r="S251" s="351">
        <f>$G$85</f>
        <v>17195520.75</v>
      </c>
      <c r="T251" s="26">
        <f t="shared" si="13"/>
        <v>327402715.07999998</v>
      </c>
      <c r="U251" s="1198">
        <f t="shared" si="14"/>
        <v>26505222</v>
      </c>
      <c r="V251" s="1199">
        <f t="shared" si="11"/>
        <v>353907937.07999998</v>
      </c>
      <c r="X251" s="1192" t="s">
        <v>642</v>
      </c>
      <c r="Y251" s="351">
        <v>17195520.75</v>
      </c>
      <c r="Z251" s="26">
        <v>255697393.55250001</v>
      </c>
      <c r="AA251" s="1198">
        <v>20700244</v>
      </c>
      <c r="AB251" s="1199">
        <v>276397637.55250001</v>
      </c>
      <c r="AC251" s="130">
        <f t="shared" si="15"/>
        <v>-77510299.527499974</v>
      </c>
      <c r="AD251" s="130"/>
      <c r="AE251" t="s">
        <v>642</v>
      </c>
      <c r="AF251" s="379">
        <f t="shared" si="12"/>
        <v>-71705321.527499974</v>
      </c>
      <c r="AG251" s="379">
        <f t="shared" si="12"/>
        <v>-5804978</v>
      </c>
      <c r="AH251" s="379">
        <f t="shared" si="16"/>
        <v>-77510299.527499974</v>
      </c>
    </row>
    <row r="252" spans="1:34" x14ac:dyDescent="0.35">
      <c r="B252" s="410"/>
      <c r="C252" s="410"/>
      <c r="D252" s="36"/>
      <c r="E252" s="36"/>
      <c r="F252" s="36"/>
      <c r="G252" s="3"/>
      <c r="H252" s="3"/>
      <c r="I252" s="28">
        <f>I249+I250+I251</f>
        <v>4162742</v>
      </c>
      <c r="J252" s="3"/>
      <c r="K252" s="35"/>
      <c r="L252" s="3"/>
      <c r="M252" s="832">
        <f>M248+M249+M250+M251</f>
        <v>67231519</v>
      </c>
      <c r="N252" s="34"/>
      <c r="O252" s="36" t="s">
        <v>10</v>
      </c>
      <c r="Q252" s="694"/>
      <c r="R252" s="1192" t="s">
        <v>2261</v>
      </c>
      <c r="S252" s="29">
        <f>S249+S250+S251</f>
        <v>51020117.090000004</v>
      </c>
      <c r="T252" s="345">
        <f>SUM(T248:T251)</f>
        <v>828369636.73200011</v>
      </c>
      <c r="U252" s="1198">
        <f>SUM(U248:U251)</f>
        <v>67231519</v>
      </c>
      <c r="V252" s="1199">
        <f t="shared" si="11"/>
        <v>895601155.73200011</v>
      </c>
      <c r="X252" s="1192" t="s">
        <v>2261</v>
      </c>
      <c r="Y252" s="29">
        <v>51020117.090000004</v>
      </c>
      <c r="Z252" s="345">
        <v>768166288.77550006</v>
      </c>
      <c r="AA252" s="1198">
        <v>56854042</v>
      </c>
      <c r="AB252" s="1199">
        <v>825020330.77550006</v>
      </c>
      <c r="AC252" s="130">
        <f t="shared" si="15"/>
        <v>-70580824.956500053</v>
      </c>
      <c r="AD252" s="130"/>
      <c r="AE252" t="s">
        <v>2261</v>
      </c>
      <c r="AF252" s="130">
        <f t="shared" si="12"/>
        <v>-60203347.956500053</v>
      </c>
      <c r="AG252" s="130">
        <f t="shared" si="12"/>
        <v>-10377477</v>
      </c>
      <c r="AH252" s="130">
        <f t="shared" si="16"/>
        <v>-70580824.956500053</v>
      </c>
    </row>
    <row r="253" spans="1:34" x14ac:dyDescent="0.35">
      <c r="B253" s="410"/>
      <c r="C253" s="410"/>
      <c r="D253" s="36"/>
      <c r="E253" s="36"/>
      <c r="F253" s="36"/>
      <c r="G253" s="28"/>
      <c r="H253" s="3"/>
      <c r="I253" s="28"/>
      <c r="J253" s="3"/>
      <c r="K253" s="35"/>
      <c r="L253" s="33" t="s">
        <v>22</v>
      </c>
      <c r="M253" s="34">
        <f>ROUND(M252*(O253-1),0)</f>
        <v>801400</v>
      </c>
      <c r="N253" s="33" t="s">
        <v>23</v>
      </c>
      <c r="O253" s="40">
        <f>L$10</f>
        <v>1.0119199999999999</v>
      </c>
      <c r="Q253" s="694"/>
      <c r="R253" s="1192" t="s">
        <v>238</v>
      </c>
      <c r="S253" s="29"/>
      <c r="T253" s="345">
        <f>T252*(O253-1)</f>
        <v>9874166.069845384</v>
      </c>
      <c r="U253" s="1198">
        <f t="shared" si="14"/>
        <v>801400</v>
      </c>
      <c r="V253" s="1199">
        <f t="shared" si="11"/>
        <v>10675566.069845384</v>
      </c>
      <c r="X253" s="1192" t="s">
        <v>238</v>
      </c>
      <c r="Y253" s="29"/>
      <c r="Z253" s="345">
        <v>9156542.162203908</v>
      </c>
      <c r="AA253" s="1198">
        <v>677700</v>
      </c>
      <c r="AB253" s="1199">
        <v>9834242.162203908</v>
      </c>
      <c r="AC253" s="130">
        <f t="shared" si="15"/>
        <v>-841323.90764147602</v>
      </c>
      <c r="AD253" s="130"/>
      <c r="AE253" t="s">
        <v>238</v>
      </c>
      <c r="AF253" s="379">
        <f t="shared" si="12"/>
        <v>-717623.90764147602</v>
      </c>
      <c r="AG253" s="379">
        <f t="shared" si="12"/>
        <v>-123700</v>
      </c>
      <c r="AH253" s="379">
        <f t="shared" si="16"/>
        <v>-841323.90764147602</v>
      </c>
    </row>
    <row r="254" spans="1:34" x14ac:dyDescent="0.35">
      <c r="B254" s="410"/>
      <c r="C254" s="410"/>
      <c r="D254" s="36"/>
      <c r="E254" s="36"/>
      <c r="F254" s="36"/>
      <c r="G254" s="28"/>
      <c r="H254" s="3"/>
      <c r="I254" s="28"/>
      <c r="J254" s="3"/>
      <c r="K254" s="35"/>
      <c r="L254" s="33" t="s">
        <v>21</v>
      </c>
      <c r="M254" s="32">
        <f>M252+M253</f>
        <v>68032919</v>
      </c>
      <c r="N254" s="8"/>
      <c r="O254" s="3"/>
      <c r="Q254" s="694"/>
      <c r="R254" s="1192" t="s">
        <v>2262</v>
      </c>
      <c r="S254" s="29"/>
      <c r="T254" s="345">
        <f>T252+T253</f>
        <v>838243802.80184555</v>
      </c>
      <c r="U254" s="1198">
        <f>U252+U253</f>
        <v>68032919</v>
      </c>
      <c r="V254" s="1199">
        <f>V252+V253</f>
        <v>906276721.80184555</v>
      </c>
      <c r="X254" s="1192" t="s">
        <v>2262</v>
      </c>
      <c r="Y254" s="29"/>
      <c r="Z254" s="345">
        <v>777322830.93770397</v>
      </c>
      <c r="AA254" s="1198">
        <v>57531742</v>
      </c>
      <c r="AB254" s="1199">
        <v>834854572.93770397</v>
      </c>
      <c r="AC254" s="130">
        <f t="shared" si="15"/>
        <v>-71422148.864141583</v>
      </c>
      <c r="AD254" s="130"/>
      <c r="AE254" t="s">
        <v>2262</v>
      </c>
      <c r="AF254" s="130">
        <f t="shared" si="12"/>
        <v>-60920971.864141583</v>
      </c>
      <c r="AG254" s="130">
        <f t="shared" si="12"/>
        <v>-10501177</v>
      </c>
      <c r="AH254" s="130">
        <f t="shared" si="16"/>
        <v>-71422148.864141583</v>
      </c>
    </row>
    <row r="255" spans="1:34" x14ac:dyDescent="0.35">
      <c r="B255" s="410"/>
      <c r="C255" s="410"/>
      <c r="M255" s="3"/>
      <c r="N255" s="3"/>
      <c r="O255" s="3"/>
      <c r="Q255" s="694"/>
      <c r="R255" s="1192"/>
      <c r="S255" s="43"/>
      <c r="T255" s="43"/>
      <c r="U255" s="1200"/>
      <c r="V255" s="1201"/>
      <c r="X255" s="1192"/>
      <c r="Y255" s="43"/>
      <c r="Z255" s="43"/>
      <c r="AA255" s="1200"/>
      <c r="AB255" s="1201"/>
      <c r="AF255" s="1351" t="s">
        <v>2259</v>
      </c>
      <c r="AG255" s="1352"/>
      <c r="AH255" s="1353"/>
    </row>
    <row r="256" spans="1:34" x14ac:dyDescent="0.35">
      <c r="B256" s="410"/>
      <c r="C256" s="410"/>
      <c r="D256" s="3"/>
      <c r="E256" s="3"/>
      <c r="F256" s="3"/>
      <c r="G256" s="3"/>
      <c r="H256" s="3"/>
      <c r="I256" s="486" t="s">
        <v>1158</v>
      </c>
      <c r="J256" s="3"/>
      <c r="K256" s="3"/>
      <c r="L256" s="3"/>
      <c r="M256" s="462" t="s">
        <v>7</v>
      </c>
      <c r="N256" s="3"/>
      <c r="O256" s="3"/>
      <c r="Q256" s="694"/>
      <c r="R256" s="1192"/>
      <c r="S256" s="1193"/>
      <c r="T256" s="43"/>
      <c r="U256" s="1200"/>
      <c r="V256" s="1201"/>
      <c r="X256" s="1192"/>
      <c r="Y256" s="1193"/>
      <c r="Z256" s="43"/>
      <c r="AA256" s="1200"/>
      <c r="AB256" s="1201"/>
      <c r="AF256" s="486" t="s">
        <v>2255</v>
      </c>
      <c r="AG256" s="486" t="s">
        <v>1158</v>
      </c>
      <c r="AH256" s="486" t="s">
        <v>2212</v>
      </c>
    </row>
    <row r="257" spans="1:34" x14ac:dyDescent="0.35">
      <c r="B257" s="410"/>
      <c r="C257" s="410"/>
      <c r="D257" s="3"/>
      <c r="E257" s="3"/>
      <c r="F257" s="3"/>
      <c r="G257" s="3"/>
      <c r="H257" s="30" t="s">
        <v>26</v>
      </c>
      <c r="I257" s="30" t="s">
        <v>25</v>
      </c>
      <c r="J257" s="3"/>
      <c r="K257" s="30" t="s">
        <v>11</v>
      </c>
      <c r="L257" s="3"/>
      <c r="M257" s="30" t="s">
        <v>6</v>
      </c>
      <c r="N257" s="3"/>
      <c r="O257" s="3"/>
      <c r="Q257" s="694"/>
      <c r="R257" s="1195" t="s">
        <v>40</v>
      </c>
      <c r="S257" s="1185" t="s">
        <v>25</v>
      </c>
      <c r="T257" s="43"/>
      <c r="U257" s="1200"/>
      <c r="V257" s="1201"/>
      <c r="X257" s="1195" t="s">
        <v>40</v>
      </c>
      <c r="Y257" s="1185" t="s">
        <v>25</v>
      </c>
      <c r="Z257" s="43"/>
      <c r="AA257" s="1200"/>
      <c r="AB257" s="1201"/>
      <c r="AE257" s="30" t="s">
        <v>40</v>
      </c>
      <c r="AF257" s="30" t="s">
        <v>526</v>
      </c>
      <c r="AG257" s="30" t="s">
        <v>526</v>
      </c>
      <c r="AH257" s="30" t="s">
        <v>526</v>
      </c>
    </row>
    <row r="258" spans="1:34" x14ac:dyDescent="0.35">
      <c r="B258" s="410"/>
      <c r="C258" s="410"/>
      <c r="D258" s="1158" t="s">
        <v>1174</v>
      </c>
      <c r="E258" s="1168"/>
      <c r="F258" s="1158"/>
      <c r="G258" s="1133"/>
      <c r="H258" s="1159">
        <f>$X15+$X25</f>
        <v>36927</v>
      </c>
      <c r="J258" s="3"/>
      <c r="K258" s="1157">
        <f>K186</f>
        <v>12.45</v>
      </c>
      <c r="L258" s="3"/>
      <c r="M258" s="1164">
        <f>ROUND(H258*K258,0)</f>
        <v>459741</v>
      </c>
      <c r="N258" s="3"/>
      <c r="O258" s="3"/>
      <c r="Q258" s="694"/>
      <c r="R258" s="1192" t="s">
        <v>2260</v>
      </c>
      <c r="S258" s="1197">
        <f>$W15+$W25</f>
        <v>1029751</v>
      </c>
      <c r="T258" s="26">
        <f>S258*K258</f>
        <v>12820399.949999999</v>
      </c>
      <c r="U258" s="1198">
        <f>M258</f>
        <v>459741</v>
      </c>
      <c r="V258" s="1199">
        <f t="shared" ref="V258:V263" si="17">U258+T258</f>
        <v>13280140.949999999</v>
      </c>
      <c r="W258" s="130"/>
      <c r="X258" s="1192" t="s">
        <v>2260</v>
      </c>
      <c r="Y258" s="1197">
        <v>1029751</v>
      </c>
      <c r="Z258" s="26">
        <v>252196317.41000003</v>
      </c>
      <c r="AA258" s="1198">
        <v>9043792</v>
      </c>
      <c r="AB258" s="1199">
        <v>261240109.41000003</v>
      </c>
      <c r="AC258" s="130">
        <f t="shared" ref="AC258:AC264" si="18">AB258-V258</f>
        <v>247959968.46000004</v>
      </c>
      <c r="AD258" s="130"/>
      <c r="AE258" t="s">
        <v>2260</v>
      </c>
      <c r="AF258" s="130">
        <f t="shared" ref="AF258:AG264" si="19">Z258-T258</f>
        <v>239375917.46000004</v>
      </c>
      <c r="AG258" s="130">
        <f t="shared" si="19"/>
        <v>8584051</v>
      </c>
      <c r="AH258" s="130">
        <f t="shared" ref="AH258:AH264" si="20">AF258+AG258</f>
        <v>247959968.46000004</v>
      </c>
    </row>
    <row r="259" spans="1:34" x14ac:dyDescent="0.35">
      <c r="B259" s="410"/>
      <c r="C259" s="410" t="s">
        <v>40</v>
      </c>
      <c r="D259" s="56" t="str">
        <f>$C$73</f>
        <v>D1</v>
      </c>
      <c r="E259" s="36"/>
      <c r="F259" s="56" t="str">
        <f>$D$73</f>
        <v>8-6</v>
      </c>
      <c r="G259" s="3"/>
      <c r="H259" s="3"/>
      <c r="I259" s="105">
        <f>$H$82</f>
        <v>0</v>
      </c>
      <c r="J259" s="3"/>
      <c r="K259" s="35">
        <f>K187</f>
        <v>0</v>
      </c>
      <c r="L259" s="3"/>
      <c r="M259" s="26">
        <f>ROUND(K259*I259,0)</f>
        <v>0</v>
      </c>
      <c r="N259" s="3"/>
      <c r="O259" s="3"/>
      <c r="Q259" s="694"/>
      <c r="R259" s="1192" t="s">
        <v>640</v>
      </c>
      <c r="S259" s="105">
        <f>$G$82</f>
        <v>0</v>
      </c>
      <c r="T259" s="26">
        <f t="shared" ref="T259:T261" si="21">S259*K259</f>
        <v>0</v>
      </c>
      <c r="U259" s="1198">
        <f t="shared" ref="U259:U263" si="22">M259</f>
        <v>0</v>
      </c>
      <c r="V259" s="1199">
        <f t="shared" si="17"/>
        <v>0</v>
      </c>
      <c r="W259" s="130"/>
      <c r="X259" s="1192" t="s">
        <v>640</v>
      </c>
      <c r="Y259" s="105">
        <v>0</v>
      </c>
      <c r="Z259" s="26">
        <v>0</v>
      </c>
      <c r="AA259" s="1198">
        <v>0</v>
      </c>
      <c r="AB259" s="1199">
        <v>0</v>
      </c>
      <c r="AC259" s="130">
        <f t="shared" si="18"/>
        <v>0</v>
      </c>
      <c r="AD259" s="130"/>
      <c r="AE259" t="s">
        <v>640</v>
      </c>
      <c r="AF259" s="130">
        <f t="shared" si="19"/>
        <v>0</v>
      </c>
      <c r="AG259" s="130">
        <f t="shared" si="19"/>
        <v>0</v>
      </c>
      <c r="AH259" s="130">
        <f t="shared" si="20"/>
        <v>0</v>
      </c>
    </row>
    <row r="260" spans="1:34" x14ac:dyDescent="0.35">
      <c r="B260" s="410"/>
      <c r="C260" s="410"/>
      <c r="D260" s="56" t="str">
        <f>$C$74</f>
        <v>D2</v>
      </c>
      <c r="E260" s="36"/>
      <c r="F260" s="56" t="str">
        <f>$D$74</f>
        <v>8-10</v>
      </c>
      <c r="G260" s="3"/>
      <c r="H260" s="3"/>
      <c r="I260" s="105">
        <f>$H$84</f>
        <v>2488591</v>
      </c>
      <c r="J260" s="3"/>
      <c r="K260" s="35">
        <f>K188</f>
        <v>12.89</v>
      </c>
      <c r="L260" s="3"/>
      <c r="M260" s="26">
        <f>ROUND(K260*I260,0)</f>
        <v>32077938</v>
      </c>
      <c r="N260" s="3"/>
      <c r="O260" s="3"/>
      <c r="Q260" s="694"/>
      <c r="R260" s="1192" t="s">
        <v>641</v>
      </c>
      <c r="S260" s="105">
        <f>$G$84</f>
        <v>29223451.02</v>
      </c>
      <c r="T260" s="26">
        <f t="shared" si="21"/>
        <v>376690283.64780003</v>
      </c>
      <c r="U260" s="1198">
        <f t="shared" si="22"/>
        <v>32077938</v>
      </c>
      <c r="V260" s="1199">
        <f t="shared" si="17"/>
        <v>408768221.64780003</v>
      </c>
      <c r="X260" s="1192" t="s">
        <v>641</v>
      </c>
      <c r="Y260" s="105">
        <v>29223451.02</v>
      </c>
      <c r="Z260" s="26">
        <v>294280151.77139997</v>
      </c>
      <c r="AA260" s="1198">
        <v>25060111</v>
      </c>
      <c r="AB260" s="1199">
        <v>319340262.77139997</v>
      </c>
      <c r="AC260" s="130">
        <f t="shared" si="18"/>
        <v>-89427958.876400054</v>
      </c>
      <c r="AD260" s="130"/>
      <c r="AE260" t="s">
        <v>641</v>
      </c>
      <c r="AF260" s="130">
        <f t="shared" si="19"/>
        <v>-82410131.876400054</v>
      </c>
      <c r="AG260" s="130">
        <f t="shared" si="19"/>
        <v>-7017827</v>
      </c>
      <c r="AH260" s="130">
        <f t="shared" si="20"/>
        <v>-89427958.876400054</v>
      </c>
    </row>
    <row r="261" spans="1:34" x14ac:dyDescent="0.35">
      <c r="B261" s="410"/>
      <c r="C261" s="410"/>
      <c r="D261" s="56" t="str">
        <f>$C$75</f>
        <v>D3</v>
      </c>
      <c r="E261" s="36"/>
      <c r="F261" s="56" t="str">
        <f>$D$75</f>
        <v>All Day</v>
      </c>
      <c r="G261" s="3"/>
      <c r="H261" s="3"/>
      <c r="I261" s="351">
        <f>$H$86</f>
        <v>2498952</v>
      </c>
      <c r="J261" s="3"/>
      <c r="K261" s="35">
        <f>K189</f>
        <v>5.4600000000000009</v>
      </c>
      <c r="L261" s="3"/>
      <c r="M261" s="37">
        <f>ROUND(K261*I261,0)</f>
        <v>13644278</v>
      </c>
      <c r="N261" s="3"/>
      <c r="O261" s="3"/>
      <c r="Q261" s="694"/>
      <c r="R261" s="1192" t="s">
        <v>642</v>
      </c>
      <c r="S261" s="351">
        <f>$G$86</f>
        <v>29725071.23</v>
      </c>
      <c r="T261" s="26">
        <f t="shared" si="21"/>
        <v>162298888.91580003</v>
      </c>
      <c r="U261" s="1198">
        <f t="shared" si="22"/>
        <v>13644278</v>
      </c>
      <c r="V261" s="1199">
        <f t="shared" si="17"/>
        <v>175943166.91580003</v>
      </c>
      <c r="X261" s="1192" t="s">
        <v>642</v>
      </c>
      <c r="Y261" s="351">
        <v>29725071.23</v>
      </c>
      <c r="Z261" s="26">
        <v>126628803.43980002</v>
      </c>
      <c r="AA261" s="1198">
        <v>10645536</v>
      </c>
      <c r="AB261" s="1199">
        <v>137274339.43980002</v>
      </c>
      <c r="AC261" s="130">
        <f t="shared" si="18"/>
        <v>-38668827.476000011</v>
      </c>
      <c r="AD261" s="130"/>
      <c r="AE261" t="s">
        <v>642</v>
      </c>
      <c r="AF261" s="379">
        <f t="shared" si="19"/>
        <v>-35670085.476000011</v>
      </c>
      <c r="AG261" s="379">
        <f t="shared" si="19"/>
        <v>-2998742</v>
      </c>
      <c r="AH261" s="379">
        <f t="shared" si="20"/>
        <v>-38668827.476000011</v>
      </c>
    </row>
    <row r="262" spans="1:34" x14ac:dyDescent="0.35">
      <c r="B262" s="410"/>
      <c r="C262" s="410"/>
      <c r="D262" s="36"/>
      <c r="E262" s="36"/>
      <c r="F262" s="36"/>
      <c r="G262" s="3"/>
      <c r="H262" s="3"/>
      <c r="I262" s="28">
        <f>I259+I260+I261</f>
        <v>4987543</v>
      </c>
      <c r="J262" s="3"/>
      <c r="K262" s="35"/>
      <c r="L262" s="3"/>
      <c r="M262" s="832">
        <f>M258+M259+M260+M261</f>
        <v>46181957</v>
      </c>
      <c r="N262" s="3"/>
      <c r="O262" s="36" t="s">
        <v>7</v>
      </c>
      <c r="Q262" s="694"/>
      <c r="R262" s="1192" t="s">
        <v>2261</v>
      </c>
      <c r="S262" s="29">
        <f>S259+S260+S261</f>
        <v>58948522.25</v>
      </c>
      <c r="T262" s="345">
        <f>SUM(T258:T261)</f>
        <v>551809572.51360011</v>
      </c>
      <c r="U262" s="1198">
        <f>SUM(U258:U261)</f>
        <v>46181957</v>
      </c>
      <c r="V262" s="1199">
        <f t="shared" si="17"/>
        <v>597991529.51360011</v>
      </c>
      <c r="X262" s="1192" t="s">
        <v>2261</v>
      </c>
      <c r="Y262" s="29">
        <v>58948522.25</v>
      </c>
      <c r="Z262" s="345">
        <v>673105272.62120008</v>
      </c>
      <c r="AA262" s="1198">
        <v>44749439</v>
      </c>
      <c r="AB262" s="1199">
        <v>717854711.62120008</v>
      </c>
      <c r="AC262" s="130">
        <f t="shared" si="18"/>
        <v>119863182.10759997</v>
      </c>
      <c r="AD262" s="130"/>
      <c r="AE262" t="s">
        <v>2261</v>
      </c>
      <c r="AF262" s="130">
        <f t="shared" si="19"/>
        <v>121295700.10759997</v>
      </c>
      <c r="AG262" s="130">
        <f t="shared" si="19"/>
        <v>-1432518</v>
      </c>
      <c r="AH262" s="130">
        <f t="shared" si="20"/>
        <v>119863182.10759997</v>
      </c>
    </row>
    <row r="263" spans="1:34" x14ac:dyDescent="0.35">
      <c r="B263" s="410"/>
      <c r="C263" s="410"/>
      <c r="D263" s="36"/>
      <c r="E263" s="36"/>
      <c r="F263" s="36"/>
      <c r="G263" s="3"/>
      <c r="H263" s="3"/>
      <c r="I263" s="28"/>
      <c r="J263" s="3"/>
      <c r="K263" s="35"/>
      <c r="L263" s="33" t="s">
        <v>22</v>
      </c>
      <c r="M263" s="34">
        <f>ROUND(M262*(O263-1),0)</f>
        <v>492761</v>
      </c>
      <c r="N263" s="33" t="s">
        <v>23</v>
      </c>
      <c r="O263" s="40">
        <f>L$11</f>
        <v>1.01067</v>
      </c>
      <c r="Q263" s="694"/>
      <c r="R263" s="1192" t="s">
        <v>238</v>
      </c>
      <c r="S263" s="43"/>
      <c r="T263" s="345">
        <f>T262*(O263-1)</f>
        <v>5887808.1387200896</v>
      </c>
      <c r="U263" s="1198">
        <f t="shared" si="22"/>
        <v>492761</v>
      </c>
      <c r="V263" s="1199">
        <f t="shared" si="17"/>
        <v>6380569.1387200896</v>
      </c>
      <c r="X263" s="1192" t="s">
        <v>238</v>
      </c>
      <c r="Y263" s="43"/>
      <c r="Z263" s="345">
        <v>7182033.2588681765</v>
      </c>
      <c r="AA263" s="1198">
        <v>477477</v>
      </c>
      <c r="AB263" s="1199">
        <v>7659510.2588681765</v>
      </c>
      <c r="AC263" s="130">
        <f t="shared" si="18"/>
        <v>1278941.1201480869</v>
      </c>
      <c r="AD263" s="130"/>
      <c r="AE263" t="s">
        <v>238</v>
      </c>
      <c r="AF263" s="379">
        <f t="shared" si="19"/>
        <v>1294225.1201480869</v>
      </c>
      <c r="AG263" s="379">
        <f t="shared" si="19"/>
        <v>-15284</v>
      </c>
      <c r="AH263" s="379">
        <f t="shared" si="20"/>
        <v>1278941.1201480869</v>
      </c>
    </row>
    <row r="264" spans="1:34" x14ac:dyDescent="0.35">
      <c r="B264" s="410"/>
      <c r="C264" s="410"/>
      <c r="D264" s="36"/>
      <c r="E264" s="36"/>
      <c r="F264" s="36"/>
      <c r="G264" s="28"/>
      <c r="H264" s="3"/>
      <c r="I264" s="28"/>
      <c r="J264" s="3"/>
      <c r="K264" s="35"/>
      <c r="L264" s="33" t="s">
        <v>21</v>
      </c>
      <c r="M264" s="32">
        <f>M262+M263</f>
        <v>46674718</v>
      </c>
      <c r="N264" s="8"/>
      <c r="O264" s="3"/>
      <c r="Q264" s="694"/>
      <c r="R264" s="1192" t="s">
        <v>2262</v>
      </c>
      <c r="S264" s="43"/>
      <c r="T264" s="345">
        <f>T262+T263</f>
        <v>557697380.65232015</v>
      </c>
      <c r="U264" s="1198">
        <f>U262+U263</f>
        <v>46674718</v>
      </c>
      <c r="V264" s="1199">
        <f>V262+V263</f>
        <v>604372098.65232015</v>
      </c>
      <c r="X264" s="1192" t="s">
        <v>2262</v>
      </c>
      <c r="Y264" s="43"/>
      <c r="Z264" s="345">
        <v>680287305.8800683</v>
      </c>
      <c r="AA264" s="1198">
        <v>45226916</v>
      </c>
      <c r="AB264" s="1199">
        <v>725514221.8800683</v>
      </c>
      <c r="AC264" s="130">
        <f t="shared" si="18"/>
        <v>121142123.22774816</v>
      </c>
      <c r="AD264" s="130"/>
      <c r="AE264" t="s">
        <v>2262</v>
      </c>
      <c r="AF264" s="130">
        <f t="shared" si="19"/>
        <v>122589925.22774816</v>
      </c>
      <c r="AG264" s="130">
        <f t="shared" si="19"/>
        <v>-1447802</v>
      </c>
      <c r="AH264" s="130">
        <f t="shared" si="20"/>
        <v>121142123.22774816</v>
      </c>
    </row>
    <row r="265" spans="1:34" x14ac:dyDescent="0.35">
      <c r="B265" s="410"/>
      <c r="C265" s="4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Q265" s="694"/>
      <c r="R265" s="1192"/>
      <c r="S265" s="43"/>
      <c r="T265" s="43"/>
      <c r="U265" s="1200"/>
      <c r="V265" s="1201"/>
      <c r="X265" s="1192"/>
      <c r="Y265" s="43"/>
      <c r="Z265" s="43"/>
      <c r="AA265" s="1200"/>
      <c r="AB265" s="1201"/>
      <c r="AC265" s="130"/>
      <c r="AD265" s="130"/>
    </row>
    <row r="266" spans="1:34" x14ac:dyDescent="0.35">
      <c r="B266" s="410"/>
      <c r="C266" s="837" t="str">
        <f>CONCATENATE($A$4," - Annual Demand Revenue Price-Out at Proposed Rates - Incl. EDB:")</f>
        <v>SC9 Rate III - Annual Demand Revenue Price-Out at Proposed Rates - Incl. EDB:</v>
      </c>
      <c r="D266" s="3"/>
      <c r="E266" s="3"/>
      <c r="F266" s="3"/>
      <c r="G266" s="3"/>
      <c r="H266" s="3"/>
      <c r="I266" s="3"/>
      <c r="J266" s="3"/>
      <c r="K266" s="3"/>
      <c r="L266" s="3"/>
      <c r="M266" s="32">
        <f>M254+M264</f>
        <v>114707637</v>
      </c>
      <c r="N266" s="468"/>
      <c r="O266" s="3"/>
      <c r="Q266" s="694"/>
      <c r="R266" s="1202" t="s">
        <v>2268</v>
      </c>
      <c r="S266" s="1203"/>
      <c r="T266" s="379">
        <f>T254+T264</f>
        <v>1395941183.4541657</v>
      </c>
      <c r="U266" s="1204">
        <f>U254+U264</f>
        <v>114707637</v>
      </c>
      <c r="V266" s="1205">
        <f>V254+V264</f>
        <v>1510648820.4541657</v>
      </c>
      <c r="W266" s="130"/>
      <c r="X266" s="1202" t="s">
        <v>2268</v>
      </c>
      <c r="Y266" s="1203"/>
      <c r="Z266" s="379">
        <v>1457610136.8177724</v>
      </c>
      <c r="AA266" s="1204">
        <v>102758658</v>
      </c>
      <c r="AB266" s="1205">
        <v>1560368794.8177724</v>
      </c>
      <c r="AC266" s="130">
        <f>AB266-V266</f>
        <v>49719974.363606691</v>
      </c>
      <c r="AD266" s="130"/>
      <c r="AE266" t="s">
        <v>2263</v>
      </c>
      <c r="AF266" s="130">
        <f>Z266-T266</f>
        <v>61668953.363606691</v>
      </c>
      <c r="AG266" s="130">
        <f>AA266-U266</f>
        <v>-11948979</v>
      </c>
      <c r="AH266" s="130">
        <f>AB266-V266</f>
        <v>49719974.363606691</v>
      </c>
    </row>
    <row r="267" spans="1:34" x14ac:dyDescent="0.35">
      <c r="B267" s="410"/>
      <c r="C267" s="410"/>
      <c r="D267" s="3"/>
      <c r="E267" s="3"/>
      <c r="F267" s="3"/>
      <c r="G267" s="3"/>
      <c r="H267" s="3"/>
      <c r="I267" s="3"/>
      <c r="J267" s="3"/>
      <c r="K267" s="3"/>
      <c r="L267" s="3"/>
      <c r="M267" s="26"/>
      <c r="N267" s="17"/>
      <c r="O267" s="3"/>
      <c r="Q267" s="694"/>
    </row>
    <row r="268" spans="1:34" x14ac:dyDescent="0.35">
      <c r="B268" s="410"/>
      <c r="C268" s="410"/>
      <c r="D268" s="3"/>
      <c r="E268" s="3"/>
      <c r="F268" s="3"/>
      <c r="G268" s="3"/>
      <c r="H268" s="3"/>
      <c r="I268" s="3"/>
      <c r="J268" s="3"/>
      <c r="K268" s="3"/>
      <c r="L268" s="3"/>
      <c r="M268" s="26"/>
      <c r="N268" s="17"/>
      <c r="O268" s="3"/>
      <c r="Q268" s="694"/>
      <c r="R268" t="s">
        <v>2270</v>
      </c>
      <c r="T268" s="130">
        <f>T248+T258</f>
        <v>19234727.099999998</v>
      </c>
      <c r="U268" s="130">
        <f>U248+U258</f>
        <v>689643</v>
      </c>
      <c r="V268" s="130">
        <f>V248+V258</f>
        <v>19924370.099999998</v>
      </c>
      <c r="X268" t="s">
        <v>2270</v>
      </c>
      <c r="Z268" s="130">
        <f>Z248+Z258</f>
        <v>378375663.78000003</v>
      </c>
      <c r="AA268" s="130">
        <f>AA248+AA258</f>
        <v>13566300</v>
      </c>
      <c r="AB268" s="130">
        <f>AB248+AB258</f>
        <v>391941963.78000003</v>
      </c>
      <c r="AC268" s="130">
        <f t="shared" ref="AC268:AC270" si="23">AB268-V268</f>
        <v>372017593.68000001</v>
      </c>
      <c r="AE268" t="s">
        <v>2264</v>
      </c>
      <c r="AF268" s="130">
        <f>AF248+AF258</f>
        <v>359140936.68000007</v>
      </c>
      <c r="AG268" s="130">
        <f>AG248+AG258</f>
        <v>12876657</v>
      </c>
      <c r="AH268" s="130">
        <f>AH248+AH258</f>
        <v>372017593.68000007</v>
      </c>
    </row>
    <row r="269" spans="1:34" ht="15" thickBot="1" x14ac:dyDescent="0.4">
      <c r="A269" s="42"/>
      <c r="B269" s="334" t="str">
        <f>CONCATENATE($A$4," at Proposed Energy Rates")</f>
        <v>SC9 Rate III at Proposed Energy Rates</v>
      </c>
      <c r="C269" s="410"/>
      <c r="D269" s="3"/>
      <c r="E269" s="3"/>
      <c r="F269" s="3"/>
      <c r="G269" s="3"/>
      <c r="H269" s="3"/>
      <c r="I269" s="3"/>
      <c r="K269" s="367" t="s">
        <v>426</v>
      </c>
      <c r="L269" s="368">
        <f>$L$10</f>
        <v>1.0119199999999999</v>
      </c>
      <c r="N269" s="344" t="str">
        <f>$A$4</f>
        <v>SC9 Rate III</v>
      </c>
      <c r="Q269" s="694"/>
      <c r="R269" t="s">
        <v>667</v>
      </c>
      <c r="T269" s="130">
        <f t="shared" ref="T269:V269" si="24">SUM(T249:T251)+SUM(T259:T261)</f>
        <v>1360944482.1456001</v>
      </c>
      <c r="U269" s="130">
        <f t="shared" si="24"/>
        <v>112723833</v>
      </c>
      <c r="V269" s="130">
        <f t="shared" si="24"/>
        <v>1473668315.1456001</v>
      </c>
      <c r="X269" t="s">
        <v>667</v>
      </c>
      <c r="Z269" s="130">
        <f t="shared" ref="Z269:AB269" si="25">SUM(Z249:Z251)+SUM(Z259:Z261)</f>
        <v>1062895897.6167001</v>
      </c>
      <c r="AA269" s="130">
        <f t="shared" si="25"/>
        <v>88037181</v>
      </c>
      <c r="AB269" s="130">
        <f t="shared" si="25"/>
        <v>1150933078.6167002</v>
      </c>
      <c r="AC269" s="130">
        <f t="shared" si="23"/>
        <v>-322735236.52889991</v>
      </c>
      <c r="AE269" t="s">
        <v>2265</v>
      </c>
      <c r="AF269" s="130">
        <f>SUM(AF249:AF251)+SUM(AF259:AF261)</f>
        <v>-298048584.52890003</v>
      </c>
      <c r="AG269" s="130">
        <f>SUM(AG249:AG251)+SUM(AG259:AG261)</f>
        <v>-24686652</v>
      </c>
      <c r="AH269" s="130">
        <f>SUM(AH249:AH251)+SUM(AH259:AH261)</f>
        <v>-322735236.52890003</v>
      </c>
    </row>
    <row r="270" spans="1:34" ht="15.5" thickTop="1" thickBot="1" x14ac:dyDescent="0.4">
      <c r="B270" s="487" t="s">
        <v>718</v>
      </c>
      <c r="H270" s="1307" t="s">
        <v>417</v>
      </c>
      <c r="I270" s="1308"/>
      <c r="J270" s="1309"/>
      <c r="L270" s="604" t="s">
        <v>475</v>
      </c>
      <c r="N270" s="935" t="s">
        <v>42</v>
      </c>
      <c r="Q270" s="694"/>
      <c r="R270" t="s">
        <v>2271</v>
      </c>
      <c r="T270" s="1186">
        <f>T268+T269</f>
        <v>1380179209.2456</v>
      </c>
      <c r="U270" s="1186">
        <f>U268+U269</f>
        <v>113413476</v>
      </c>
      <c r="V270" s="130">
        <f>V268+V269</f>
        <v>1493592685.2456</v>
      </c>
      <c r="X270" t="s">
        <v>2271</v>
      </c>
      <c r="Z270" s="1186">
        <f>Z268+Z269</f>
        <v>1441271561.3967001</v>
      </c>
      <c r="AA270" s="1186">
        <f>AA268+AA269</f>
        <v>101603481</v>
      </c>
      <c r="AB270" s="130">
        <f>AB268+AB269</f>
        <v>1542875042.3967001</v>
      </c>
      <c r="AC270" s="130">
        <f t="shared" si="23"/>
        <v>49282357.151100159</v>
      </c>
      <c r="AE270" t="s">
        <v>2263</v>
      </c>
      <c r="AF270" s="1186">
        <f>AF268+AF269</f>
        <v>61092352.151100039</v>
      </c>
      <c r="AG270" s="1186">
        <f>AG268+AG269</f>
        <v>-11809995</v>
      </c>
      <c r="AH270" s="130">
        <f>AH268+AH269</f>
        <v>49282357.151100039</v>
      </c>
    </row>
    <row r="271" spans="1:34" ht="15" thickTop="1" x14ac:dyDescent="0.35">
      <c r="B271" s="410"/>
      <c r="H271" s="30" t="s">
        <v>416</v>
      </c>
      <c r="I271" s="30" t="s">
        <v>674</v>
      </c>
      <c r="J271" s="36" t="s">
        <v>676</v>
      </c>
      <c r="L271" s="30" t="s">
        <v>425</v>
      </c>
      <c r="N271" s="36" t="s">
        <v>675</v>
      </c>
      <c r="Q271" s="694"/>
    </row>
    <row r="272" spans="1:34" x14ac:dyDescent="0.35">
      <c r="B272" s="407" t="s">
        <v>42</v>
      </c>
      <c r="C272" s="355" t="str">
        <f>$F$135</f>
        <v>On Peak</v>
      </c>
      <c r="D272" s="121"/>
      <c r="E272" s="122"/>
      <c r="H272" s="223">
        <f>H200</f>
        <v>7.9000000000000008E-3</v>
      </c>
      <c r="I272" s="105">
        <f>AA9+AA19</f>
        <v>701170200</v>
      </c>
      <c r="J272" s="26">
        <f>ROUND(H272*I272,0)</f>
        <v>5539245</v>
      </c>
      <c r="L272" s="397"/>
      <c r="N272" s="26">
        <f>J272+L272</f>
        <v>5539245</v>
      </c>
      <c r="Q272" s="694"/>
      <c r="AD272" s="130"/>
      <c r="AF272" s="486" t="s">
        <v>2255</v>
      </c>
      <c r="AG272" s="486" t="s">
        <v>1158</v>
      </c>
    </row>
    <row r="273" spans="1:34" x14ac:dyDescent="0.35">
      <c r="B273" s="406"/>
      <c r="C273" s="355" t="str">
        <f>$F$136</f>
        <v>Off Peak</v>
      </c>
      <c r="D273" s="36"/>
      <c r="E273" s="122"/>
      <c r="H273" s="223">
        <f>H201</f>
        <v>7.9000000000000008E-3</v>
      </c>
      <c r="I273" s="105"/>
      <c r="J273" s="26">
        <f>ROUND(H273*I273,0)</f>
        <v>0</v>
      </c>
      <c r="L273" s="397"/>
      <c r="N273" s="26">
        <f>J273+L273</f>
        <v>0</v>
      </c>
      <c r="AE273" t="s">
        <v>2266</v>
      </c>
      <c r="AF273" s="366">
        <f>S248+S258</f>
        <v>1544958</v>
      </c>
      <c r="AG273" s="366">
        <f>H248+H258</f>
        <v>55393</v>
      </c>
      <c r="AH273" s="366"/>
    </row>
    <row r="274" spans="1:34" x14ac:dyDescent="0.35">
      <c r="B274" s="406"/>
      <c r="C274" s="3" t="s">
        <v>420</v>
      </c>
      <c r="D274" s="3"/>
      <c r="E274" s="3"/>
      <c r="F274" s="3"/>
      <c r="H274" s="223"/>
      <c r="I274" s="223"/>
      <c r="J274" s="32">
        <f>SUM(J272:J273)</f>
        <v>5539245</v>
      </c>
      <c r="L274" s="32">
        <f>SUM(L272:L273)</f>
        <v>0</v>
      </c>
      <c r="N274" s="32">
        <f>SUM(N272:N273)</f>
        <v>5539245</v>
      </c>
      <c r="AD274" s="130"/>
      <c r="AE274" t="s">
        <v>25</v>
      </c>
      <c r="AF274" s="553">
        <f>Y252+Y262</f>
        <v>109968639.34</v>
      </c>
      <c r="AG274" s="553">
        <f>I252+I262</f>
        <v>9150285</v>
      </c>
      <c r="AH274" s="366"/>
    </row>
    <row r="275" spans="1:34" x14ac:dyDescent="0.35">
      <c r="A275" s="1"/>
      <c r="B275" s="464"/>
      <c r="C275" s="2"/>
      <c r="D275" s="121"/>
      <c r="E275" s="121"/>
      <c r="F275" s="361"/>
      <c r="G275" s="1"/>
      <c r="H275" s="223"/>
      <c r="I275" s="362"/>
      <c r="J275" s="395"/>
      <c r="L275" s="1"/>
      <c r="M275" s="1"/>
      <c r="N275" s="1"/>
      <c r="O275" s="1"/>
      <c r="AE275" t="s">
        <v>2267</v>
      </c>
      <c r="AF275" s="1188">
        <f>AF274/AF273</f>
        <v>71.179047805830322</v>
      </c>
      <c r="AG275" s="1188">
        <f>AG274/AG273</f>
        <v>165.18847146751395</v>
      </c>
      <c r="AH275" s="366"/>
    </row>
    <row r="276" spans="1:34" ht="15" thickBot="1" x14ac:dyDescent="0.4">
      <c r="A276" s="1"/>
      <c r="B276" s="464"/>
      <c r="C276" s="2"/>
      <c r="D276" s="121"/>
      <c r="E276" s="121"/>
      <c r="F276" s="361"/>
      <c r="G276" s="1"/>
      <c r="H276" s="223"/>
      <c r="I276" s="362"/>
      <c r="J276" s="223"/>
      <c r="L276" s="368">
        <f>$L$11</f>
        <v>1.01067</v>
      </c>
      <c r="M276" s="1"/>
      <c r="N276" s="1"/>
      <c r="O276" s="1"/>
    </row>
    <row r="277" spans="1:34" ht="15.5" thickTop="1" thickBot="1" x14ac:dyDescent="0.4">
      <c r="A277" s="1"/>
      <c r="B277" s="464"/>
      <c r="C277" s="2"/>
      <c r="D277" s="121"/>
      <c r="E277" s="121"/>
      <c r="F277" s="361"/>
      <c r="G277" s="1"/>
      <c r="H277" s="1307" t="s">
        <v>417</v>
      </c>
      <c r="I277" s="1308"/>
      <c r="J277" s="1309"/>
      <c r="L277" s="604" t="s">
        <v>475</v>
      </c>
      <c r="M277" s="1"/>
      <c r="N277" s="935" t="s">
        <v>40</v>
      </c>
      <c r="O277" s="1"/>
      <c r="AE277" s="424"/>
      <c r="AF277" s="134"/>
      <c r="AG277" s="134"/>
    </row>
    <row r="278" spans="1:34" ht="15" thickTop="1" x14ac:dyDescent="0.35">
      <c r="A278" s="1"/>
      <c r="B278" s="464"/>
      <c r="C278" s="2"/>
      <c r="D278" s="121"/>
      <c r="E278" s="121"/>
      <c r="F278" s="361"/>
      <c r="G278" s="1"/>
      <c r="H278" s="30" t="s">
        <v>416</v>
      </c>
      <c r="I278" s="30" t="s">
        <v>674</v>
      </c>
      <c r="J278" s="36" t="s">
        <v>676</v>
      </c>
      <c r="L278" s="30" t="s">
        <v>425</v>
      </c>
      <c r="M278" s="1"/>
      <c r="N278" s="36" t="s">
        <v>675</v>
      </c>
      <c r="O278" s="1"/>
      <c r="AE278" s="424"/>
      <c r="AF278" s="134"/>
      <c r="AG278" s="134"/>
    </row>
    <row r="279" spans="1:34" x14ac:dyDescent="0.35">
      <c r="A279" s="1"/>
      <c r="B279" s="407" t="s">
        <v>40</v>
      </c>
      <c r="C279" s="355" t="str">
        <f>$F$135</f>
        <v>On Peak</v>
      </c>
      <c r="D279" s="121"/>
      <c r="E279" s="122"/>
      <c r="F279" s="1"/>
      <c r="G279" s="1"/>
      <c r="H279" s="223">
        <f t="shared" ref="H279:H280" si="26">H207</f>
        <v>7.9000000000000008E-3</v>
      </c>
      <c r="I279" s="105">
        <f>AA14+AA24</f>
        <v>1261200502</v>
      </c>
      <c r="J279" s="26">
        <f>ROUND(H279*I279,0)</f>
        <v>9963484</v>
      </c>
      <c r="L279" s="397"/>
      <c r="M279" s="1"/>
      <c r="N279" s="26">
        <f>J279+L279</f>
        <v>9963484</v>
      </c>
      <c r="O279" s="1"/>
    </row>
    <row r="280" spans="1:34" x14ac:dyDescent="0.35">
      <c r="A280" s="1"/>
      <c r="B280" s="406"/>
      <c r="C280" s="355" t="str">
        <f>$F$136</f>
        <v>Off Peak</v>
      </c>
      <c r="D280" s="36"/>
      <c r="E280" s="122"/>
      <c r="F280" s="1"/>
      <c r="G280" s="1"/>
      <c r="H280" s="223">
        <f t="shared" si="26"/>
        <v>7.9000000000000008E-3</v>
      </c>
      <c r="I280" s="105"/>
      <c r="J280" s="26">
        <f>ROUND(H280*I280,0)</f>
        <v>0</v>
      </c>
      <c r="L280" s="397"/>
      <c r="M280" s="1"/>
      <c r="N280" s="26">
        <f>J280+L280</f>
        <v>0</v>
      </c>
      <c r="O280" s="1"/>
    </row>
    <row r="281" spans="1:34" x14ac:dyDescent="0.35">
      <c r="A281" s="1"/>
      <c r="B281" s="406"/>
      <c r="C281" s="410" t="s">
        <v>421</v>
      </c>
      <c r="D281" s="3"/>
      <c r="E281" s="3"/>
      <c r="F281" s="3"/>
      <c r="G281" s="1"/>
      <c r="H281" s="223"/>
      <c r="I281" s="223"/>
      <c r="J281" s="32">
        <f>SUM(J279:J280)</f>
        <v>9963484</v>
      </c>
      <c r="L281" s="32">
        <f>SUM(L279:L280)</f>
        <v>0</v>
      </c>
      <c r="M281" s="1"/>
      <c r="N281" s="32">
        <f>SUM(N279:N280)</f>
        <v>9963484</v>
      </c>
      <c r="O281" s="1"/>
    </row>
    <row r="282" spans="1:34" ht="15" thickBot="1" x14ac:dyDescent="0.4">
      <c r="A282" s="1"/>
      <c r="B282" s="464"/>
      <c r="C282" s="392"/>
      <c r="D282" s="121"/>
      <c r="E282" s="121"/>
      <c r="F282" s="361"/>
      <c r="G282" s="1"/>
      <c r="H282" s="223"/>
      <c r="I282" s="362"/>
      <c r="J282" s="395"/>
      <c r="L282" s="1"/>
      <c r="M282" s="1"/>
      <c r="N282" s="223"/>
      <c r="O282" s="1"/>
    </row>
    <row r="283" spans="1:34" ht="15.5" thickTop="1" thickBot="1" x14ac:dyDescent="0.4">
      <c r="A283" s="1"/>
      <c r="B283" s="464"/>
      <c r="C283" s="837" t="str">
        <f>CONCATENATE($A$4," - Annual Energy Revenue Price-Out at Proposed Rates:")</f>
        <v>SC9 Rate III - Annual Energy Revenue Price-Out at Proposed Rates:</v>
      </c>
      <c r="D283" s="121"/>
      <c r="E283" s="121"/>
      <c r="F283" s="361"/>
      <c r="G283" s="1"/>
      <c r="H283" s="223"/>
      <c r="I283" s="222" t="s">
        <v>427</v>
      </c>
      <c r="J283" s="243">
        <f>J274+J281</f>
        <v>15502729</v>
      </c>
      <c r="K283" s="222" t="s">
        <v>428</v>
      </c>
      <c r="L283" s="243">
        <f>L274+L281</f>
        <v>0</v>
      </c>
      <c r="M283" s="1"/>
      <c r="N283" s="243">
        <f>N274+N281</f>
        <v>15502729</v>
      </c>
      <c r="O283" s="374"/>
    </row>
    <row r="284" spans="1:34" ht="15" thickTop="1" x14ac:dyDescent="0.35">
      <c r="A284" s="1"/>
      <c r="B284" s="464"/>
      <c r="C284" s="837"/>
      <c r="D284" s="121"/>
      <c r="E284" s="121"/>
      <c r="F284" s="361"/>
      <c r="G284" s="1"/>
      <c r="H284" s="223"/>
      <c r="I284" s="222"/>
      <c r="J284" s="396"/>
      <c r="K284" s="362"/>
      <c r="L284" s="363"/>
      <c r="M284" s="364"/>
      <c r="N284" s="222"/>
      <c r="O284" s="26"/>
    </row>
    <row r="285" spans="1:34" x14ac:dyDescent="0.35">
      <c r="A285" s="1"/>
      <c r="B285" s="1"/>
      <c r="C285" s="837"/>
      <c r="D285" s="121"/>
      <c r="E285" s="121"/>
      <c r="F285" s="361"/>
      <c r="G285" s="1"/>
      <c r="H285" s="223"/>
      <c r="I285" s="222"/>
      <c r="J285" s="396"/>
      <c r="K285" s="362"/>
      <c r="L285" s="363"/>
      <c r="M285" s="364"/>
      <c r="N285" s="222"/>
      <c r="O285" s="26"/>
    </row>
    <row r="286" spans="1:34" x14ac:dyDescent="0.35">
      <c r="B286" s="3"/>
      <c r="C286" s="334" t="s">
        <v>684</v>
      </c>
      <c r="D286" s="3"/>
      <c r="E286" s="3"/>
      <c r="F286" s="3"/>
      <c r="G286" s="3"/>
      <c r="H286" s="3"/>
      <c r="I286" s="3"/>
      <c r="J286" s="3"/>
      <c r="K286" s="3"/>
      <c r="L286" s="3"/>
      <c r="M286" s="26"/>
      <c r="N286" s="17"/>
      <c r="O286" s="3"/>
    </row>
    <row r="287" spans="1:34" x14ac:dyDescent="0.35">
      <c r="B287" s="3"/>
      <c r="C287" s="407" t="str">
        <f>$A$4</f>
        <v>SC9 Rate III</v>
      </c>
      <c r="D287" s="3"/>
      <c r="E287" s="3"/>
      <c r="F287" s="3"/>
      <c r="G287" s="3"/>
      <c r="H287" s="3"/>
      <c r="I287" s="3"/>
      <c r="J287" s="3"/>
      <c r="K287" s="3"/>
      <c r="L287" s="3"/>
      <c r="M287" s="607" t="s">
        <v>1161</v>
      </c>
      <c r="N287" s="17"/>
      <c r="O287" s="3"/>
    </row>
    <row r="288" spans="1:34" x14ac:dyDescent="0.35">
      <c r="B288" s="3"/>
      <c r="C288" s="410" t="s">
        <v>678</v>
      </c>
      <c r="D288" s="3"/>
      <c r="E288" s="3"/>
      <c r="F288" s="3"/>
      <c r="G288" s="3"/>
      <c r="H288" s="3"/>
      <c r="I288" s="3"/>
      <c r="J288" s="3"/>
      <c r="K288" s="3"/>
      <c r="L288" s="3"/>
      <c r="M288" s="278">
        <f>M266</f>
        <v>114707637</v>
      </c>
      <c r="N288" s="17"/>
      <c r="O288" s="3"/>
    </row>
    <row r="289" spans="2:15" ht="15" thickBot="1" x14ac:dyDescent="0.4">
      <c r="B289" s="3"/>
      <c r="C289" s="410" t="s">
        <v>677</v>
      </c>
      <c r="D289" s="3"/>
      <c r="E289" s="3"/>
      <c r="F289" s="3"/>
      <c r="G289" s="3"/>
      <c r="H289" s="3"/>
      <c r="I289" s="3"/>
      <c r="J289" s="3"/>
      <c r="K289" s="3"/>
      <c r="L289" s="3"/>
      <c r="M289" s="26">
        <f>N283</f>
        <v>15502729</v>
      </c>
      <c r="N289" s="468"/>
      <c r="O289" s="3"/>
    </row>
    <row r="290" spans="2:15" ht="15.5" thickTop="1" thickBot="1" x14ac:dyDescent="0.4">
      <c r="B290" s="3"/>
      <c r="C290" s="837" t="s">
        <v>685</v>
      </c>
      <c r="D290" s="3"/>
      <c r="E290" s="3"/>
      <c r="F290" s="3"/>
      <c r="G290" s="3"/>
      <c r="H290" s="3"/>
      <c r="I290" s="3"/>
      <c r="J290" s="3"/>
      <c r="K290" s="3"/>
      <c r="L290" s="3"/>
      <c r="M290" s="925">
        <f>M288+M289</f>
        <v>130210366</v>
      </c>
      <c r="N290" s="17"/>
      <c r="O290" s="3"/>
    </row>
    <row r="291" spans="2:15" ht="15" thickTop="1" x14ac:dyDescent="0.35">
      <c r="C291" s="406"/>
    </row>
    <row r="292" spans="2:15" x14ac:dyDescent="0.35">
      <c r="C292" s="406"/>
    </row>
    <row r="293" spans="2:15" x14ac:dyDescent="0.35">
      <c r="C293" s="406"/>
    </row>
    <row r="294" spans="2:15" x14ac:dyDescent="0.35">
      <c r="C294" s="406"/>
    </row>
  </sheetData>
  <mergeCells count="19">
    <mergeCell ref="AF245:AH245"/>
    <mergeCell ref="AF255:AH255"/>
    <mergeCell ref="H270:J270"/>
    <mergeCell ref="H277:J277"/>
    <mergeCell ref="H64:J64"/>
    <mergeCell ref="L64:N64"/>
    <mergeCell ref="L71:N71"/>
    <mergeCell ref="N105:Q105"/>
    <mergeCell ref="N106:Q106"/>
    <mergeCell ref="L126:N126"/>
    <mergeCell ref="L133:N133"/>
    <mergeCell ref="M165:O165"/>
    <mergeCell ref="D103:F103"/>
    <mergeCell ref="H106:J106"/>
    <mergeCell ref="H205:J205"/>
    <mergeCell ref="D227:F227"/>
    <mergeCell ref="H126:J126"/>
    <mergeCell ref="H165:J165"/>
    <mergeCell ref="H198:J198"/>
  </mergeCells>
  <printOptions horizontalCentered="1"/>
  <pageMargins left="0.25" right="0.25" top="0.5" bottom="0.25" header="0.3" footer="0.2"/>
  <pageSetup scale="45" orientation="landscape" r:id="rId1"/>
  <headerFooter>
    <oddFooter>&amp;C&amp;F (Tab: &amp;A)&amp;RPage &amp;P / &amp;N</oddFooter>
  </headerFooter>
  <rowBreaks count="3" manualBreakCount="3">
    <brk id="77" max="16383" man="1"/>
    <brk id="138" max="16383" man="1"/>
    <brk id="213" max="16383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40"/>
  <dimension ref="A1:AI287"/>
  <sheetViews>
    <sheetView topLeftCell="T1" workbookViewId="0">
      <selection activeCell="T1" sqref="A1:XFD1048576"/>
    </sheetView>
  </sheetViews>
  <sheetFormatPr defaultRowHeight="14.5" outlineLevelRow="1" x14ac:dyDescent="0.35"/>
  <cols>
    <col min="1" max="1" width="7.453125" customWidth="1"/>
    <col min="2" max="2" width="15.81640625" customWidth="1"/>
    <col min="3" max="3" width="17.7265625" customWidth="1"/>
    <col min="4" max="4" width="10.453125" customWidth="1"/>
    <col min="5" max="5" width="7.179687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29.7265625" customWidth="1"/>
    <col min="11" max="11" width="15.26953125" customWidth="1"/>
    <col min="12" max="12" width="17.453125" customWidth="1"/>
    <col min="13" max="13" width="20.1796875" customWidth="1"/>
    <col min="14" max="14" width="15.81640625" customWidth="1"/>
    <col min="15" max="15" width="13" customWidth="1"/>
    <col min="16" max="16" width="12" style="1" customWidth="1"/>
    <col min="17" max="17" width="8.1796875" customWidth="1"/>
    <col min="18" max="18" width="8.7265625" customWidth="1"/>
    <col min="19" max="19" width="10.1796875" customWidth="1"/>
    <col min="20" max="20" width="10" customWidth="1"/>
    <col min="21" max="21" width="12.26953125" customWidth="1"/>
    <col min="22" max="22" width="11.54296875" customWidth="1"/>
    <col min="23" max="24" width="15.453125" customWidth="1"/>
    <col min="25" max="25" width="14.1796875" customWidth="1"/>
    <col min="26" max="27" width="20.453125" customWidth="1"/>
    <col min="28" max="28" width="13.453125" customWidth="1"/>
    <col min="30" max="35" width="15.1796875" customWidth="1"/>
  </cols>
  <sheetData>
    <row r="1" spans="1:35" ht="18.5" x14ac:dyDescent="0.45">
      <c r="A1" s="448" t="s">
        <v>1253</v>
      </c>
      <c r="B1" s="189" t="str">
        <f>CONCATENATE("CECONY - Non-Competitive T&amp;D Rates Reflecting $",G3/1000000," Million Rate Change - RY1")</f>
        <v>CECONY - Non-Competitive T&amp;D Rates Reflecting $113.251 Million Rate Change - RY1</v>
      </c>
    </row>
    <row r="2" spans="1:35" x14ac:dyDescent="0.35">
      <c r="B2" s="372"/>
    </row>
    <row r="3" spans="1:35" ht="15.5" outlineLevel="1" x14ac:dyDescent="0.35">
      <c r="A3" s="70" t="s">
        <v>158</v>
      </c>
      <c r="B3" s="70"/>
      <c r="C3" s="3"/>
      <c r="D3" s="75" t="s">
        <v>159</v>
      </c>
      <c r="E3" s="3"/>
      <c r="F3" s="3"/>
      <c r="G3" s="245">
        <f>'[2]5A.)RevAllocation'!$T$7</f>
        <v>113251000</v>
      </c>
      <c r="H3" s="3"/>
      <c r="J3" s="3" t="s">
        <v>150</v>
      </c>
      <c r="K3" s="3"/>
      <c r="L3" s="687">
        <f>'[1]A1.)RatesInput'!$G$4</f>
        <v>2019</v>
      </c>
      <c r="M3" s="3"/>
      <c r="P3" s="749" t="s">
        <v>2309</v>
      </c>
      <c r="Q3" s="479"/>
      <c r="S3" s="3"/>
      <c r="W3" s="1283" t="str">
        <f>P3</f>
        <v>SC12 Rate I &amp; III</v>
      </c>
    </row>
    <row r="4" spans="1:35" outlineLevel="1" x14ac:dyDescent="0.35">
      <c r="A4" s="864" t="s">
        <v>740</v>
      </c>
      <c r="B4" s="864"/>
      <c r="C4" s="3"/>
      <c r="D4" s="3"/>
      <c r="E4" s="3"/>
      <c r="F4" s="3"/>
      <c r="G4" s="3"/>
      <c r="H4" s="3"/>
      <c r="J4" s="3" t="s">
        <v>5</v>
      </c>
      <c r="K4" s="3"/>
      <c r="L4" s="687">
        <f>'[1]A1.)RatesInput'!$I$4</f>
        <v>2020</v>
      </c>
      <c r="M4" s="1" t="str">
        <f>'[1]A1.)RatesInput'!$I$2</f>
        <v>RY1</v>
      </c>
      <c r="P4" s="181" t="s">
        <v>646</v>
      </c>
      <c r="Q4" s="3"/>
      <c r="R4" s="3"/>
      <c r="S4" s="3"/>
      <c r="W4" s="476" t="s">
        <v>249</v>
      </c>
      <c r="X4" s="476" t="s">
        <v>717</v>
      </c>
      <c r="Y4" s="143"/>
      <c r="Z4" s="476" t="s">
        <v>249</v>
      </c>
      <c r="AA4" s="476" t="s">
        <v>717</v>
      </c>
    </row>
    <row r="5" spans="1:35" outlineLevel="1" x14ac:dyDescent="0.35">
      <c r="C5" s="3"/>
      <c r="D5" s="3"/>
      <c r="E5" s="3"/>
      <c r="F5" s="3"/>
      <c r="G5" s="3"/>
      <c r="H5" s="3"/>
      <c r="M5" s="3"/>
      <c r="P5" s="2"/>
      <c r="Q5" s="3"/>
      <c r="R5" s="3"/>
      <c r="S5" s="30" t="s">
        <v>25</v>
      </c>
      <c r="U5" s="30" t="s">
        <v>12</v>
      </c>
      <c r="W5" s="30" t="s">
        <v>25</v>
      </c>
      <c r="X5" s="30" t="s">
        <v>25</v>
      </c>
      <c r="Z5" s="30" t="s">
        <v>12</v>
      </c>
      <c r="AA5" s="30" t="s">
        <v>12</v>
      </c>
      <c r="AD5" s="1135"/>
      <c r="AE5" s="1143" t="s">
        <v>249</v>
      </c>
      <c r="AF5" s="1144" t="s">
        <v>114</v>
      </c>
      <c r="AG5" s="1144" t="s">
        <v>113</v>
      </c>
      <c r="AH5" s="1144" t="s">
        <v>112</v>
      </c>
      <c r="AI5" s="1145" t="s">
        <v>111</v>
      </c>
    </row>
    <row r="6" spans="1:35" outlineLevel="1" x14ac:dyDescent="0.35">
      <c r="A6" s="180"/>
      <c r="B6" s="180"/>
      <c r="C6" s="180"/>
      <c r="D6" s="180"/>
      <c r="E6" s="180"/>
      <c r="F6" s="3"/>
      <c r="G6" s="490" t="str">
        <f>'13A.)TODM_RateDesignSummary'!D73</f>
        <v>Current(RY1)</v>
      </c>
      <c r="H6" s="101" t="s">
        <v>521</v>
      </c>
      <c r="I6" s="3"/>
      <c r="J6" t="s">
        <v>1382</v>
      </c>
      <c r="L6" s="687">
        <f>'[1]A1.)RatesInput'!$G$3</f>
        <v>2017</v>
      </c>
      <c r="M6" s="180"/>
      <c r="P6" s="165" t="s">
        <v>114</v>
      </c>
      <c r="Q6" s="164" t="s">
        <v>640</v>
      </c>
      <c r="R6" s="992" t="s">
        <v>643</v>
      </c>
      <c r="S6" s="386"/>
      <c r="T6" s="164" t="s">
        <v>1393</v>
      </c>
      <c r="U6" s="161"/>
      <c r="V6" s="367" t="s">
        <v>643</v>
      </c>
      <c r="W6" s="386">
        <f>'[1]D4.)RateIII_RateDevelopment'!$F$41</f>
        <v>85869.68</v>
      </c>
      <c r="X6" s="386">
        <f>'[1]D4.)RateIII_RateDevelopment'!$F$62</f>
        <v>640</v>
      </c>
      <c r="Y6" s="367" t="s">
        <v>1393</v>
      </c>
      <c r="Z6" s="386">
        <f>'[1]D4.)RateIII_RateDevelopment'!$F$36</f>
        <v>17019228</v>
      </c>
      <c r="AA6" s="386">
        <f>'[1]D4.)RateIII_RateDevelopment'!$F$58</f>
        <v>158192</v>
      </c>
      <c r="AB6" s="1" t="str">
        <f>P6</f>
        <v>Summer (LT)</v>
      </c>
      <c r="AD6" s="1136" t="s">
        <v>2209</v>
      </c>
      <c r="AE6" s="1166">
        <f>'[2]3C.)HY_Metering PxOut'!$B$52</f>
        <v>2124</v>
      </c>
      <c r="AF6" s="1129">
        <f>ROUND($AE6*$W$10/($W$10+$W$15+$W$20+$W$25),0)</f>
        <v>708</v>
      </c>
      <c r="AG6" s="1129">
        <f>AE6-AF6-AH6-AI6</f>
        <v>1416</v>
      </c>
      <c r="AH6" s="1129">
        <f>ROUND($AE6*$W$20/($W$10+$W$15+$W$20+$W$25),0)</f>
        <v>0</v>
      </c>
      <c r="AI6" s="1130">
        <f>ROUND($AE6*$W$25/($W$10+$W$15+$W$20+$W$25),0)</f>
        <v>0</v>
      </c>
    </row>
    <row r="7" spans="1:35" ht="15" outlineLevel="1" thickBot="1" x14ac:dyDescent="0.4">
      <c r="A7" s="3"/>
      <c r="B7" s="3"/>
      <c r="C7" s="3"/>
      <c r="D7" s="3"/>
      <c r="E7" s="3"/>
      <c r="F7" s="3"/>
      <c r="G7" s="101"/>
      <c r="I7" s="3"/>
      <c r="J7" s="3"/>
      <c r="K7" s="17"/>
      <c r="L7" s="118" t="str">
        <f>A4</f>
        <v>SC12 Rate III</v>
      </c>
      <c r="M7" s="3"/>
      <c r="P7" s="170" t="s">
        <v>114</v>
      </c>
      <c r="Q7" s="159" t="s">
        <v>641</v>
      </c>
      <c r="R7" s="993" t="s">
        <v>888</v>
      </c>
      <c r="S7" s="387"/>
      <c r="T7" s="159" t="s">
        <v>445</v>
      </c>
      <c r="U7" s="156"/>
      <c r="V7" s="367" t="s">
        <v>644</v>
      </c>
      <c r="W7" s="387">
        <f>'[1]D4.)RateIII_RateDevelopment'!$F$42</f>
        <v>92433.14</v>
      </c>
      <c r="X7" s="387">
        <f>'[1]D4.)RateIII_RateDevelopment'!$F$63</f>
        <v>640</v>
      </c>
      <c r="Y7" s="367" t="s">
        <v>445</v>
      </c>
      <c r="Z7" s="387">
        <f>'[1]D4.)RateIII_RateDevelopment'!$F$37</f>
        <v>22302063</v>
      </c>
      <c r="AA7" s="387">
        <f>'[1]D4.)RateIII_RateDevelopment'!$F$59</f>
        <v>192608</v>
      </c>
      <c r="AB7" s="1" t="str">
        <f>P7</f>
        <v>Summer (LT)</v>
      </c>
      <c r="AD7" s="1136" t="s">
        <v>2210</v>
      </c>
      <c r="AE7" s="1166">
        <f>'[2]3C.)HY_Metering PxOut'!$C$52</f>
        <v>612</v>
      </c>
      <c r="AF7" s="1129">
        <f>ROUND($AE7*$W$10/($W$10+$W$15+$W$20+$W$25),0)</f>
        <v>204</v>
      </c>
      <c r="AG7" s="1129">
        <f>AE7-AF7-AH7-AI7</f>
        <v>408</v>
      </c>
      <c r="AH7" s="1129">
        <f>ROUND($AE7*$W$20/($W$10+$W$15+$W$20+$W$25),0)</f>
        <v>0</v>
      </c>
      <c r="AI7" s="1130">
        <f>ROUND($AE7*$W$25/($W$10+$W$15+$W$20+$W$25),0)</f>
        <v>0</v>
      </c>
    </row>
    <row r="8" spans="1:35" ht="15.5" outlineLevel="1" thickTop="1" thickBot="1" x14ac:dyDescent="0.4">
      <c r="A8" s="3" t="s">
        <v>956</v>
      </c>
      <c r="B8" s="3"/>
      <c r="C8" s="3"/>
      <c r="D8" s="3"/>
      <c r="E8" s="3"/>
      <c r="F8" s="3"/>
      <c r="G8" s="309">
        <f>'13A.)TODM_RateDesignSummary'!D75</f>
        <v>0</v>
      </c>
      <c r="H8" s="177">
        <f>J108</f>
        <v>0</v>
      </c>
      <c r="I8" s="3"/>
      <c r="J8" s="33"/>
      <c r="K8" s="17"/>
      <c r="L8" s="688"/>
      <c r="M8" s="3"/>
      <c r="P8" s="168" t="s">
        <v>114</v>
      </c>
      <c r="Q8" s="711" t="s">
        <v>642</v>
      </c>
      <c r="R8" s="994" t="s">
        <v>645</v>
      </c>
      <c r="S8" s="172"/>
      <c r="T8" s="168"/>
      <c r="U8" s="477"/>
      <c r="V8" s="367" t="s">
        <v>645</v>
      </c>
      <c r="W8" s="172">
        <f>'[1]D4.)RateIII_RateDevelopment'!$F$43</f>
        <v>93159.5</v>
      </c>
      <c r="X8" s="172">
        <f>'[1]D4.)RateIII_RateDevelopment'!$F$64</f>
        <v>640</v>
      </c>
      <c r="Y8" s="367"/>
      <c r="Z8" s="477"/>
      <c r="AA8" s="477"/>
      <c r="AB8" s="1"/>
      <c r="AD8" s="1137"/>
      <c r="AE8" s="1138">
        <f>AE6+AE7-W10-W15-W20-W25</f>
        <v>0</v>
      </c>
      <c r="AF8" s="1139"/>
      <c r="AG8" s="1139"/>
      <c r="AH8" s="1139"/>
      <c r="AI8" s="1140"/>
    </row>
    <row r="9" spans="1:35" ht="15.5" outlineLevel="1" thickTop="1" thickBot="1" x14ac:dyDescent="0.4">
      <c r="A9" s="3" t="s">
        <v>957</v>
      </c>
      <c r="B9" s="3"/>
      <c r="C9" s="3"/>
      <c r="D9" s="3"/>
      <c r="E9" s="3"/>
      <c r="F9" s="3"/>
      <c r="G9" s="310">
        <f>'13A.)TODM_RateDesignSummary'!D76</f>
        <v>7.88</v>
      </c>
      <c r="H9" s="169">
        <f t="shared" ref="H9:H10" si="0">J109</f>
        <v>8.1300000000000008</v>
      </c>
      <c r="I9" s="3"/>
      <c r="J9" s="33" t="s">
        <v>139</v>
      </c>
      <c r="K9" s="17"/>
      <c r="L9" s="689">
        <f>HLOOKUP($L$6,'[1]A1.)RatesInput'!$D$63:$J$83,'[1]A1.)RatesInput'!$A$80,0)</f>
        <v>1.01108</v>
      </c>
      <c r="M9" s="173"/>
      <c r="P9" s="1158" t="s">
        <v>2207</v>
      </c>
      <c r="Q9" s="1161">
        <f>W10+X10</f>
        <v>916</v>
      </c>
      <c r="S9" s="717">
        <f>W9+X9</f>
        <v>93799.5</v>
      </c>
      <c r="U9" s="717">
        <f>Z9+AA9</f>
        <v>39672091</v>
      </c>
      <c r="V9" s="367"/>
      <c r="W9" s="761">
        <f>'[1]D4.)RateIII_RateDevelopment'!$F$40</f>
        <v>93159.5</v>
      </c>
      <c r="X9" s="761">
        <f>'[1]D4.)RateIII_RateDevelopment'!$F$61</f>
        <v>640</v>
      </c>
      <c r="Y9" s="367"/>
      <c r="Z9" s="761">
        <f>'[1]D4.)RateIII_RateDevelopment'!$F$35</f>
        <v>39321291</v>
      </c>
      <c r="AA9" s="761">
        <f>'[1]D4.)RateIII_RateDevelopment'!$F$57</f>
        <v>350800</v>
      </c>
      <c r="AB9" s="1"/>
      <c r="AD9" s="1137"/>
      <c r="AE9" s="1139"/>
      <c r="AF9" s="1139"/>
      <c r="AG9" s="1139"/>
      <c r="AH9" s="1139"/>
      <c r="AI9" s="1140"/>
    </row>
    <row r="10" spans="1:35" ht="15.5" outlineLevel="1" thickTop="1" thickBot="1" x14ac:dyDescent="0.4">
      <c r="A10" s="3" t="s">
        <v>958</v>
      </c>
      <c r="B10" s="3"/>
      <c r="C10" s="3"/>
      <c r="D10" s="3"/>
      <c r="E10" s="3"/>
      <c r="F10" s="3"/>
      <c r="G10" s="310">
        <f>'13A.)TODM_RateDesignSummary'!D77</f>
        <v>13.969999999999999</v>
      </c>
      <c r="H10" s="169">
        <f t="shared" si="0"/>
        <v>14.420000000000002</v>
      </c>
      <c r="I10" s="3"/>
      <c r="J10" s="33" t="s">
        <v>137</v>
      </c>
      <c r="K10" s="17"/>
      <c r="L10" s="689">
        <f>HLOOKUP($L$6,'[1]A1.)RatesInput'!$D$63:$J$83,'[1]A1.)RatesInput'!$A$81,0)</f>
        <v>1.0119199999999999</v>
      </c>
      <c r="M10" s="3"/>
      <c r="V10" s="1165" t="s">
        <v>2207</v>
      </c>
      <c r="W10" s="1159">
        <f>'11E.)Demand_RateDesign_SC12_I'!T9</f>
        <v>912</v>
      </c>
      <c r="X10" s="1161">
        <f>'[1]B1.)HYAdjSalesDatabase'!$T$261</f>
        <v>4</v>
      </c>
      <c r="Y10" s="367"/>
      <c r="Z10" s="472"/>
      <c r="AA10" s="472"/>
      <c r="AB10" s="1"/>
      <c r="AD10" s="1137"/>
      <c r="AE10" s="1146" t="s">
        <v>717</v>
      </c>
      <c r="AF10" s="1147" t="s">
        <v>114</v>
      </c>
      <c r="AG10" s="1147" t="s">
        <v>113</v>
      </c>
      <c r="AH10" s="1147" t="s">
        <v>112</v>
      </c>
      <c r="AI10" s="1148" t="s">
        <v>111</v>
      </c>
    </row>
    <row r="11" spans="1:35" ht="15" outlineLevel="1" thickTop="1" x14ac:dyDescent="0.35">
      <c r="A11" s="3" t="s">
        <v>959</v>
      </c>
      <c r="B11" s="3"/>
      <c r="C11" s="3"/>
      <c r="D11" s="3"/>
      <c r="E11" s="3"/>
      <c r="F11" s="3"/>
      <c r="G11" s="310">
        <f>'13A.)TODM_RateDesignSummary'!D78</f>
        <v>7.55</v>
      </c>
      <c r="H11" s="169">
        <f>H108</f>
        <v>7.7900000000000009</v>
      </c>
      <c r="I11" s="3"/>
      <c r="J11" s="33" t="s">
        <v>136</v>
      </c>
      <c r="K11" s="17"/>
      <c r="L11" s="689">
        <f>HLOOKUP($L$6,'[1]A1.)RatesInput'!$D$63:$J$83,'[1]A1.)RatesInput'!$A$82,0)</f>
        <v>1.01067</v>
      </c>
      <c r="M11" s="3"/>
      <c r="P11" s="165" t="s">
        <v>113</v>
      </c>
      <c r="Q11" s="162" t="str">
        <f>Q$6</f>
        <v>D1</v>
      </c>
      <c r="R11" s="162" t="str">
        <f>R$6</f>
        <v>8-6</v>
      </c>
      <c r="S11" s="161"/>
      <c r="T11" s="164" t="str">
        <f>T$6</f>
        <v>On Peak</v>
      </c>
      <c r="U11" s="161"/>
      <c r="V11" s="367" t="s">
        <v>643</v>
      </c>
      <c r="W11" s="386">
        <f>'[1]D4.)RateIII_RateDevelopment'!$K$41</f>
        <v>0</v>
      </c>
      <c r="X11" s="386">
        <f>'[1]D4.)RateIII_RateDevelopment'!$K$62</f>
        <v>0</v>
      </c>
      <c r="Y11" s="367" t="s">
        <v>1393</v>
      </c>
      <c r="Z11" s="386">
        <f>'[1]D4.)RateIII_RateDevelopment'!$K$36</f>
        <v>48318454</v>
      </c>
      <c r="AA11" s="386">
        <f>'[1]D4.)RateIII_RateDevelopment'!$K$58</f>
        <v>434102</v>
      </c>
      <c r="AB11" s="1" t="str">
        <f t="shared" ref="AB11:AB12" si="1">P11</f>
        <v>Winter (LT)</v>
      </c>
      <c r="AD11" s="1136" t="s">
        <v>2209</v>
      </c>
      <c r="AE11" s="1166">
        <f>'[2]3C.)HY_Metering PxOut'!$B$54</f>
        <v>12</v>
      </c>
      <c r="AF11" s="1129">
        <f>ROUND($AE11*$X$10/($X$10+$X$15+$X$20+$X$25),0)</f>
        <v>4</v>
      </c>
      <c r="AG11" s="1129">
        <f>AE11-AF11-AH11-AI11</f>
        <v>8</v>
      </c>
      <c r="AH11" s="1129">
        <f>ROUND($AE11*$X$20/($X$10+$X$15+$X$20+$X$25),0)</f>
        <v>0</v>
      </c>
      <c r="AI11" s="1130">
        <f>ROUND($AE11*$X$25/($X$10+$X$15+$X$20+$X$25),0)</f>
        <v>0</v>
      </c>
    </row>
    <row r="12" spans="1:35" outlineLevel="1" x14ac:dyDescent="0.35">
      <c r="A12" s="3" t="s">
        <v>960</v>
      </c>
      <c r="B12" s="3"/>
      <c r="C12" s="3"/>
      <c r="D12" s="3"/>
      <c r="E12" s="3"/>
      <c r="F12" s="3"/>
      <c r="G12" s="310">
        <f>'13A.)TODM_RateDesignSummary'!D79</f>
        <v>17.84</v>
      </c>
      <c r="H12" s="169">
        <f t="shared" ref="H12:H13" si="2">H109</f>
        <v>18.41</v>
      </c>
      <c r="I12" s="3"/>
      <c r="J12" s="33"/>
      <c r="L12" s="454"/>
      <c r="P12" s="160" t="s">
        <v>113</v>
      </c>
      <c r="Q12" s="157" t="str">
        <f>Q$7</f>
        <v>D2</v>
      </c>
      <c r="R12" s="157" t="str">
        <f>R$7</f>
        <v>8-10</v>
      </c>
      <c r="S12" s="156"/>
      <c r="T12" s="159" t="str">
        <f>T$7</f>
        <v>Off Peak</v>
      </c>
      <c r="U12" s="156"/>
      <c r="V12" s="367" t="s">
        <v>644</v>
      </c>
      <c r="W12" s="387">
        <f>'[1]D4.)RateIII_RateDevelopment'!$K$42</f>
        <v>260813.21</v>
      </c>
      <c r="X12" s="387">
        <f>'[1]D4.)RateIII_RateDevelopment'!$K$63</f>
        <v>2127</v>
      </c>
      <c r="Y12" s="367" t="s">
        <v>445</v>
      </c>
      <c r="Z12" s="387">
        <f>'[1]D4.)RateIII_RateDevelopment'!$K$37</f>
        <v>66973592</v>
      </c>
      <c r="AA12" s="387">
        <f>'[1]D4.)RateIII_RateDevelopment'!$K$59</f>
        <v>568298</v>
      </c>
      <c r="AB12" s="1" t="str">
        <f t="shared" si="1"/>
        <v>Winter (LT)</v>
      </c>
      <c r="AD12" s="1136" t="s">
        <v>2210</v>
      </c>
      <c r="AE12" s="1166">
        <f>'[2]3C.)HY_Metering PxOut'!$C$54</f>
        <v>0</v>
      </c>
      <c r="AF12" s="1129">
        <f>ROUND($AE12*$X$10/($X$10+$X$15+$X$20+$X$25),0)</f>
        <v>0</v>
      </c>
      <c r="AG12" s="1129">
        <f>AE12-AF12-AH12-AI12</f>
        <v>0</v>
      </c>
      <c r="AH12" s="1129">
        <f>ROUND($AE12*$X$20/($X$10+$X$15+$X$20+$X$25),0)</f>
        <v>0</v>
      </c>
      <c r="AI12" s="1130">
        <f>ROUND($AE12*$X$25/($X$10+$X$15+$X$20+$X$25),0)</f>
        <v>0</v>
      </c>
    </row>
    <row r="13" spans="1:35" ht="15" outlineLevel="1" thickBot="1" x14ac:dyDescent="0.4">
      <c r="A13" s="3" t="s">
        <v>961</v>
      </c>
      <c r="B13" s="3"/>
      <c r="C13" s="3"/>
      <c r="D13" s="3"/>
      <c r="E13" s="3"/>
      <c r="F13" s="3"/>
      <c r="G13" s="310">
        <f>'13A.)TODM_RateDesignSummary'!D80</f>
        <v>18.350000000000001</v>
      </c>
      <c r="H13" s="169">
        <f t="shared" si="2"/>
        <v>18.940000000000001</v>
      </c>
      <c r="I13" s="3"/>
      <c r="P13" s="155" t="s">
        <v>113</v>
      </c>
      <c r="Q13" s="154" t="str">
        <f>Q8</f>
        <v>D3</v>
      </c>
      <c r="R13" s="154" t="str">
        <f>R8</f>
        <v>All Day</v>
      </c>
      <c r="S13" s="153"/>
      <c r="T13" s="453"/>
      <c r="U13" s="477"/>
      <c r="V13" s="367" t="s">
        <v>645</v>
      </c>
      <c r="W13" s="172">
        <f>'[1]D4.)RateIII_RateDevelopment'!$K$43</f>
        <v>267492.5</v>
      </c>
      <c r="X13" s="172">
        <f>'[1]D4.)RateIII_RateDevelopment'!$K$64</f>
        <v>2522</v>
      </c>
      <c r="Y13" s="367"/>
      <c r="Z13" s="477"/>
      <c r="AA13" s="477"/>
      <c r="AB13" s="1"/>
      <c r="AD13" s="1137"/>
      <c r="AE13" s="1141">
        <f>AE11+AE12-X10-X15-X20-X25</f>
        <v>0</v>
      </c>
      <c r="AF13" s="1139"/>
      <c r="AG13" s="1139"/>
      <c r="AH13" s="1139"/>
      <c r="AI13" s="1140"/>
    </row>
    <row r="14" spans="1:35" ht="15.5" outlineLevel="1" thickTop="1" thickBot="1" x14ac:dyDescent="0.4">
      <c r="A14" s="368" t="s">
        <v>2141</v>
      </c>
      <c r="B14" s="368"/>
      <c r="C14" s="368"/>
      <c r="F14" s="3"/>
      <c r="G14" s="310">
        <f>'13A.)TODM_RateDesignSummary'!D81</f>
        <v>7.9000000000000008E-3</v>
      </c>
      <c r="H14" s="169">
        <f>H167</f>
        <v>7.9000000000000008E-3</v>
      </c>
      <c r="I14" s="3"/>
      <c r="J14" s="33" t="s">
        <v>1477</v>
      </c>
      <c r="K14" s="17"/>
      <c r="L14" s="964">
        <f>'[2]6A.)RateChange'!BF58</f>
        <v>4.245401E-2</v>
      </c>
      <c r="P14" s="1158" t="s">
        <v>2207</v>
      </c>
      <c r="Q14" s="1161">
        <f>W15+X15</f>
        <v>1832</v>
      </c>
      <c r="R14" s="3"/>
      <c r="S14" s="717">
        <f>W14+X14</f>
        <v>270014.5</v>
      </c>
      <c r="U14" s="717">
        <f>Z14+AA14</f>
        <v>116500446</v>
      </c>
      <c r="V14" s="367"/>
      <c r="W14" s="761">
        <f>'[1]D4.)RateIII_RateDevelopment'!$K$40</f>
        <v>267492.5</v>
      </c>
      <c r="X14" s="761">
        <f>'[1]D4.)RateIII_RateDevelopment'!$K$61</f>
        <v>2522</v>
      </c>
      <c r="Y14" s="367"/>
      <c r="Z14" s="761">
        <f>'[1]D4.)RateIII_RateDevelopment'!$K$35</f>
        <v>115292046</v>
      </c>
      <c r="AA14" s="761">
        <f>'[1]D4.)RateIII_RateDevelopment'!$K$57</f>
        <v>1208400</v>
      </c>
      <c r="AB14" s="1"/>
      <c r="AD14" s="1137"/>
      <c r="AE14" s="1139"/>
      <c r="AF14" s="1139"/>
      <c r="AG14" s="1139"/>
      <c r="AH14" s="1139"/>
      <c r="AI14" s="1140"/>
    </row>
    <row r="15" spans="1:35" ht="15.5" outlineLevel="1" thickTop="1" thickBot="1" x14ac:dyDescent="0.4">
      <c r="A15" s="368" t="s">
        <v>2142</v>
      </c>
      <c r="B15" s="368"/>
      <c r="C15" s="368"/>
      <c r="F15" s="3"/>
      <c r="G15" s="310">
        <f>'13A.)TODM_RateDesignSummary'!D82</f>
        <v>7.9000000000000008E-3</v>
      </c>
      <c r="H15" s="169">
        <f>H168</f>
        <v>7.9000000000000008E-3</v>
      </c>
      <c r="I15" s="3"/>
      <c r="L15" s="135" t="s">
        <v>135</v>
      </c>
      <c r="M15" s="135" t="s">
        <v>134</v>
      </c>
      <c r="V15" s="1165" t="s">
        <v>2207</v>
      </c>
      <c r="W15" s="1159">
        <f>'11E.)Demand_RateDesign_SC12_I'!T14</f>
        <v>1824</v>
      </c>
      <c r="X15" s="1161">
        <f>'[1]B1.)HYAdjSalesDatabase'!$U$261</f>
        <v>8</v>
      </c>
      <c r="Y15" s="367"/>
      <c r="AB15" s="1"/>
      <c r="AD15" s="1137"/>
      <c r="AE15" s="1146" t="s">
        <v>2212</v>
      </c>
      <c r="AF15" s="1147" t="s">
        <v>114</v>
      </c>
      <c r="AG15" s="1147" t="s">
        <v>113</v>
      </c>
      <c r="AH15" s="1147" t="s">
        <v>112</v>
      </c>
      <c r="AI15" s="1148" t="s">
        <v>111</v>
      </c>
    </row>
    <row r="16" spans="1:35" ht="15" outlineLevel="1" thickTop="1" x14ac:dyDescent="0.35">
      <c r="A16" s="368" t="s">
        <v>2143</v>
      </c>
      <c r="B16" s="368"/>
      <c r="C16" s="368"/>
      <c r="F16" s="3"/>
      <c r="G16" s="310">
        <f>'13A.)TODM_RateDesignSummary'!D83</f>
        <v>7.9000000000000008E-3</v>
      </c>
      <c r="H16" s="169">
        <f>J167</f>
        <v>7.9000000000000008E-3</v>
      </c>
      <c r="I16" s="3"/>
      <c r="J16" s="33" t="s">
        <v>1467</v>
      </c>
      <c r="L16" s="245">
        <f>'[2]6B.)RateChgAllocation'!$N$55+'[2]6B.)RateChgAllocation'!$N$57</f>
        <v>471555.17084240564</v>
      </c>
      <c r="M16" s="701">
        <f>ROUND(L16/L$9,0)</f>
        <v>466388</v>
      </c>
      <c r="P16" s="165" t="s">
        <v>112</v>
      </c>
      <c r="Q16" s="162" t="str">
        <f>Q$6</f>
        <v>D1</v>
      </c>
      <c r="R16" s="162" t="str">
        <f>R$6</f>
        <v>8-6</v>
      </c>
      <c r="S16" s="161"/>
      <c r="T16" s="164" t="str">
        <f>T$6</f>
        <v>On Peak</v>
      </c>
      <c r="U16" s="161"/>
      <c r="V16" s="367" t="s">
        <v>643</v>
      </c>
      <c r="W16" s="386">
        <f>'[1]D4.)RateIII_RateDevelopment'!$F$32</f>
        <v>0</v>
      </c>
      <c r="X16" s="386">
        <f>'[1]D4.)RateIII_RateDevelopment'!$F$54</f>
        <v>0</v>
      </c>
      <c r="Y16" s="367" t="s">
        <v>1393</v>
      </c>
      <c r="Z16" s="386">
        <f>'[1]D4.)RateIII_RateDevelopment'!$F$28</f>
        <v>0</v>
      </c>
      <c r="AA16" s="386">
        <f>'[1]D4.)RateIII_RateDevelopment'!$F$50</f>
        <v>0</v>
      </c>
      <c r="AB16" s="1" t="str">
        <f>P16</f>
        <v>Summer (HT)</v>
      </c>
      <c r="AD16" s="1136" t="s">
        <v>2209</v>
      </c>
      <c r="AE16" s="1166">
        <f>AE6+AE11</f>
        <v>2136</v>
      </c>
      <c r="AF16" s="1129">
        <f t="shared" ref="AF16:AI17" si="3">AF6+AF11</f>
        <v>712</v>
      </c>
      <c r="AG16" s="1129">
        <f t="shared" si="3"/>
        <v>1424</v>
      </c>
      <c r="AH16" s="1129">
        <f t="shared" si="3"/>
        <v>0</v>
      </c>
      <c r="AI16" s="1130">
        <f t="shared" si="3"/>
        <v>0</v>
      </c>
    </row>
    <row r="17" spans="1:35" outlineLevel="1" x14ac:dyDescent="0.35">
      <c r="A17" s="368" t="s">
        <v>2144</v>
      </c>
      <c r="B17" s="368"/>
      <c r="C17" s="368"/>
      <c r="F17" s="3"/>
      <c r="G17" s="310">
        <f>'13A.)TODM_RateDesignSummary'!D84</f>
        <v>7.9000000000000008E-3</v>
      </c>
      <c r="H17" s="169">
        <f>J168</f>
        <v>7.9000000000000008E-3</v>
      </c>
      <c r="I17" s="3"/>
      <c r="J17" s="33" t="s">
        <v>1465</v>
      </c>
      <c r="L17" s="701">
        <f>'[2]4C.)HY_DemandRatePxOut(Rate I)'!$T$171</f>
        <v>8215762</v>
      </c>
      <c r="P17" s="170" t="s">
        <v>112</v>
      </c>
      <c r="Q17" s="157" t="str">
        <f>Q$7</f>
        <v>D2</v>
      </c>
      <c r="R17" s="157" t="str">
        <f>R$7</f>
        <v>8-10</v>
      </c>
      <c r="S17" s="156"/>
      <c r="T17" s="159" t="str">
        <f>T$7</f>
        <v>Off Peak</v>
      </c>
      <c r="U17" s="156"/>
      <c r="V17" s="367" t="s">
        <v>644</v>
      </c>
      <c r="W17" s="387">
        <f>'[1]D4.)RateIII_RateDevelopment'!$F$33</f>
        <v>0</v>
      </c>
      <c r="X17" s="387">
        <f>'[1]D4.)RateIII_RateDevelopment'!$F$55</f>
        <v>0</v>
      </c>
      <c r="Y17" s="367" t="s">
        <v>445</v>
      </c>
      <c r="Z17" s="387">
        <f>'[1]D4.)RateIII_RateDevelopment'!$F$29</f>
        <v>0</v>
      </c>
      <c r="AA17" s="387">
        <f>'[1]D4.)RateIII_RateDevelopment'!$F$51</f>
        <v>0</v>
      </c>
      <c r="AB17" s="1" t="str">
        <f>P17</f>
        <v>Summer (HT)</v>
      </c>
      <c r="AD17" s="1142" t="s">
        <v>2210</v>
      </c>
      <c r="AE17" s="1167">
        <f>AE7+AE12</f>
        <v>612</v>
      </c>
      <c r="AF17" s="1131">
        <f t="shared" si="3"/>
        <v>204</v>
      </c>
      <c r="AG17" s="1131">
        <f t="shared" si="3"/>
        <v>408</v>
      </c>
      <c r="AH17" s="1131">
        <f t="shared" si="3"/>
        <v>0</v>
      </c>
      <c r="AI17" s="1132">
        <f t="shared" si="3"/>
        <v>0</v>
      </c>
    </row>
    <row r="18" spans="1:35" ht="15" outlineLevel="1" thickBot="1" x14ac:dyDescent="0.4">
      <c r="A18" s="368" t="s">
        <v>2145</v>
      </c>
      <c r="B18" s="368"/>
      <c r="C18" s="368"/>
      <c r="F18" s="3"/>
      <c r="G18" s="310">
        <f>'13A.)TODM_RateDesignSummary'!D85</f>
        <v>7.9000000000000008E-3</v>
      </c>
      <c r="H18" s="169">
        <f>H14</f>
        <v>7.9000000000000008E-3</v>
      </c>
      <c r="I18" s="3"/>
      <c r="J18" s="33" t="s">
        <v>1464</v>
      </c>
      <c r="L18" s="701">
        <f>'[2]4B.)HY_EnergyRatePxOut(Rate I)'!$V$301</f>
        <v>2798501</v>
      </c>
      <c r="P18" s="168" t="s">
        <v>112</v>
      </c>
      <c r="Q18" s="154" t="str">
        <f>Q8</f>
        <v>D3</v>
      </c>
      <c r="R18" s="154" t="str">
        <f>R8</f>
        <v>All Day</v>
      </c>
      <c r="S18" s="477"/>
      <c r="T18" s="453"/>
      <c r="U18" s="477"/>
      <c r="V18" s="367" t="s">
        <v>645</v>
      </c>
      <c r="W18" s="477"/>
      <c r="X18" s="477"/>
      <c r="Y18" s="367"/>
      <c r="Z18" s="477"/>
      <c r="AA18" s="477"/>
      <c r="AB18" s="1"/>
    </row>
    <row r="19" spans="1:35" ht="15.5" outlineLevel="1" thickTop="1" thickBot="1" x14ac:dyDescent="0.4">
      <c r="A19" s="368" t="s">
        <v>2146</v>
      </c>
      <c r="B19" s="368"/>
      <c r="C19" s="368"/>
      <c r="F19" s="3"/>
      <c r="G19" s="310">
        <f>'13A.)TODM_RateDesignSummary'!D86</f>
        <v>7.9000000000000008E-3</v>
      </c>
      <c r="H19" s="169">
        <f t="shared" ref="H19:H21" si="4">H15</f>
        <v>7.9000000000000008E-3</v>
      </c>
      <c r="I19" s="3"/>
      <c r="J19" s="33" t="s">
        <v>1462</v>
      </c>
      <c r="L19" s="701">
        <f>'[2]4E-3.)HY_TODMRatePxOut(SC12)'!$Y$44</f>
        <v>80856</v>
      </c>
      <c r="M19" s="701"/>
      <c r="P19" s="1158" t="s">
        <v>2207</v>
      </c>
      <c r="Q19" s="1161">
        <f>W20+X20</f>
        <v>0</v>
      </c>
      <c r="S19" s="717">
        <f>W19+X19</f>
        <v>0</v>
      </c>
      <c r="T19" s="1"/>
      <c r="U19" s="717">
        <f>Z19+AA19</f>
        <v>0</v>
      </c>
      <c r="V19" s="367"/>
      <c r="W19" s="717">
        <f>'[1]D4.)RateIII_RateDevelopment'!$F$31</f>
        <v>0</v>
      </c>
      <c r="X19" s="717">
        <f>'[1]D4.)RateIII_RateDevelopment'!$F$53</f>
        <v>0</v>
      </c>
      <c r="Y19" s="367"/>
      <c r="Z19" s="717">
        <f>'[1]D4.)RateIII_RateDevelopment'!$F$27</f>
        <v>0</v>
      </c>
      <c r="AA19" s="717">
        <f>'[1]D4.)RateIII_RateDevelopment'!$F$49</f>
        <v>0</v>
      </c>
      <c r="AB19" s="1"/>
    </row>
    <row r="20" spans="1:35" ht="15.5" outlineLevel="1" thickTop="1" thickBot="1" x14ac:dyDescent="0.4">
      <c r="A20" s="368" t="s">
        <v>2147</v>
      </c>
      <c r="B20" s="368"/>
      <c r="C20" s="368"/>
      <c r="F20" s="3"/>
      <c r="G20" s="310">
        <f>'13A.)TODM_RateDesignSummary'!D87</f>
        <v>7.9000000000000008E-3</v>
      </c>
      <c r="H20" s="169">
        <f t="shared" si="4"/>
        <v>7.9000000000000008E-3</v>
      </c>
      <c r="I20" s="3"/>
      <c r="J20" s="33" t="s">
        <v>1463</v>
      </c>
      <c r="L20" s="701">
        <f>'[2]4E-3.)HY_TODMRatePxOut(SC12)'!$Y$80</f>
        <v>12317</v>
      </c>
      <c r="V20" s="1165" t="s">
        <v>2207</v>
      </c>
      <c r="W20" s="1159">
        <f>'11E.)Demand_RateDesign_SC12_I'!T19</f>
        <v>0</v>
      </c>
      <c r="X20" s="1161">
        <f>'[1]B1.)HYAdjSalesDatabase'!$T$260</f>
        <v>0</v>
      </c>
      <c r="Y20" s="367"/>
      <c r="AB20" s="1"/>
    </row>
    <row r="21" spans="1:35" ht="15.5" outlineLevel="1" thickTop="1" thickBot="1" x14ac:dyDescent="0.4">
      <c r="A21" s="368" t="s">
        <v>2148</v>
      </c>
      <c r="B21" s="368"/>
      <c r="C21" s="368"/>
      <c r="F21" s="3"/>
      <c r="G21" s="311">
        <f>'13A.)TODM_RateDesignSummary'!D88</f>
        <v>7.9000000000000008E-3</v>
      </c>
      <c r="H21" s="167">
        <f t="shared" si="4"/>
        <v>7.9000000000000008E-3</v>
      </c>
      <c r="I21" s="3"/>
      <c r="J21" s="33" t="s">
        <v>123</v>
      </c>
      <c r="L21" s="245">
        <f>'[2]6B.)RateChgAllocation'!$M$55</f>
        <v>0</v>
      </c>
      <c r="M21" s="701">
        <f>ROUND(L21/L$9,0)</f>
        <v>0</v>
      </c>
      <c r="P21" s="165" t="s">
        <v>111</v>
      </c>
      <c r="Q21" s="162" t="str">
        <f>Q$6</f>
        <v>D1</v>
      </c>
      <c r="R21" s="162" t="str">
        <f>R$6</f>
        <v>8-6</v>
      </c>
      <c r="S21" s="161"/>
      <c r="T21" s="164" t="str">
        <f>T$6</f>
        <v>On Peak</v>
      </c>
      <c r="U21" s="161"/>
      <c r="V21" s="367" t="s">
        <v>643</v>
      </c>
      <c r="W21" s="386">
        <f>'[1]D4.)RateIII_RateDevelopment'!$K$32</f>
        <v>0</v>
      </c>
      <c r="X21" s="386">
        <f>'[1]D4.)RateIII_RateDevelopment'!$K$54</f>
        <v>0</v>
      </c>
      <c r="Y21" s="367" t="s">
        <v>1393</v>
      </c>
      <c r="Z21" s="386">
        <f>'[1]D4.)RateIII_RateDevelopment'!$K$28</f>
        <v>0</v>
      </c>
      <c r="AA21" s="386">
        <f>'[1]D4.)RateIII_RateDevelopment'!$K$50</f>
        <v>0</v>
      </c>
      <c r="AB21" s="1" t="str">
        <f t="shared" ref="AB21:AB22" si="5">P21</f>
        <v>Winter (HT)</v>
      </c>
    </row>
    <row r="22" spans="1:35" ht="15.5" outlineLevel="1" thickTop="1" thickBot="1" x14ac:dyDescent="0.4">
      <c r="J22" s="33" t="s">
        <v>748</v>
      </c>
      <c r="L22" s="397"/>
      <c r="M22" s="701">
        <f>L22</f>
        <v>0</v>
      </c>
      <c r="N22" s="143"/>
      <c r="P22" s="160" t="s">
        <v>111</v>
      </c>
      <c r="Q22" s="157" t="str">
        <f>Q$7</f>
        <v>D2</v>
      </c>
      <c r="R22" s="157" t="str">
        <f>R$7</f>
        <v>8-10</v>
      </c>
      <c r="S22" s="156"/>
      <c r="T22" s="159" t="str">
        <f>T$7</f>
        <v>Off Peak</v>
      </c>
      <c r="U22" s="156"/>
      <c r="V22" s="367" t="s">
        <v>644</v>
      </c>
      <c r="W22" s="387">
        <f>'[1]D4.)RateIII_RateDevelopment'!$K$33</f>
        <v>0</v>
      </c>
      <c r="X22" s="387">
        <f>'[1]D4.)RateIII_RateDevelopment'!$K$55</f>
        <v>0</v>
      </c>
      <c r="Y22" s="367" t="s">
        <v>445</v>
      </c>
      <c r="Z22" s="387">
        <f>'[1]D4.)RateIII_RateDevelopment'!$K$29</f>
        <v>0</v>
      </c>
      <c r="AA22" s="387">
        <f>'[1]D4.)RateIII_RateDevelopment'!$K$51</f>
        <v>0</v>
      </c>
      <c r="AB22" s="1" t="str">
        <f t="shared" si="5"/>
        <v>Winter (HT)</v>
      </c>
    </row>
    <row r="23" spans="1:35" ht="15.5" outlineLevel="1" thickTop="1" thickBot="1" x14ac:dyDescent="0.4">
      <c r="A23" s="1171" t="s">
        <v>2203</v>
      </c>
      <c r="B23" s="1172"/>
      <c r="C23" s="1173"/>
      <c r="H23" s="1177" t="s">
        <v>1007</v>
      </c>
      <c r="P23" s="155" t="s">
        <v>111</v>
      </c>
      <c r="Q23" s="154" t="str">
        <f>Q8</f>
        <v>D3</v>
      </c>
      <c r="R23" s="154" t="str">
        <f>R8</f>
        <v>All Day</v>
      </c>
      <c r="S23" s="477"/>
      <c r="T23" s="453"/>
      <c r="U23" s="477"/>
      <c r="V23" s="367" t="s">
        <v>645</v>
      </c>
      <c r="W23" s="477"/>
      <c r="X23" s="477"/>
      <c r="Y23" s="367"/>
      <c r="Z23" s="477"/>
      <c r="AA23" s="477"/>
      <c r="AB23" s="1"/>
    </row>
    <row r="24" spans="1:35" ht="15.5" outlineLevel="1" thickTop="1" thickBot="1" x14ac:dyDescent="0.4">
      <c r="A24" s="1174" t="s">
        <v>2229</v>
      </c>
      <c r="B24" s="1175"/>
      <c r="C24" s="1176"/>
      <c r="H24" s="1170">
        <f>'7C.)CustCharge_DemandClasses'!$K$15</f>
        <v>12.45</v>
      </c>
      <c r="I24" s="1"/>
      <c r="J24" s="33" t="s">
        <v>2037</v>
      </c>
      <c r="L24" s="701">
        <f>'[2]6B.)RateChgAllocation'!$C$55+'[2]6B.)RateChgAllocation'!$C$57+'[2]6B.)RateChgAllocation'!$E$55+'[2]6B.)RateChgAllocation'!$E$57</f>
        <v>11578991.170842405</v>
      </c>
      <c r="M24" s="372"/>
      <c r="P24" s="1158" t="s">
        <v>2207</v>
      </c>
      <c r="Q24" s="1161">
        <f>W25+X25</f>
        <v>0</v>
      </c>
      <c r="S24" s="717">
        <f>W24+X24</f>
        <v>2521.6</v>
      </c>
      <c r="T24" s="1"/>
      <c r="U24" s="717">
        <f>Z24+AA24</f>
        <v>0</v>
      </c>
      <c r="V24" s="367"/>
      <c r="W24" s="717">
        <f>'[1]D4.)RateIII_RateDevelopment'!$K$31</f>
        <v>0</v>
      </c>
      <c r="X24" s="717">
        <f>'[1]D4.)RateIII_RateDevelopment'!$K$53</f>
        <v>2521.6</v>
      </c>
      <c r="Z24" s="717">
        <f>'[1]D4.)RateIII_RateDevelopment'!$K$27</f>
        <v>0</v>
      </c>
      <c r="AA24" s="717">
        <f>'[1]D4.)RateIII_RateDevelopment'!$K$49</f>
        <v>0</v>
      </c>
      <c r="AB24" s="1"/>
    </row>
    <row r="25" spans="1:35" ht="15.5" outlineLevel="1" thickTop="1" thickBot="1" x14ac:dyDescent="0.4">
      <c r="I25" s="1"/>
      <c r="J25" s="465"/>
      <c r="K25" s="465"/>
      <c r="L25" s="465"/>
      <c r="M25" s="465"/>
      <c r="S25" s="150"/>
      <c r="V25" s="1165" t="s">
        <v>2207</v>
      </c>
      <c r="W25" s="1159">
        <f>'11E.)Demand_RateDesign_SC12_I'!T24</f>
        <v>0</v>
      </c>
      <c r="X25" s="1161">
        <f>'[1]B1.)HYAdjSalesDatabase'!$U$260</f>
        <v>0</v>
      </c>
    </row>
    <row r="26" spans="1:35" ht="15.5" outlineLevel="1" thickTop="1" thickBot="1" x14ac:dyDescent="0.4">
      <c r="J26" s="465"/>
      <c r="K26" s="465"/>
      <c r="L26" s="465"/>
      <c r="M26" s="465"/>
      <c r="R26" t="s">
        <v>205</v>
      </c>
      <c r="S26" s="151">
        <f>S9+S14+S19+S24</f>
        <v>366335.6</v>
      </c>
      <c r="U26" s="151">
        <f>U9+U14+U19+U24</f>
        <v>156172537</v>
      </c>
      <c r="W26" s="151">
        <f t="shared" ref="W26:X26" si="6">W9+W14+W19+W24</f>
        <v>360652</v>
      </c>
      <c r="X26" s="151">
        <f t="shared" si="6"/>
        <v>5683.6</v>
      </c>
      <c r="Z26" s="151">
        <f t="shared" ref="Z26:AA26" si="7">Z9+Z14+Z19+Z24</f>
        <v>154613337</v>
      </c>
      <c r="AA26" s="151">
        <f t="shared" si="7"/>
        <v>1559200</v>
      </c>
    </row>
    <row r="27" spans="1:35" ht="15" outlineLevel="1" thickTop="1" x14ac:dyDescent="0.35"/>
    <row r="28" spans="1:35" s="148" customFormat="1" outlineLevel="1" x14ac:dyDescent="0.35"/>
    <row r="29" spans="1:35" x14ac:dyDescent="0.35">
      <c r="A29" s="407" t="s">
        <v>663</v>
      </c>
      <c r="B29" s="147"/>
      <c r="C29" s="131"/>
      <c r="D29" s="131"/>
      <c r="E29" s="131"/>
      <c r="F29" s="33" t="s">
        <v>150</v>
      </c>
      <c r="G29" s="595">
        <f>$L$3</f>
        <v>2019</v>
      </c>
      <c r="L29" s="1178" t="s">
        <v>2212</v>
      </c>
      <c r="M29" s="1169" t="s">
        <v>2213</v>
      </c>
    </row>
    <row r="30" spans="1:35" x14ac:dyDescent="0.35">
      <c r="A30" s="131"/>
      <c r="B30" s="131"/>
      <c r="C30" s="131"/>
      <c r="D30" s="131"/>
      <c r="E30" s="131"/>
      <c r="F30" s="33" t="s">
        <v>5</v>
      </c>
      <c r="G30" s="595">
        <f>$L$4</f>
        <v>2020</v>
      </c>
      <c r="H30" t="str">
        <f>$M$4</f>
        <v>RY1</v>
      </c>
      <c r="L30" s="1165" t="s">
        <v>2214</v>
      </c>
      <c r="M30" s="1157">
        <f>H24</f>
        <v>12.45</v>
      </c>
    </row>
    <row r="31" spans="1:35" x14ac:dyDescent="0.35">
      <c r="B31" s="41" t="str">
        <f>$A$4</f>
        <v>SC12 Rate III</v>
      </c>
      <c r="C31" s="133" t="s">
        <v>662</v>
      </c>
      <c r="D31" s="133"/>
      <c r="E31" s="133"/>
      <c r="F31" s="133"/>
      <c r="L31" s="1158"/>
      <c r="M31" s="1158"/>
      <c r="P31"/>
    </row>
    <row r="32" spans="1:35" x14ac:dyDescent="0.35">
      <c r="C32" s="464" t="s">
        <v>1468</v>
      </c>
      <c r="I32" s="130">
        <f>L16</f>
        <v>471555.17084240564</v>
      </c>
      <c r="L32" s="1165" t="s">
        <v>2215</v>
      </c>
      <c r="M32" s="1159">
        <f>AF16+AF17</f>
        <v>916</v>
      </c>
      <c r="P32"/>
    </row>
    <row r="33" spans="3:16" x14ac:dyDescent="0.35">
      <c r="C33" s="464" t="s">
        <v>2219</v>
      </c>
      <c r="I33" s="1215">
        <f>I32-M38</f>
        <v>436963.17084240564</v>
      </c>
      <c r="J33" s="892" t="s">
        <v>79</v>
      </c>
      <c r="L33" s="1165" t="s">
        <v>2216</v>
      </c>
      <c r="M33" s="1159">
        <f>AG16+AG17</f>
        <v>1832</v>
      </c>
      <c r="P33"/>
    </row>
    <row r="34" spans="3:16" x14ac:dyDescent="0.35">
      <c r="C34" t="s">
        <v>696</v>
      </c>
      <c r="H34" s="964">
        <f>L14</f>
        <v>4.245401E-2</v>
      </c>
      <c r="J34" s="892" t="s">
        <v>78</v>
      </c>
      <c r="L34" s="1158"/>
      <c r="M34" s="1158"/>
      <c r="P34"/>
    </row>
    <row r="35" spans="3:16" x14ac:dyDescent="0.35">
      <c r="H35" s="467"/>
      <c r="J35" s="136"/>
      <c r="L35" s="1165" t="s">
        <v>2217</v>
      </c>
      <c r="M35" s="1159">
        <f>AH16+AH17</f>
        <v>0</v>
      </c>
      <c r="P35"/>
    </row>
    <row r="36" spans="3:16" x14ac:dyDescent="0.35">
      <c r="C36" t="s">
        <v>703</v>
      </c>
      <c r="G36" s="135"/>
      <c r="H36" s="135" t="s">
        <v>702</v>
      </c>
      <c r="I36" s="130"/>
      <c r="J36" s="136"/>
      <c r="L36" s="1165" t="s">
        <v>2218</v>
      </c>
      <c r="M36" s="1159">
        <f>AI16+AI17</f>
        <v>0</v>
      </c>
      <c r="P36"/>
    </row>
    <row r="37" spans="3:16" x14ac:dyDescent="0.35">
      <c r="C37" t="s">
        <v>704</v>
      </c>
      <c r="G37" s="1015"/>
      <c r="H37" s="819">
        <f>ROUND(G37*H$34,0)</f>
        <v>0</v>
      </c>
      <c r="I37" s="130"/>
      <c r="J37" s="892" t="s">
        <v>1878</v>
      </c>
      <c r="L37" s="1158"/>
      <c r="M37" s="1159">
        <f>M32+M33+M35+M36-AE16-AE17</f>
        <v>0</v>
      </c>
      <c r="P37"/>
    </row>
    <row r="38" spans="3:16" x14ac:dyDescent="0.35">
      <c r="C38" t="s">
        <v>705</v>
      </c>
      <c r="G38" s="1015"/>
      <c r="H38" s="819">
        <f>ROUND(G38*H$34,0)</f>
        <v>0</v>
      </c>
      <c r="I38" s="130"/>
      <c r="J38" s="892" t="s">
        <v>1879</v>
      </c>
      <c r="L38" s="1165" t="s">
        <v>2282</v>
      </c>
      <c r="M38" s="1160">
        <f>ROUND((M32+M33+M35+M36)*M30*L9,0)</f>
        <v>34592</v>
      </c>
      <c r="P38"/>
    </row>
    <row r="39" spans="3:16" x14ac:dyDescent="0.35">
      <c r="C39" t="s">
        <v>721</v>
      </c>
      <c r="G39" s="1015"/>
      <c r="H39" s="903">
        <f>ROUND(G39*H$34,0)</f>
        <v>0</v>
      </c>
      <c r="J39" s="892" t="s">
        <v>1880</v>
      </c>
      <c r="P39"/>
    </row>
    <row r="40" spans="3:16" x14ac:dyDescent="0.35">
      <c r="C40" t="s">
        <v>726</v>
      </c>
      <c r="G40" s="130"/>
      <c r="I40" s="379">
        <f>SUM(H37:H39)</f>
        <v>0</v>
      </c>
      <c r="J40" s="136" t="s">
        <v>1881</v>
      </c>
      <c r="P40"/>
    </row>
    <row r="41" spans="3:16" x14ac:dyDescent="0.35">
      <c r="C41" t="s">
        <v>722</v>
      </c>
      <c r="G41" s="130"/>
      <c r="H41" s="130"/>
      <c r="I41" s="130">
        <f>I33-I40</f>
        <v>436963.17084240564</v>
      </c>
      <c r="J41" s="136" t="s">
        <v>1979</v>
      </c>
      <c r="P41"/>
    </row>
    <row r="42" spans="3:16" x14ac:dyDescent="0.35">
      <c r="G42" s="130"/>
      <c r="H42" s="130"/>
      <c r="I42" s="130"/>
      <c r="P42"/>
    </row>
    <row r="43" spans="3:16" x14ac:dyDescent="0.35">
      <c r="C43" t="s">
        <v>719</v>
      </c>
      <c r="I43" s="130">
        <f>L17+L19+L18+L20</f>
        <v>11107436</v>
      </c>
      <c r="J43" s="136" t="s">
        <v>1583</v>
      </c>
      <c r="P43"/>
    </row>
    <row r="44" spans="3:16" x14ac:dyDescent="0.35">
      <c r="C44" t="s">
        <v>723</v>
      </c>
      <c r="I44" s="130">
        <f>G156</f>
        <v>1233763</v>
      </c>
      <c r="J44" s="1014" t="s">
        <v>2016</v>
      </c>
      <c r="P44"/>
    </row>
    <row r="45" spans="3:16" x14ac:dyDescent="0.35">
      <c r="C45" t="s">
        <v>724</v>
      </c>
      <c r="I45" s="140">
        <f>I41+I43-I44</f>
        <v>10310636.170842405</v>
      </c>
      <c r="J45" s="1014" t="s">
        <v>1980</v>
      </c>
      <c r="P45"/>
    </row>
    <row r="46" spans="3:16" ht="15" thickBot="1" x14ac:dyDescent="0.4">
      <c r="C46" s="466" t="s">
        <v>701</v>
      </c>
      <c r="H46" s="822">
        <f>L9</f>
        <v>1.01108</v>
      </c>
      <c r="I46" s="345"/>
      <c r="J46" s="136" t="s">
        <v>1302</v>
      </c>
      <c r="P46"/>
    </row>
    <row r="47" spans="3:16" ht="15.5" thickTop="1" thickBot="1" x14ac:dyDescent="0.4">
      <c r="C47" t="s">
        <v>725</v>
      </c>
      <c r="I47" s="991">
        <f>I45/H46</f>
        <v>10197646.250388106</v>
      </c>
      <c r="J47" s="136" t="s">
        <v>1981</v>
      </c>
      <c r="P47"/>
    </row>
    <row r="48" spans="3:16" ht="15" thickTop="1" x14ac:dyDescent="0.35">
      <c r="I48" s="345"/>
      <c r="P48"/>
    </row>
    <row r="49" spans="1:16" x14ac:dyDescent="0.35">
      <c r="B49" s="480" t="s">
        <v>734</v>
      </c>
      <c r="C49" s="380" t="s">
        <v>731</v>
      </c>
      <c r="P49"/>
    </row>
    <row r="50" spans="1:16" x14ac:dyDescent="0.35">
      <c r="B50" s="480"/>
      <c r="C50" s="380"/>
      <c r="F50" s="135" t="s">
        <v>735</v>
      </c>
      <c r="G50" s="135" t="s">
        <v>732</v>
      </c>
      <c r="H50" s="135" t="s">
        <v>733</v>
      </c>
      <c r="P50"/>
    </row>
    <row r="51" spans="1:16" x14ac:dyDescent="0.35">
      <c r="C51" s="3" t="s">
        <v>196</v>
      </c>
      <c r="D51" s="3" t="s">
        <v>42</v>
      </c>
      <c r="F51" s="911">
        <f>H66</f>
        <v>7.55</v>
      </c>
      <c r="G51" s="1006">
        <f>W6+W16</f>
        <v>85869.68</v>
      </c>
      <c r="H51" s="1006">
        <f>X6+X16</f>
        <v>640</v>
      </c>
      <c r="I51" s="134">
        <f>ROUND(F51*(G51+H51),0)</f>
        <v>653148</v>
      </c>
      <c r="J51" s="136" t="s">
        <v>1982</v>
      </c>
      <c r="P51"/>
    </row>
    <row r="52" spans="1:16" x14ac:dyDescent="0.35">
      <c r="C52" s="3"/>
      <c r="D52" s="3" t="s">
        <v>40</v>
      </c>
      <c r="F52" s="911">
        <f>J66</f>
        <v>0</v>
      </c>
      <c r="G52" s="1006">
        <f>W11+W21</f>
        <v>0</v>
      </c>
      <c r="H52" s="1006">
        <f>X11+X21</f>
        <v>0</v>
      </c>
      <c r="I52" s="134">
        <f t="shared" ref="I52:I56" si="8">ROUND(F52*(G52+H52),0)</f>
        <v>0</v>
      </c>
      <c r="P52"/>
    </row>
    <row r="53" spans="1:16" x14ac:dyDescent="0.35">
      <c r="C53" s="3" t="s">
        <v>202</v>
      </c>
      <c r="D53" s="3" t="s">
        <v>42</v>
      </c>
      <c r="F53" s="911">
        <f>H67</f>
        <v>17.84</v>
      </c>
      <c r="G53" s="1007">
        <f>W7+W17</f>
        <v>92433.14</v>
      </c>
      <c r="H53" s="1007">
        <f>X7+X17</f>
        <v>640</v>
      </c>
      <c r="I53" s="134">
        <f t="shared" si="8"/>
        <v>1660425</v>
      </c>
      <c r="J53" s="136" t="s">
        <v>1983</v>
      </c>
      <c r="P53"/>
    </row>
    <row r="54" spans="1:16" x14ac:dyDescent="0.35">
      <c r="C54" s="3"/>
      <c r="D54" s="3" t="s">
        <v>40</v>
      </c>
      <c r="F54" s="911">
        <f>J67</f>
        <v>7.88</v>
      </c>
      <c r="G54" s="1006">
        <f>W12+W22</f>
        <v>260813.21</v>
      </c>
      <c r="H54" s="1006">
        <f>X12+X22</f>
        <v>2127</v>
      </c>
      <c r="I54" s="134">
        <f t="shared" si="8"/>
        <v>2071969</v>
      </c>
      <c r="J54" s="136" t="s">
        <v>1984</v>
      </c>
      <c r="P54"/>
    </row>
    <row r="55" spans="1:16" x14ac:dyDescent="0.35">
      <c r="C55" s="3" t="s">
        <v>198</v>
      </c>
      <c r="D55" s="3" t="s">
        <v>42</v>
      </c>
      <c r="F55" s="911">
        <f>H68</f>
        <v>18.350000000000001</v>
      </c>
      <c r="G55" s="1006">
        <f>W8+W18</f>
        <v>93159.5</v>
      </c>
      <c r="H55" s="1006">
        <f>X8+X18</f>
        <v>640</v>
      </c>
      <c r="I55" s="134">
        <f t="shared" si="8"/>
        <v>1721221</v>
      </c>
      <c r="J55" s="136" t="s">
        <v>1985</v>
      </c>
      <c r="P55"/>
    </row>
    <row r="56" spans="1:16" ht="15" thickBot="1" x14ac:dyDescent="0.4">
      <c r="C56" s="3"/>
      <c r="D56" s="3" t="s">
        <v>40</v>
      </c>
      <c r="F56" s="911">
        <f>J68</f>
        <v>13.969999999999999</v>
      </c>
      <c r="G56" s="1006">
        <f>W13+W23</f>
        <v>267492.5</v>
      </c>
      <c r="H56" s="1006">
        <f>X13+X23</f>
        <v>2522</v>
      </c>
      <c r="I56" s="134">
        <f t="shared" si="8"/>
        <v>3772103</v>
      </c>
      <c r="J56" s="136" t="s">
        <v>1986</v>
      </c>
      <c r="P56"/>
    </row>
    <row r="57" spans="1:16" ht="15.5" thickTop="1" thickBot="1" x14ac:dyDescent="0.4">
      <c r="C57" t="s">
        <v>736</v>
      </c>
      <c r="I57" s="128">
        <f>SUM(I51:I56)</f>
        <v>9878866</v>
      </c>
      <c r="J57" s="136" t="s">
        <v>1987</v>
      </c>
      <c r="P57"/>
    </row>
    <row r="58" spans="1:16" ht="15" thickTop="1" x14ac:dyDescent="0.35">
      <c r="P58"/>
    </row>
    <row r="59" spans="1:16" x14ac:dyDescent="0.35">
      <c r="C59" s="75" t="s">
        <v>658</v>
      </c>
      <c r="D59" s="75"/>
      <c r="E59" s="75"/>
      <c r="F59" s="75"/>
      <c r="I59" s="964">
        <f>ROUND(I47/I57-1,8)</f>
        <v>3.2268909999999998E-2</v>
      </c>
      <c r="J59" s="136" t="s">
        <v>1988</v>
      </c>
      <c r="P59"/>
    </row>
    <row r="60" spans="1:16" x14ac:dyDescent="0.35">
      <c r="P60"/>
    </row>
    <row r="61" spans="1:16" x14ac:dyDescent="0.35">
      <c r="P61"/>
    </row>
    <row r="62" spans="1:16" x14ac:dyDescent="0.35">
      <c r="A62" s="858" t="s">
        <v>666</v>
      </c>
      <c r="P62"/>
    </row>
    <row r="63" spans="1:16" ht="15" thickBot="1" x14ac:dyDescent="0.4">
      <c r="A63" s="406"/>
      <c r="P63"/>
    </row>
    <row r="64" spans="1:16" ht="15.5" thickTop="1" thickBot="1" x14ac:dyDescent="0.4">
      <c r="A64" s="406"/>
      <c r="B64" s="41" t="str">
        <f>$A$4</f>
        <v>SC12 Rate III</v>
      </c>
      <c r="C64" s="3"/>
      <c r="D64" s="3"/>
      <c r="E64" s="3"/>
      <c r="F64" s="3"/>
      <c r="G64" s="3"/>
      <c r="H64" s="1316" t="s">
        <v>82</v>
      </c>
      <c r="I64" s="1317"/>
      <c r="J64" s="1318"/>
      <c r="K64" s="3"/>
      <c r="L64" s="1307" t="s">
        <v>81</v>
      </c>
      <c r="M64" s="1308"/>
      <c r="N64" s="1309"/>
    </row>
    <row r="65" spans="1:21" ht="15" thickTop="1" x14ac:dyDescent="0.35">
      <c r="A65" s="406"/>
      <c r="B65" s="3"/>
      <c r="C65" s="3"/>
      <c r="E65" s="30" t="s">
        <v>80</v>
      </c>
      <c r="F65" s="3"/>
      <c r="G65" s="3"/>
      <c r="H65" s="30" t="s">
        <v>42</v>
      </c>
      <c r="I65" s="30"/>
      <c r="J65" s="30" t="s">
        <v>40</v>
      </c>
      <c r="K65" s="3"/>
      <c r="L65" s="30" t="s">
        <v>42</v>
      </c>
      <c r="M65" s="86"/>
      <c r="N65" s="30" t="s">
        <v>40</v>
      </c>
    </row>
    <row r="66" spans="1:21" x14ac:dyDescent="0.35">
      <c r="B66" s="3" t="s">
        <v>656</v>
      </c>
      <c r="C66" s="3"/>
      <c r="D66" s="121" t="str">
        <f>Q6</f>
        <v>D1</v>
      </c>
      <c r="E66" s="122"/>
      <c r="F66" s="121" t="str">
        <f>R6</f>
        <v>8-6</v>
      </c>
      <c r="G66" s="123"/>
      <c r="H66" s="35">
        <f>G11</f>
        <v>7.55</v>
      </c>
      <c r="I66" s="136" t="s">
        <v>165</v>
      </c>
      <c r="J66" s="35">
        <f>G8</f>
        <v>0</v>
      </c>
      <c r="K66" s="3"/>
      <c r="L66" s="27">
        <f>H66-$J$67</f>
        <v>-0.33000000000000007</v>
      </c>
      <c r="M66" s="1014" t="s">
        <v>1885</v>
      </c>
      <c r="N66" s="3"/>
    </row>
    <row r="67" spans="1:21" x14ac:dyDescent="0.35">
      <c r="B67" s="3"/>
      <c r="C67" s="3"/>
      <c r="D67" s="121" t="str">
        <f>Q7</f>
        <v>D2</v>
      </c>
      <c r="E67" s="122"/>
      <c r="F67" s="121" t="str">
        <f>R7</f>
        <v>8-10</v>
      </c>
      <c r="G67" s="36"/>
      <c r="H67" s="35">
        <f>G12</f>
        <v>17.84</v>
      </c>
      <c r="I67" s="136" t="s">
        <v>166</v>
      </c>
      <c r="J67" s="35">
        <f>G9</f>
        <v>7.88</v>
      </c>
      <c r="K67" s="136" t="s">
        <v>101</v>
      </c>
      <c r="L67" s="27">
        <f>H67-$J$67</f>
        <v>9.9600000000000009</v>
      </c>
      <c r="M67" s="1014" t="s">
        <v>1886</v>
      </c>
      <c r="N67" s="112"/>
      <c r="O67" s="1014" t="s">
        <v>1556</v>
      </c>
    </row>
    <row r="68" spans="1:21" x14ac:dyDescent="0.35">
      <c r="B68" s="3"/>
      <c r="C68" s="3"/>
      <c r="D68" s="121" t="str">
        <f>Q8</f>
        <v>D3</v>
      </c>
      <c r="E68" s="122"/>
      <c r="F68" s="121" t="str">
        <f>R8</f>
        <v>All Day</v>
      </c>
      <c r="G68" s="36"/>
      <c r="H68" s="35">
        <f>G13</f>
        <v>18.350000000000001</v>
      </c>
      <c r="I68" s="136" t="s">
        <v>138</v>
      </c>
      <c r="J68" s="35">
        <f>G10</f>
        <v>13.969999999999999</v>
      </c>
      <c r="K68" s="136" t="s">
        <v>100</v>
      </c>
      <c r="L68" s="27">
        <f>H68-$J$67</f>
        <v>10.470000000000002</v>
      </c>
      <c r="M68" s="1014" t="s">
        <v>1887</v>
      </c>
      <c r="N68" s="27">
        <f>J68-$J$67</f>
        <v>6.089999999999999</v>
      </c>
      <c r="O68" s="1014" t="s">
        <v>1888</v>
      </c>
    </row>
    <row r="69" spans="1:21" x14ac:dyDescent="0.35">
      <c r="B69" s="3"/>
      <c r="C69" s="3"/>
      <c r="D69" s="3"/>
      <c r="E69" s="123"/>
      <c r="F69" s="123"/>
      <c r="G69" s="36"/>
      <c r="H69" s="120"/>
      <c r="J69" s="120"/>
      <c r="L69" s="27"/>
      <c r="M69" s="142"/>
      <c r="N69" s="61"/>
      <c r="O69" s="142"/>
    </row>
    <row r="70" spans="1:21" ht="15" thickBot="1" x14ac:dyDescent="0.4">
      <c r="K70" s="100" t="s">
        <v>688</v>
      </c>
      <c r="L70" s="906">
        <f>I59</f>
        <v>3.2268909999999998E-2</v>
      </c>
      <c r="M70" s="1014" t="s">
        <v>1601</v>
      </c>
      <c r="O70" s="142"/>
    </row>
    <row r="71" spans="1:21" ht="15.5" thickTop="1" thickBot="1" x14ac:dyDescent="0.4">
      <c r="B71" s="119" t="s">
        <v>77</v>
      </c>
      <c r="L71" s="1307" t="s">
        <v>76</v>
      </c>
      <c r="M71" s="1308"/>
      <c r="N71" s="1309"/>
      <c r="O71" s="142"/>
    </row>
    <row r="72" spans="1:21" ht="15.5" thickTop="1" thickBot="1" x14ac:dyDescent="0.4">
      <c r="C72" s="41" t="str">
        <f>B64</f>
        <v>SC12 Rate III</v>
      </c>
      <c r="D72" s="41" t="str">
        <f>$B$66</f>
        <v>(HT &amp; LT)</v>
      </c>
      <c r="H72" s="118" t="s">
        <v>42</v>
      </c>
      <c r="I72" s="118" t="s">
        <v>40</v>
      </c>
      <c r="L72" s="30" t="s">
        <v>42</v>
      </c>
      <c r="M72" s="86"/>
      <c r="N72" s="30" t="s">
        <v>40</v>
      </c>
      <c r="O72" s="142"/>
    </row>
    <row r="73" spans="1:21" x14ac:dyDescent="0.35">
      <c r="C73" s="121" t="str">
        <f>D66</f>
        <v>D1</v>
      </c>
      <c r="D73" s="121" t="str">
        <f>F66</f>
        <v>8-6</v>
      </c>
      <c r="H73" s="117" t="str">
        <f>CONCATENATE("X + ",L73)</f>
        <v>X + -0.34</v>
      </c>
      <c r="I73" s="457"/>
      <c r="L73" s="27">
        <f>ROUND(L66*(1+$L$70),2)</f>
        <v>-0.34</v>
      </c>
      <c r="M73" s="1043" t="s">
        <v>2047</v>
      </c>
      <c r="O73" s="142"/>
    </row>
    <row r="74" spans="1:21" x14ac:dyDescent="0.35">
      <c r="C74" s="121" t="str">
        <f>D67</f>
        <v>D2</v>
      </c>
      <c r="D74" s="121" t="str">
        <f>F67</f>
        <v>8-10</v>
      </c>
      <c r="H74" s="114" t="str">
        <f>CONCATENATE("X + ",L74)</f>
        <v>X + 10.28</v>
      </c>
      <c r="I74" s="115" t="s">
        <v>32</v>
      </c>
      <c r="L74" s="27">
        <f>ROUND(L67*(1+$L$70),2)</f>
        <v>10.28</v>
      </c>
      <c r="M74" s="1043" t="s">
        <v>2048</v>
      </c>
      <c r="N74" s="112"/>
      <c r="O74" s="1014" t="s">
        <v>1556</v>
      </c>
    </row>
    <row r="75" spans="1:21" s="1" customFormat="1" ht="15" thickBot="1" x14ac:dyDescent="0.4">
      <c r="A75"/>
      <c r="C75" s="121" t="str">
        <f>D68</f>
        <v>D3</v>
      </c>
      <c r="D75" s="121" t="str">
        <f>F68</f>
        <v>All Day</v>
      </c>
      <c r="E75"/>
      <c r="F75"/>
      <c r="H75" s="111" t="str">
        <f>CONCATENATE("X + ",L75)</f>
        <v>X + 10.81</v>
      </c>
      <c r="I75" s="110" t="str">
        <f>CONCATENATE("X + ",N75)</f>
        <v>X + 6.29</v>
      </c>
      <c r="J75"/>
      <c r="K75"/>
      <c r="L75" s="27">
        <f>ROUND(L68*(1+$L$70),2)</f>
        <v>10.81</v>
      </c>
      <c r="M75" s="1043" t="s">
        <v>2049</v>
      </c>
      <c r="N75" s="27">
        <f>ROUND(N68*(1+$L$70),2)</f>
        <v>6.29</v>
      </c>
      <c r="O75" s="1043" t="s">
        <v>2046</v>
      </c>
      <c r="Q75"/>
      <c r="R75"/>
      <c r="S75"/>
      <c r="T75"/>
      <c r="U75"/>
    </row>
    <row r="76" spans="1:21" s="1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N76"/>
      <c r="O76"/>
      <c r="Q76"/>
      <c r="R76"/>
      <c r="S76"/>
      <c r="T76"/>
      <c r="U76"/>
    </row>
    <row r="77" spans="1:21" s="1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Q77"/>
      <c r="R77"/>
      <c r="S77"/>
      <c r="T77"/>
      <c r="U77"/>
    </row>
    <row r="78" spans="1:21" s="1" customFormat="1" x14ac:dyDescent="0.35">
      <c r="A78"/>
      <c r="B78" s="334" t="s">
        <v>70</v>
      </c>
      <c r="C78"/>
      <c r="D78"/>
      <c r="E78"/>
      <c r="F78"/>
      <c r="G78"/>
      <c r="H78"/>
      <c r="I78"/>
      <c r="J78"/>
      <c r="K78"/>
      <c r="L78"/>
      <c r="M78"/>
      <c r="N78"/>
      <c r="O78"/>
      <c r="Q78"/>
      <c r="R78"/>
      <c r="S78"/>
      <c r="T78"/>
      <c r="U78"/>
    </row>
    <row r="79" spans="1:21" s="1" customFormat="1" x14ac:dyDescent="0.35">
      <c r="A79"/>
      <c r="B79" s="41" t="str">
        <f>$A$4</f>
        <v>SC12 Rate III</v>
      </c>
      <c r="C79"/>
      <c r="D79"/>
      <c r="E79"/>
      <c r="F79"/>
      <c r="G79"/>
      <c r="H79"/>
      <c r="I79"/>
      <c r="J79"/>
      <c r="K79"/>
      <c r="L79"/>
      <c r="M79"/>
      <c r="N79"/>
      <c r="O79"/>
      <c r="Q79"/>
      <c r="R79"/>
      <c r="S79"/>
      <c r="T79"/>
      <c r="U79"/>
    </row>
    <row r="80" spans="1:21" s="1" customFormat="1" ht="15" thickBot="1" x14ac:dyDescent="0.4">
      <c r="A80"/>
      <c r="B80" s="70" t="s">
        <v>69</v>
      </c>
      <c r="C80" s="70"/>
      <c r="D80" s="70"/>
      <c r="E80" s="3"/>
      <c r="F80" s="3"/>
      <c r="G80" s="135" t="s">
        <v>732</v>
      </c>
      <c r="H80" s="135" t="s">
        <v>733</v>
      </c>
      <c r="I80" s="135" t="s">
        <v>737</v>
      </c>
      <c r="J80" s="3"/>
      <c r="K80" s="3"/>
      <c r="L80"/>
      <c r="M80"/>
      <c r="N80"/>
      <c r="O80"/>
      <c r="Q80"/>
      <c r="R80"/>
      <c r="S80"/>
      <c r="T80"/>
      <c r="U80"/>
    </row>
    <row r="81" spans="1:21" s="1" customFormat="1" x14ac:dyDescent="0.35">
      <c r="A81"/>
      <c r="B81" s="3"/>
      <c r="C81" s="392" t="str">
        <f>CONCATENATE(D66,": ",F66)</f>
        <v>D1: 8-6</v>
      </c>
      <c r="D81" s="3" t="s">
        <v>42</v>
      </c>
      <c r="F81" s="3"/>
      <c r="G81" s="515">
        <f>G51</f>
        <v>85869.68</v>
      </c>
      <c r="H81" s="515">
        <f t="shared" ref="H81:H86" si="9">H51</f>
        <v>640</v>
      </c>
      <c r="I81" s="905">
        <f>G81+H81</f>
        <v>86509.68</v>
      </c>
      <c r="J81" s="36"/>
      <c r="K81" s="74" t="str">
        <f>CONCATENATE("[",H73,"]")</f>
        <v>[X + -0.34]</v>
      </c>
      <c r="L81" s="61"/>
      <c r="M81"/>
      <c r="N81"/>
      <c r="O81"/>
      <c r="Q81"/>
      <c r="R81"/>
      <c r="S81"/>
      <c r="T81"/>
      <c r="U81"/>
    </row>
    <row r="82" spans="1:21" s="1" customFormat="1" x14ac:dyDescent="0.35">
      <c r="A82"/>
      <c r="B82" s="3"/>
      <c r="C82" s="464"/>
      <c r="D82" s="3" t="s">
        <v>40</v>
      </c>
      <c r="F82" s="3"/>
      <c r="G82" s="515">
        <f t="shared" ref="G82:G86" si="10">G52</f>
        <v>0</v>
      </c>
      <c r="H82" s="515">
        <f t="shared" si="9"/>
        <v>0</v>
      </c>
      <c r="I82" s="1008">
        <f t="shared" ref="I82:I86" si="11">G82+H82</f>
        <v>0</v>
      </c>
      <c r="J82" s="36" t="s">
        <v>39</v>
      </c>
      <c r="K82" s="456"/>
      <c r="L82"/>
      <c r="M82"/>
      <c r="N82"/>
      <c r="O82"/>
      <c r="Q82"/>
      <c r="R82"/>
      <c r="S82"/>
      <c r="T82"/>
      <c r="U82"/>
    </row>
    <row r="83" spans="1:21" s="1" customFormat="1" x14ac:dyDescent="0.35">
      <c r="A83"/>
      <c r="B83" s="3"/>
      <c r="C83" s="392" t="str">
        <f>CONCATENATE(D67,": ",F67)</f>
        <v>D2: 8-10</v>
      </c>
      <c r="D83" s="3" t="s">
        <v>42</v>
      </c>
      <c r="F83" s="3"/>
      <c r="G83" s="515">
        <f t="shared" si="10"/>
        <v>92433.14</v>
      </c>
      <c r="H83" s="515">
        <f t="shared" si="9"/>
        <v>640</v>
      </c>
      <c r="I83" s="905">
        <f t="shared" si="11"/>
        <v>93073.14</v>
      </c>
      <c r="J83" s="36"/>
      <c r="K83" s="73" t="str">
        <f>CONCATENATE("[",H74,"]")</f>
        <v>[X + 10.28]</v>
      </c>
      <c r="L83" s="61"/>
      <c r="M83"/>
      <c r="N83"/>
      <c r="O83"/>
      <c r="Q83"/>
      <c r="R83"/>
      <c r="S83"/>
      <c r="T83"/>
      <c r="U83"/>
    </row>
    <row r="84" spans="1:21" s="1" customFormat="1" x14ac:dyDescent="0.35">
      <c r="A84"/>
      <c r="B84" s="3"/>
      <c r="C84" s="464"/>
      <c r="D84" s="3" t="s">
        <v>40</v>
      </c>
      <c r="F84" s="3"/>
      <c r="G84" s="515">
        <f t="shared" si="10"/>
        <v>260813.21</v>
      </c>
      <c r="H84" s="515">
        <f t="shared" si="9"/>
        <v>2127</v>
      </c>
      <c r="I84" s="1009">
        <f t="shared" si="11"/>
        <v>262940.20999999996</v>
      </c>
      <c r="J84" s="36" t="s">
        <v>39</v>
      </c>
      <c r="K84" s="73" t="str">
        <f>CONCATENATE("[",I74,"]")</f>
        <v>[X]</v>
      </c>
      <c r="L84" s="61"/>
      <c r="M84"/>
      <c r="N84"/>
      <c r="O84"/>
      <c r="Q84"/>
      <c r="R84"/>
      <c r="S84"/>
      <c r="T84"/>
      <c r="U84"/>
    </row>
    <row r="85" spans="1:21" s="1" customFormat="1" x14ac:dyDescent="0.35">
      <c r="A85"/>
      <c r="B85" s="3"/>
      <c r="C85" s="392" t="str">
        <f>CONCATENATE(D68,": ",F68)</f>
        <v>D3: All Day</v>
      </c>
      <c r="D85" s="3" t="s">
        <v>42</v>
      </c>
      <c r="F85" s="3"/>
      <c r="G85" s="515">
        <f t="shared" si="10"/>
        <v>93159.5</v>
      </c>
      <c r="H85" s="515">
        <f t="shared" si="9"/>
        <v>640</v>
      </c>
      <c r="I85" s="905">
        <f t="shared" si="11"/>
        <v>93799.5</v>
      </c>
      <c r="J85" s="36" t="s">
        <v>39</v>
      </c>
      <c r="K85" s="73" t="str">
        <f>CONCATENATE("[",H75,"]")</f>
        <v>[X + 10.81]</v>
      </c>
      <c r="L85" s="61"/>
      <c r="M85"/>
      <c r="N85"/>
      <c r="O85"/>
      <c r="Q85"/>
      <c r="R85"/>
      <c r="S85"/>
      <c r="T85"/>
      <c r="U85"/>
    </row>
    <row r="86" spans="1:21" s="1" customFormat="1" ht="15" thickBot="1" x14ac:dyDescent="0.4">
      <c r="A86"/>
      <c r="B86" s="3"/>
      <c r="C86" s="410"/>
      <c r="D86" s="3" t="s">
        <v>40</v>
      </c>
      <c r="F86" s="3"/>
      <c r="G86" s="515">
        <f t="shared" si="10"/>
        <v>267492.5</v>
      </c>
      <c r="H86" s="515">
        <f t="shared" si="9"/>
        <v>2522</v>
      </c>
      <c r="I86" s="1010">
        <f t="shared" si="11"/>
        <v>270014.5</v>
      </c>
      <c r="J86" s="36" t="s">
        <v>39</v>
      </c>
      <c r="K86" s="71" t="str">
        <f>CONCATENATE("[",I75,"]")</f>
        <v>[X + 6.29]</v>
      </c>
      <c r="L86" s="61"/>
      <c r="M86"/>
      <c r="N86"/>
      <c r="O86"/>
      <c r="Q86"/>
      <c r="R86"/>
      <c r="S86"/>
      <c r="T86"/>
      <c r="U86"/>
    </row>
    <row r="87" spans="1:21" s="1" customFormat="1" x14ac:dyDescent="0.35">
      <c r="A87"/>
      <c r="B87" s="3"/>
      <c r="C87" s="3"/>
      <c r="D87" s="3"/>
      <c r="E87" s="3"/>
      <c r="F87" s="3"/>
      <c r="H87"/>
      <c r="I87" s="28">
        <f>SUM(I81:I86)</f>
        <v>806337.03</v>
      </c>
      <c r="J87" s="61" t="s">
        <v>1568</v>
      </c>
      <c r="K87"/>
      <c r="L87"/>
      <c r="M87"/>
      <c r="N87"/>
      <c r="O87"/>
      <c r="Q87"/>
      <c r="R87"/>
      <c r="S87"/>
      <c r="T87"/>
      <c r="U87"/>
    </row>
    <row r="88" spans="1:21" x14ac:dyDescent="0.35">
      <c r="B88" s="70" t="s">
        <v>660</v>
      </c>
    </row>
    <row r="89" spans="1:21" x14ac:dyDescent="0.35">
      <c r="B89" s="41" t="str">
        <f>$A$4</f>
        <v>SC12 Rate III</v>
      </c>
      <c r="C89" s="3" t="s">
        <v>656</v>
      </c>
      <c r="F89" s="3"/>
      <c r="G89" s="3"/>
      <c r="H89" s="3"/>
      <c r="I89" s="69" t="s">
        <v>25</v>
      </c>
      <c r="J89" s="3"/>
      <c r="K89" s="106"/>
      <c r="L89" s="3"/>
      <c r="M89" s="3"/>
      <c r="N89" s="17"/>
    </row>
    <row r="90" spans="1:21" x14ac:dyDescent="0.35">
      <c r="C90" s="3" t="str">
        <f>C81</f>
        <v>D1: 8-6</v>
      </c>
      <c r="D90" s="3" t="str">
        <f>D81</f>
        <v>Summer</v>
      </c>
      <c r="F90" s="3"/>
      <c r="G90" s="3"/>
      <c r="H90" s="3"/>
      <c r="I90" s="105">
        <f t="shared" ref="I90:I95" si="12">I81</f>
        <v>86509.68</v>
      </c>
      <c r="J90" s="65" t="s">
        <v>63</v>
      </c>
      <c r="K90" s="103">
        <f>ROUND(I90*L73,0)</f>
        <v>-29413</v>
      </c>
      <c r="L90" s="3" t="s">
        <v>62</v>
      </c>
      <c r="M90" s="362" t="s">
        <v>1566</v>
      </c>
      <c r="N90" s="17"/>
    </row>
    <row r="91" spans="1:21" x14ac:dyDescent="0.35">
      <c r="C91" s="3"/>
      <c r="D91" s="3" t="str">
        <f>D82</f>
        <v>Winter</v>
      </c>
      <c r="F91" s="3"/>
      <c r="G91" s="3"/>
      <c r="H91" s="3"/>
      <c r="I91" s="105">
        <f t="shared" si="12"/>
        <v>0</v>
      </c>
      <c r="J91" s="65" t="s">
        <v>63</v>
      </c>
      <c r="K91" s="103">
        <f>ROUND(I91*N73,0)</f>
        <v>0</v>
      </c>
      <c r="L91" s="3" t="s">
        <v>62</v>
      </c>
      <c r="M91" s="362"/>
      <c r="N91" s="17"/>
    </row>
    <row r="92" spans="1:21" x14ac:dyDescent="0.35">
      <c r="C92" s="3" t="str">
        <f>C83</f>
        <v>D2: 8-10</v>
      </c>
      <c r="D92" s="3" t="str">
        <f>D83</f>
        <v>Summer</v>
      </c>
      <c r="F92" s="3"/>
      <c r="G92" s="3"/>
      <c r="H92" s="3"/>
      <c r="I92" s="105">
        <f t="shared" si="12"/>
        <v>93073.14</v>
      </c>
      <c r="J92" s="65" t="s">
        <v>63</v>
      </c>
      <c r="K92" s="103">
        <f>ROUND(I92*L74,0)</f>
        <v>956792</v>
      </c>
      <c r="L92" s="3" t="s">
        <v>62</v>
      </c>
      <c r="M92" s="362" t="s">
        <v>1561</v>
      </c>
      <c r="N92" s="17"/>
    </row>
    <row r="93" spans="1:21" x14ac:dyDescent="0.35">
      <c r="C93" s="3"/>
      <c r="D93" s="3" t="str">
        <f>D84</f>
        <v>Winter</v>
      </c>
      <c r="F93" s="3"/>
      <c r="G93" s="3"/>
      <c r="H93" s="3"/>
      <c r="I93" s="105">
        <f t="shared" si="12"/>
        <v>262940.20999999996</v>
      </c>
      <c r="J93" s="65" t="s">
        <v>63</v>
      </c>
      <c r="K93" s="134">
        <f>ROUND(I93*N74,0)</f>
        <v>0</v>
      </c>
      <c r="L93" s="3" t="s">
        <v>62</v>
      </c>
      <c r="M93" s="362" t="s">
        <v>1707</v>
      </c>
      <c r="N93" s="17"/>
    </row>
    <row r="94" spans="1:21" x14ac:dyDescent="0.35">
      <c r="C94" s="3" t="str">
        <f>C85</f>
        <v>D3: All Day</v>
      </c>
      <c r="D94" s="3" t="str">
        <f>D85</f>
        <v>Summer</v>
      </c>
      <c r="F94" s="3"/>
      <c r="G94" s="3"/>
      <c r="H94" s="3"/>
      <c r="I94" s="105">
        <f t="shared" si="12"/>
        <v>93799.5</v>
      </c>
      <c r="J94" s="65" t="s">
        <v>63</v>
      </c>
      <c r="K94" s="103">
        <f>ROUND(I94*L75,0)</f>
        <v>1013973</v>
      </c>
      <c r="L94" s="3" t="s">
        <v>62</v>
      </c>
      <c r="M94" s="362" t="s">
        <v>1562</v>
      </c>
      <c r="N94" s="17"/>
    </row>
    <row r="95" spans="1:21" x14ac:dyDescent="0.35">
      <c r="C95" s="3"/>
      <c r="D95" s="3" t="str">
        <f>D86</f>
        <v>Winter</v>
      </c>
      <c r="F95" s="3"/>
      <c r="G95" s="3"/>
      <c r="H95" s="3"/>
      <c r="I95" s="351">
        <f t="shared" si="12"/>
        <v>270014.5</v>
      </c>
      <c r="J95" s="104" t="s">
        <v>63</v>
      </c>
      <c r="K95" s="977">
        <f>ROUND(I95*N75,0)</f>
        <v>1698391</v>
      </c>
      <c r="L95" s="44" t="s">
        <v>62</v>
      </c>
      <c r="M95" s="362" t="s">
        <v>1997</v>
      </c>
      <c r="N95" s="17"/>
    </row>
    <row r="96" spans="1:21" x14ac:dyDescent="0.35">
      <c r="C96" s="3" t="s">
        <v>659</v>
      </c>
      <c r="F96" s="66"/>
      <c r="G96" s="824">
        <f>I47</f>
        <v>10197646.250388106</v>
      </c>
      <c r="H96" s="63" t="s">
        <v>31</v>
      </c>
      <c r="I96" s="28">
        <f>SUM(I90:I95)</f>
        <v>806337.03</v>
      </c>
      <c r="J96" s="65" t="s">
        <v>63</v>
      </c>
      <c r="K96" s="103">
        <f>SUM(K90:K95)</f>
        <v>3639743</v>
      </c>
      <c r="L96" s="3" t="s">
        <v>1569</v>
      </c>
      <c r="M96" s="362" t="s">
        <v>1563</v>
      </c>
      <c r="N96" s="17"/>
    </row>
    <row r="97" spans="1:21" x14ac:dyDescent="0.35">
      <c r="F97" s="3"/>
      <c r="G97" s="3"/>
      <c r="H97" s="3"/>
      <c r="I97" s="3"/>
      <c r="J97" s="3"/>
      <c r="K97" s="3"/>
      <c r="L97" s="3"/>
      <c r="M97" s="362" t="s">
        <v>1105</v>
      </c>
      <c r="N97" s="17"/>
    </row>
    <row r="98" spans="1:21" x14ac:dyDescent="0.35">
      <c r="F98" s="34"/>
      <c r="G98" s="34">
        <f>G96-K96</f>
        <v>6557903.2503881063</v>
      </c>
      <c r="H98" s="63" t="s">
        <v>31</v>
      </c>
      <c r="I98" s="28">
        <f>I96</f>
        <v>806337.03</v>
      </c>
      <c r="J98" s="65" t="s">
        <v>32</v>
      </c>
      <c r="K98" s="3"/>
      <c r="L98" s="3"/>
      <c r="M98" s="362" t="s">
        <v>1106</v>
      </c>
      <c r="N98" s="17"/>
    </row>
    <row r="99" spans="1:21" ht="15" thickBot="1" x14ac:dyDescent="0.4">
      <c r="F99" s="3"/>
      <c r="G99" s="3"/>
      <c r="H99" s="3"/>
      <c r="I99" s="3"/>
      <c r="J99" s="3"/>
      <c r="K99" s="3"/>
      <c r="L99" s="3"/>
      <c r="M99" s="1044"/>
      <c r="N99" s="17"/>
    </row>
    <row r="100" spans="1:21" s="1" customFormat="1" ht="15.5" thickTop="1" thickBot="1" x14ac:dyDescent="0.4">
      <c r="A100"/>
      <c r="B100"/>
      <c r="C100"/>
      <c r="D100"/>
      <c r="E100"/>
      <c r="F100" s="64"/>
      <c r="G100" s="64" t="s">
        <v>32</v>
      </c>
      <c r="H100" s="63" t="s">
        <v>31</v>
      </c>
      <c r="I100" s="102">
        <f>ROUND(G98/I98,2)</f>
        <v>8.1300000000000008</v>
      </c>
      <c r="J100" s="61" t="s">
        <v>1108</v>
      </c>
      <c r="K100" s="3"/>
      <c r="L100" s="3"/>
      <c r="M100" s="362" t="s">
        <v>1998</v>
      </c>
      <c r="N100" s="17"/>
      <c r="O100"/>
      <c r="Q100"/>
      <c r="R100"/>
      <c r="S100"/>
      <c r="T100"/>
      <c r="U100"/>
    </row>
    <row r="101" spans="1:21" ht="15" thickTop="1" x14ac:dyDescent="0.35">
      <c r="P101"/>
    </row>
    <row r="102" spans="1:21" s="1" customFormat="1" x14ac:dyDescent="0.35">
      <c r="A102"/>
      <c r="B102" s="334" t="str">
        <f>CONCATENATE($A$4," at Proposed Demand Rates")</f>
        <v>SC12 Rate III at Proposed Demand Rates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Q102"/>
      <c r="R102"/>
      <c r="S102"/>
      <c r="T102"/>
      <c r="U102"/>
    </row>
    <row r="103" spans="1:21" s="1" customFormat="1" x14ac:dyDescent="0.35">
      <c r="A103"/>
      <c r="C103" s="3" t="s">
        <v>5</v>
      </c>
      <c r="D103" s="1319">
        <f>$L$4</f>
        <v>2020</v>
      </c>
      <c r="E103" s="1319"/>
      <c r="F103" s="1319"/>
      <c r="G103" s="3"/>
      <c r="H103" s="3"/>
      <c r="I103" s="3"/>
      <c r="J103" s="3"/>
      <c r="K103" s="3"/>
      <c r="L103" s="3"/>
      <c r="M103" s="3"/>
      <c r="Q103"/>
      <c r="R103"/>
      <c r="S103"/>
      <c r="T103"/>
      <c r="U103"/>
    </row>
    <row r="104" spans="1:21" s="1" customFormat="1" ht="15" thickBot="1" x14ac:dyDescent="0.4">
      <c r="A104"/>
      <c r="B10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/>
      <c r="Q104"/>
      <c r="R104"/>
      <c r="S104"/>
      <c r="T104"/>
      <c r="U104"/>
    </row>
    <row r="105" spans="1:21" s="1" customFormat="1" ht="15" thickBot="1" x14ac:dyDescent="0.4">
      <c r="A105"/>
      <c r="B105"/>
      <c r="C105" s="60"/>
      <c r="D105" s="59"/>
      <c r="E105" s="59"/>
      <c r="F105" s="59"/>
      <c r="G105" s="59"/>
      <c r="H105" s="59"/>
      <c r="I105" s="59"/>
      <c r="J105" s="59"/>
      <c r="K105" s="59"/>
      <c r="L105" s="98"/>
      <c r="M105" s="3"/>
      <c r="N105" s="1347" t="s">
        <v>661</v>
      </c>
      <c r="O105" s="1347"/>
      <c r="P105" s="1347"/>
      <c r="Q105" s="1347"/>
      <c r="R105"/>
      <c r="S105"/>
      <c r="T105"/>
      <c r="U105"/>
    </row>
    <row r="106" spans="1:21" s="1" customFormat="1" ht="15.5" thickTop="1" thickBot="1" x14ac:dyDescent="0.4">
      <c r="A106"/>
      <c r="B106"/>
      <c r="C106" s="461" t="str">
        <f>$A$4</f>
        <v>SC12 Rate III</v>
      </c>
      <c r="D106" s="44"/>
      <c r="E106" s="44"/>
      <c r="F106" s="44"/>
      <c r="G106" s="44"/>
      <c r="H106" s="1313" t="s">
        <v>58</v>
      </c>
      <c r="I106" s="1314"/>
      <c r="J106" s="1315"/>
      <c r="K106" s="44"/>
      <c r="L106" s="94"/>
      <c r="N106" s="1347" t="s">
        <v>57</v>
      </c>
      <c r="O106" s="1347"/>
      <c r="P106" s="1347"/>
      <c r="Q106" s="1347"/>
      <c r="R106"/>
      <c r="S106"/>
      <c r="T106"/>
      <c r="U106"/>
    </row>
    <row r="107" spans="1:21" s="1" customFormat="1" ht="15" thickTop="1" x14ac:dyDescent="0.35">
      <c r="A107"/>
      <c r="B107"/>
      <c r="C107" s="96" t="str">
        <f>$B$66</f>
        <v>(HT &amp; LT)</v>
      </c>
      <c r="D107" s="44"/>
      <c r="E107" s="44"/>
      <c r="F107" s="44"/>
      <c r="G107" s="44"/>
      <c r="H107" s="56" t="s">
        <v>10</v>
      </c>
      <c r="I107" s="44"/>
      <c r="J107" s="56" t="s">
        <v>7</v>
      </c>
      <c r="K107" s="44"/>
      <c r="L107" s="94"/>
      <c r="N107" s="36" t="s">
        <v>10</v>
      </c>
      <c r="P107" s="36" t="s">
        <v>7</v>
      </c>
      <c r="Q107"/>
      <c r="R107"/>
      <c r="S107"/>
      <c r="T107"/>
      <c r="U107"/>
    </row>
    <row r="108" spans="1:21" x14ac:dyDescent="0.35">
      <c r="C108" s="96"/>
      <c r="D108" s="56" t="str">
        <f>$C$73</f>
        <v>D1</v>
      </c>
      <c r="E108" s="56"/>
      <c r="F108" s="56" t="str">
        <f>$D$73</f>
        <v>8-6</v>
      </c>
      <c r="G108" s="44"/>
      <c r="H108" s="97">
        <f>$J$109+L73</f>
        <v>7.7900000000000009</v>
      </c>
      <c r="I108" s="358" t="s">
        <v>1896</v>
      </c>
      <c r="J108" s="459"/>
      <c r="K108" s="54"/>
      <c r="L108" s="94"/>
      <c r="N108" s="460">
        <f>H108/H66-1</f>
        <v>3.1788079470198793E-2</v>
      </c>
      <c r="O108" s="358" t="s">
        <v>1901</v>
      </c>
      <c r="P108" s="460"/>
    </row>
    <row r="109" spans="1:21" x14ac:dyDescent="0.35">
      <c r="C109" s="96"/>
      <c r="D109" s="56" t="str">
        <f>$C$74</f>
        <v>D2</v>
      </c>
      <c r="E109" s="56"/>
      <c r="F109" s="56" t="str">
        <f>$D$74</f>
        <v>8-10</v>
      </c>
      <c r="G109" s="44"/>
      <c r="H109" s="97">
        <f>$J$109+L74</f>
        <v>18.41</v>
      </c>
      <c r="I109" s="358" t="s">
        <v>1897</v>
      </c>
      <c r="J109" s="95">
        <f>I100</f>
        <v>8.1300000000000008</v>
      </c>
      <c r="K109" s="358" t="s">
        <v>2003</v>
      </c>
      <c r="L109" s="94"/>
      <c r="N109" s="460">
        <f>H109/H67-1</f>
        <v>3.1950672645739919E-2</v>
      </c>
      <c r="O109" s="358" t="s">
        <v>1902</v>
      </c>
      <c r="P109" s="460">
        <f>J109/J67-1</f>
        <v>3.1725888324873219E-2</v>
      </c>
      <c r="Q109" s="358" t="s">
        <v>1904</v>
      </c>
    </row>
    <row r="110" spans="1:21" x14ac:dyDescent="0.35">
      <c r="C110" s="96"/>
      <c r="D110" s="56" t="str">
        <f>$C$75</f>
        <v>D3</v>
      </c>
      <c r="E110" s="56"/>
      <c r="F110" s="56" t="str">
        <f>$D$75</f>
        <v>All Day</v>
      </c>
      <c r="G110" s="44"/>
      <c r="H110" s="97">
        <f>$J$109+L75</f>
        <v>18.940000000000001</v>
      </c>
      <c r="I110" s="54" t="s">
        <v>1898</v>
      </c>
      <c r="J110" s="97">
        <f>$J$109+N75</f>
        <v>14.420000000000002</v>
      </c>
      <c r="K110" s="358" t="s">
        <v>1900</v>
      </c>
      <c r="L110" s="94"/>
      <c r="N110" s="460">
        <f>H110/H68-1</f>
        <v>3.215258855585823E-2</v>
      </c>
      <c r="O110" s="358" t="s">
        <v>1903</v>
      </c>
      <c r="P110" s="460">
        <f>J110/J68-1</f>
        <v>3.2211882605583497E-2</v>
      </c>
      <c r="Q110" s="358" t="s">
        <v>1905</v>
      </c>
    </row>
    <row r="111" spans="1:21" ht="15" thickBot="1" x14ac:dyDescent="0.4">
      <c r="C111" s="93"/>
      <c r="D111" s="46"/>
      <c r="E111" s="46"/>
      <c r="F111" s="46"/>
      <c r="G111" s="46"/>
      <c r="H111" s="46"/>
      <c r="I111" s="92"/>
      <c r="J111" s="46"/>
      <c r="K111" s="92"/>
      <c r="L111" s="91"/>
      <c r="M111" s="17"/>
    </row>
    <row r="112" spans="1:21" ht="15" thickBot="1" x14ac:dyDescent="0.4">
      <c r="C112" s="1183"/>
      <c r="D112" s="1153" t="s">
        <v>1174</v>
      </c>
      <c r="E112" s="1153"/>
      <c r="F112" s="1153"/>
      <c r="G112" s="1153"/>
      <c r="H112" s="1242">
        <f>H24</f>
        <v>12.45</v>
      </c>
      <c r="I112" s="1184" t="s">
        <v>1665</v>
      </c>
      <c r="J112" s="1242">
        <f>H112</f>
        <v>12.45</v>
      </c>
      <c r="K112" s="1184" t="s">
        <v>2243</v>
      </c>
      <c r="L112" s="1154"/>
    </row>
    <row r="114" spans="1:17" x14ac:dyDescent="0.35">
      <c r="A114" s="858" t="s">
        <v>665</v>
      </c>
      <c r="B114" s="3"/>
      <c r="C114" s="3"/>
      <c r="D114" s="3"/>
      <c r="E114" s="3"/>
      <c r="F114" s="3"/>
      <c r="G114" s="3"/>
      <c r="H114" s="3"/>
      <c r="I114" s="3"/>
    </row>
    <row r="115" spans="1:17" x14ac:dyDescent="0.35">
      <c r="A115" s="858"/>
      <c r="B115" s="3"/>
      <c r="C115" s="3"/>
      <c r="D115" s="3"/>
      <c r="E115" s="3"/>
      <c r="F115" s="3"/>
      <c r="G115" s="3"/>
      <c r="H115" s="3"/>
      <c r="I115" s="3"/>
    </row>
    <row r="116" spans="1:17" x14ac:dyDescent="0.35">
      <c r="A116" s="334"/>
      <c r="B116" s="334" t="s">
        <v>664</v>
      </c>
      <c r="C116" s="3"/>
      <c r="D116" s="3"/>
      <c r="E116" s="3"/>
      <c r="F116" s="3"/>
      <c r="G116" s="3"/>
      <c r="H116" s="3"/>
      <c r="I116" s="3"/>
    </row>
    <row r="117" spans="1:17" x14ac:dyDescent="0.35">
      <c r="A117" s="334"/>
      <c r="B117" s="41" t="str">
        <f>$A$4</f>
        <v>SC12 Rate III</v>
      </c>
      <c r="C117" s="133" t="s">
        <v>669</v>
      </c>
      <c r="D117" s="133"/>
      <c r="E117" s="133"/>
      <c r="F117" s="133"/>
    </row>
    <row r="118" spans="1:17" x14ac:dyDescent="0.35">
      <c r="A118" s="334"/>
      <c r="B118" s="41"/>
      <c r="C118" t="s">
        <v>670</v>
      </c>
      <c r="I118" s="819">
        <f>M21</f>
        <v>0</v>
      </c>
      <c r="J118" s="358" t="s">
        <v>50</v>
      </c>
    </row>
    <row r="119" spans="1:17" ht="15" thickBot="1" x14ac:dyDescent="0.4">
      <c r="A119" s="334"/>
      <c r="B119" s="41"/>
      <c r="C119" t="s">
        <v>720</v>
      </c>
      <c r="I119" s="819">
        <f>M22</f>
        <v>0</v>
      </c>
      <c r="J119" s="358" t="s">
        <v>49</v>
      </c>
    </row>
    <row r="120" spans="1:17" ht="15.5" thickTop="1" thickBot="1" x14ac:dyDescent="0.4">
      <c r="A120" s="334"/>
      <c r="B120" s="41"/>
      <c r="C120" t="s">
        <v>672</v>
      </c>
      <c r="I120" s="128">
        <f>I118+I119</f>
        <v>0</v>
      </c>
      <c r="J120" s="358" t="s">
        <v>1906</v>
      </c>
    </row>
    <row r="121" spans="1:17" ht="15" thickTop="1" x14ac:dyDescent="0.35">
      <c r="A121" s="334"/>
      <c r="B121" s="41"/>
      <c r="I121" s="345"/>
    </row>
    <row r="122" spans="1:17" x14ac:dyDescent="0.35">
      <c r="A122" s="334"/>
      <c r="B122" s="41"/>
      <c r="C122" s="75" t="s">
        <v>681</v>
      </c>
      <c r="D122" s="75"/>
      <c r="E122" s="75"/>
      <c r="F122" s="75"/>
      <c r="I122" s="964">
        <f>IF(ISNUMBER(ROUND(I118/I119,8)),ROUND(I118/I119,8),0)</f>
        <v>0</v>
      </c>
      <c r="J122" s="358" t="s">
        <v>1907</v>
      </c>
    </row>
    <row r="123" spans="1:17" x14ac:dyDescent="0.35">
      <c r="A123" s="334"/>
      <c r="B123" s="41"/>
      <c r="C123" s="3"/>
      <c r="D123" s="3"/>
      <c r="E123" s="3"/>
      <c r="F123" s="3"/>
      <c r="G123" s="3"/>
      <c r="H123" s="3"/>
      <c r="I123" s="3"/>
    </row>
    <row r="124" spans="1:17" x14ac:dyDescent="0.35">
      <c r="A124" s="407" t="s">
        <v>682</v>
      </c>
      <c r="P124"/>
    </row>
    <row r="125" spans="1:17" ht="15" thickBot="1" x14ac:dyDescent="0.4">
      <c r="A125" s="406"/>
      <c r="B125" s="372" t="s">
        <v>718</v>
      </c>
      <c r="Q125" s="1"/>
    </row>
    <row r="126" spans="1:17" ht="15.5" thickTop="1" thickBot="1" x14ac:dyDescent="0.4">
      <c r="A126" s="406"/>
      <c r="B126" s="41" t="str">
        <f>$A$4</f>
        <v>SC12 Rate III</v>
      </c>
      <c r="C126" s="3"/>
      <c r="D126" s="3"/>
      <c r="E126" s="3"/>
      <c r="F126" s="3"/>
      <c r="G126" s="3"/>
      <c r="H126" s="1316" t="s">
        <v>680</v>
      </c>
      <c r="I126" s="1317"/>
      <c r="J126" s="1318"/>
      <c r="K126" s="3"/>
      <c r="L126" s="1307" t="s">
        <v>81</v>
      </c>
      <c r="M126" s="1308"/>
      <c r="N126" s="1309"/>
      <c r="P126"/>
    </row>
    <row r="127" spans="1:17" ht="15" thickTop="1" x14ac:dyDescent="0.35">
      <c r="A127" s="406"/>
      <c r="B127" s="3"/>
      <c r="C127" s="3"/>
      <c r="E127" s="30" t="s">
        <v>80</v>
      </c>
      <c r="F127" s="3"/>
      <c r="G127" s="3"/>
      <c r="H127" s="30" t="s">
        <v>42</v>
      </c>
      <c r="I127" s="30"/>
      <c r="J127" s="30" t="s">
        <v>40</v>
      </c>
      <c r="K127" s="3"/>
      <c r="L127" s="30" t="s">
        <v>42</v>
      </c>
      <c r="M127" s="86"/>
      <c r="N127" s="30" t="s">
        <v>40</v>
      </c>
      <c r="P127"/>
    </row>
    <row r="128" spans="1:17" x14ac:dyDescent="0.35">
      <c r="A128" s="406"/>
      <c r="E128" s="123"/>
      <c r="F128" s="121" t="s">
        <v>1393</v>
      </c>
      <c r="G128" s="123"/>
      <c r="H128" s="348">
        <f>G14</f>
        <v>7.9000000000000008E-3</v>
      </c>
      <c r="I128" s="358" t="s">
        <v>53</v>
      </c>
      <c r="J128" s="348">
        <f>G16</f>
        <v>7.9000000000000008E-3</v>
      </c>
      <c r="K128" s="358" t="s">
        <v>30</v>
      </c>
      <c r="L128" s="27">
        <f>H128-$J$129</f>
        <v>0</v>
      </c>
      <c r="M128" s="358" t="s">
        <v>1908</v>
      </c>
      <c r="N128" s="27">
        <f>J128-$J$129</f>
        <v>0</v>
      </c>
      <c r="O128" s="358" t="s">
        <v>1910</v>
      </c>
      <c r="P128"/>
    </row>
    <row r="129" spans="1:16" x14ac:dyDescent="0.35">
      <c r="A129" s="406"/>
      <c r="B129" s="3"/>
      <c r="C129" s="3"/>
      <c r="D129" s="3"/>
      <c r="E129" s="123"/>
      <c r="F129" s="121" t="s">
        <v>445</v>
      </c>
      <c r="G129" s="36"/>
      <c r="H129" s="348">
        <f>G15</f>
        <v>7.9000000000000008E-3</v>
      </c>
      <c r="I129" s="358" t="s">
        <v>1127</v>
      </c>
      <c r="J129" s="348">
        <f>G17</f>
        <v>7.9000000000000008E-3</v>
      </c>
      <c r="K129" s="358" t="s">
        <v>1790</v>
      </c>
      <c r="L129" s="27">
        <f>H129-$J$129</f>
        <v>0</v>
      </c>
      <c r="M129" s="358" t="s">
        <v>1909</v>
      </c>
      <c r="N129" s="112"/>
      <c r="O129" s="358" t="s">
        <v>1911</v>
      </c>
      <c r="P129"/>
    </row>
    <row r="130" spans="1:16" x14ac:dyDescent="0.35">
      <c r="A130" s="406"/>
      <c r="B130" s="3"/>
      <c r="C130" s="3"/>
      <c r="D130" s="3"/>
      <c r="E130" s="3"/>
      <c r="F130" s="3"/>
      <c r="G130" s="36"/>
      <c r="P130"/>
    </row>
    <row r="131" spans="1:16" x14ac:dyDescent="0.35">
      <c r="A131" s="406"/>
      <c r="B131" s="3"/>
      <c r="E131" s="123"/>
      <c r="F131" s="123"/>
      <c r="G131" s="36"/>
      <c r="J131" s="120"/>
      <c r="K131" s="3"/>
      <c r="L131" s="27"/>
      <c r="M131" s="61"/>
      <c r="N131" s="61"/>
      <c r="P131"/>
    </row>
    <row r="132" spans="1:16" ht="15" thickBot="1" x14ac:dyDescent="0.4">
      <c r="A132" s="406"/>
      <c r="K132" s="100" t="s">
        <v>683</v>
      </c>
      <c r="L132" s="906">
        <f>I122</f>
        <v>0</v>
      </c>
      <c r="M132" s="358" t="s">
        <v>1962</v>
      </c>
      <c r="P132"/>
    </row>
    <row r="133" spans="1:16" ht="15.5" thickTop="1" thickBot="1" x14ac:dyDescent="0.4">
      <c r="A133" s="406"/>
      <c r="D133" s="1"/>
      <c r="E133" s="1"/>
      <c r="F133" s="1"/>
      <c r="L133" s="1307" t="s">
        <v>76</v>
      </c>
      <c r="M133" s="1308"/>
      <c r="N133" s="1309"/>
      <c r="P133"/>
    </row>
    <row r="134" spans="1:16" ht="15.5" thickTop="1" thickBot="1" x14ac:dyDescent="0.4">
      <c r="A134" s="406"/>
      <c r="C134" s="70" t="s">
        <v>77</v>
      </c>
      <c r="D134" s="1"/>
      <c r="E134" s="1"/>
      <c r="F134" s="1"/>
      <c r="G134" s="118" t="s">
        <v>42</v>
      </c>
      <c r="H134" s="118" t="s">
        <v>40</v>
      </c>
      <c r="L134" s="30" t="s">
        <v>42</v>
      </c>
      <c r="M134" s="86"/>
      <c r="N134" s="30" t="s">
        <v>40</v>
      </c>
      <c r="P134"/>
    </row>
    <row r="135" spans="1:16" x14ac:dyDescent="0.35">
      <c r="A135" s="406"/>
      <c r="D135" s="121"/>
      <c r="E135" s="122"/>
      <c r="F135" s="121" t="str">
        <f>F128</f>
        <v>On Peak</v>
      </c>
      <c r="G135" s="117" t="str">
        <f>CONCATENATE("X + ",L135)</f>
        <v>X + 0</v>
      </c>
      <c r="H135" s="116" t="str">
        <f>CONCATENATE("X + ",N135)</f>
        <v>X + 0</v>
      </c>
      <c r="L135" s="907">
        <f>ROUND(L128*(1+$L$132),4)</f>
        <v>0</v>
      </c>
      <c r="M135" s="358" t="s">
        <v>2004</v>
      </c>
      <c r="N135" s="223">
        <f>ROUND(N128*(1+$L$132),4)</f>
        <v>0</v>
      </c>
      <c r="O135" s="358" t="s">
        <v>2006</v>
      </c>
      <c r="P135"/>
    </row>
    <row r="136" spans="1:16" ht="15" thickBot="1" x14ac:dyDescent="0.4">
      <c r="A136" s="406"/>
      <c r="C136" s="3"/>
      <c r="D136" s="2"/>
      <c r="E136" s="122"/>
      <c r="F136" s="121" t="str">
        <f>F129</f>
        <v>Off Peak</v>
      </c>
      <c r="G136" s="111" t="str">
        <f>CONCATENATE("X + ",L136)</f>
        <v>X + 0</v>
      </c>
      <c r="H136" s="350" t="s">
        <v>32</v>
      </c>
      <c r="L136" s="223">
        <f>ROUND(L129*(1+$L$132),4)</f>
        <v>0</v>
      </c>
      <c r="M136" s="358" t="s">
        <v>2005</v>
      </c>
      <c r="N136" s="223">
        <f>ROUND(N129*(1+$L$132),4)</f>
        <v>0</v>
      </c>
      <c r="O136" s="358" t="s">
        <v>2007</v>
      </c>
      <c r="P136"/>
    </row>
    <row r="137" spans="1:16" x14ac:dyDescent="0.35">
      <c r="A137" s="406"/>
      <c r="D137" s="1"/>
      <c r="E137" s="1"/>
      <c r="F137" s="1"/>
      <c r="N137" s="1"/>
      <c r="P137"/>
    </row>
    <row r="138" spans="1:16" x14ac:dyDescent="0.35">
      <c r="A138" s="406"/>
      <c r="D138" s="1"/>
      <c r="E138" s="1"/>
      <c r="F138" s="1"/>
      <c r="P138"/>
    </row>
    <row r="139" spans="1:16" x14ac:dyDescent="0.35">
      <c r="B139" s="334" t="s">
        <v>46</v>
      </c>
      <c r="P139"/>
    </row>
    <row r="140" spans="1:16" x14ac:dyDescent="0.35">
      <c r="B140" s="41" t="str">
        <f>$A$4</f>
        <v>SC12 Rate III</v>
      </c>
      <c r="C140" s="372" t="s">
        <v>718</v>
      </c>
      <c r="I140" s="296" t="str">
        <f>C140</f>
        <v>(Rate I &amp; III)</v>
      </c>
      <c r="P140"/>
    </row>
    <row r="141" spans="1:16" ht="15" thickBot="1" x14ac:dyDescent="0.4">
      <c r="B141" s="70" t="s">
        <v>414</v>
      </c>
      <c r="C141" s="70"/>
      <c r="D141" s="70"/>
      <c r="E141" s="3"/>
      <c r="F141" s="3"/>
      <c r="I141" s="69" t="s">
        <v>44</v>
      </c>
      <c r="J141" s="3"/>
      <c r="K141" s="3"/>
      <c r="P141"/>
    </row>
    <row r="142" spans="1:16" x14ac:dyDescent="0.35">
      <c r="B142" s="3"/>
      <c r="C142" s="3" t="s">
        <v>42</v>
      </c>
      <c r="D142" s="108" t="s">
        <v>44</v>
      </c>
      <c r="I142" s="72">
        <f>U9+U19</f>
        <v>39672091</v>
      </c>
      <c r="J142" s="36" t="s">
        <v>39</v>
      </c>
      <c r="K142" s="74" t="str">
        <f>CONCATENATE("[",G135,"]")</f>
        <v>[X + 0]</v>
      </c>
      <c r="L142" s="61" t="s">
        <v>1918</v>
      </c>
      <c r="P142"/>
    </row>
    <row r="143" spans="1:16" x14ac:dyDescent="0.35">
      <c r="B143" s="3"/>
      <c r="C143" s="3"/>
      <c r="D143" s="108"/>
      <c r="I143" s="72"/>
      <c r="J143" s="36" t="s">
        <v>39</v>
      </c>
      <c r="K143" s="107" t="str">
        <f>CONCATENATE("[",G136,"]")</f>
        <v>[X + 0]</v>
      </c>
      <c r="L143" s="61" t="s">
        <v>1919</v>
      </c>
      <c r="P143"/>
    </row>
    <row r="144" spans="1:16" x14ac:dyDescent="0.35">
      <c r="B144" s="3"/>
      <c r="C144" s="3" t="s">
        <v>40</v>
      </c>
      <c r="D144" s="3" t="str">
        <f>D142</f>
        <v>kWh</v>
      </c>
      <c r="I144" s="72">
        <f>U14+U24</f>
        <v>116500446</v>
      </c>
      <c r="J144" s="36" t="s">
        <v>39</v>
      </c>
      <c r="K144" s="73" t="str">
        <f>CONCATENATE("[",H135,"]")</f>
        <v>[X + 0]</v>
      </c>
      <c r="L144" s="61" t="s">
        <v>1920</v>
      </c>
      <c r="P144"/>
    </row>
    <row r="145" spans="2:17" ht="15" thickBot="1" x14ac:dyDescent="0.4">
      <c r="B145" s="3"/>
      <c r="C145" s="3"/>
      <c r="D145" s="3"/>
      <c r="I145" s="67"/>
      <c r="J145" s="36" t="s">
        <v>39</v>
      </c>
      <c r="K145" s="71" t="str">
        <f>CONCATENATE("[",H136,"]")</f>
        <v>[X]</v>
      </c>
      <c r="L145" s="61" t="s">
        <v>2008</v>
      </c>
      <c r="P145"/>
    </row>
    <row r="146" spans="2:17" x14ac:dyDescent="0.35">
      <c r="I146" s="28">
        <f>SUM(I142:I145)</f>
        <v>156172537</v>
      </c>
      <c r="J146" s="61" t="s">
        <v>1992</v>
      </c>
      <c r="Q146" s="1"/>
    </row>
    <row r="147" spans="2:17" ht="15" thickBot="1" x14ac:dyDescent="0.4">
      <c r="Q147" s="1"/>
    </row>
    <row r="148" spans="2:17" ht="15" thickBot="1" x14ac:dyDescent="0.4">
      <c r="B148" s="400" t="s">
        <v>1466</v>
      </c>
      <c r="C148" s="478"/>
      <c r="D148" s="478"/>
      <c r="E148" s="478"/>
      <c r="F148" s="478"/>
      <c r="G148" s="738">
        <f>H128</f>
        <v>7.9000000000000008E-3</v>
      </c>
      <c r="H148" s="478"/>
      <c r="I148" s="1012">
        <f>Z26+AA26</f>
        <v>156172537</v>
      </c>
      <c r="J148" s="478"/>
      <c r="K148" s="1011">
        <f>ROUND(G148*I148,0)</f>
        <v>1233763</v>
      </c>
      <c r="L148" s="61" t="s">
        <v>1916</v>
      </c>
      <c r="Q148" s="1"/>
    </row>
    <row r="149" spans="2:17" x14ac:dyDescent="0.35">
      <c r="Q149" s="1"/>
    </row>
    <row r="150" spans="2:17" x14ac:dyDescent="0.35">
      <c r="B150" s="70" t="s">
        <v>472</v>
      </c>
      <c r="P150"/>
    </row>
    <row r="151" spans="2:17" x14ac:dyDescent="0.35">
      <c r="B151" s="41" t="str">
        <f>$A$4</f>
        <v>SC12 Rate III</v>
      </c>
      <c r="F151" s="3"/>
      <c r="G151" s="3"/>
      <c r="H151" s="3"/>
      <c r="I151" s="69" t="s">
        <v>44</v>
      </c>
      <c r="J151" s="3"/>
      <c r="K151" s="106"/>
      <c r="L151" s="3"/>
      <c r="M151" s="3"/>
      <c r="N151" s="17"/>
      <c r="P151"/>
    </row>
    <row r="152" spans="2:17" x14ac:dyDescent="0.35">
      <c r="B152" s="372" t="s">
        <v>718</v>
      </c>
      <c r="C152" s="3" t="s">
        <v>42</v>
      </c>
      <c r="D152" s="392" t="str">
        <f>D142</f>
        <v>kWh</v>
      </c>
      <c r="H152" s="3"/>
      <c r="I152" s="105">
        <f>I142</f>
        <v>39672091</v>
      </c>
      <c r="J152" s="65" t="s">
        <v>63</v>
      </c>
      <c r="K152" s="26">
        <f>ROUND(I152*L135,0)</f>
        <v>0</v>
      </c>
      <c r="L152" s="3" t="s">
        <v>62</v>
      </c>
      <c r="M152" s="61" t="s">
        <v>1922</v>
      </c>
      <c r="N152" s="17"/>
      <c r="P152"/>
    </row>
    <row r="153" spans="2:17" x14ac:dyDescent="0.35">
      <c r="C153" s="3" t="s">
        <v>42</v>
      </c>
      <c r="D153" s="392"/>
      <c r="H153" s="3"/>
      <c r="I153" s="105">
        <f>I143</f>
        <v>0</v>
      </c>
      <c r="J153" s="65" t="s">
        <v>63</v>
      </c>
      <c r="K153" s="26">
        <f>ROUND(I153*L136,0)</f>
        <v>0</v>
      </c>
      <c r="L153" s="3" t="s">
        <v>62</v>
      </c>
      <c r="M153" s="61" t="s">
        <v>1923</v>
      </c>
      <c r="N153" s="17"/>
      <c r="P153"/>
    </row>
    <row r="154" spans="2:17" x14ac:dyDescent="0.35">
      <c r="C154" s="3" t="s">
        <v>40</v>
      </c>
      <c r="D154" s="392" t="str">
        <f>D144</f>
        <v>kWh</v>
      </c>
      <c r="H154" s="3"/>
      <c r="I154" s="105">
        <f>I144</f>
        <v>116500446</v>
      </c>
      <c r="J154" s="65" t="s">
        <v>63</v>
      </c>
      <c r="K154" s="26">
        <f>ROUND(I154*N135,0)</f>
        <v>0</v>
      </c>
      <c r="L154" s="3" t="s">
        <v>62</v>
      </c>
      <c r="M154" s="61" t="s">
        <v>1924</v>
      </c>
      <c r="N154" s="17"/>
      <c r="P154"/>
    </row>
    <row r="155" spans="2:17" x14ac:dyDescent="0.35">
      <c r="C155" s="3" t="s">
        <v>40</v>
      </c>
      <c r="D155" s="392"/>
      <c r="H155" s="3"/>
      <c r="I155" s="351">
        <f>I145</f>
        <v>0</v>
      </c>
      <c r="J155" s="65" t="s">
        <v>63</v>
      </c>
      <c r="K155" s="37">
        <f>ROUND(I155*N136,0)</f>
        <v>0</v>
      </c>
      <c r="L155" s="3" t="s">
        <v>62</v>
      </c>
      <c r="M155" s="61" t="s">
        <v>2011</v>
      </c>
      <c r="N155" s="17"/>
      <c r="P155"/>
    </row>
    <row r="156" spans="2:17" x14ac:dyDescent="0.35">
      <c r="C156" s="372"/>
      <c r="F156" s="66"/>
      <c r="G156" s="908">
        <f>I120+K148</f>
        <v>1233763</v>
      </c>
      <c r="H156" s="63" t="s">
        <v>31</v>
      </c>
      <c r="I156" s="28">
        <f>SUM(I152:I155)</f>
        <v>156172537</v>
      </c>
      <c r="J156" s="65" t="s">
        <v>63</v>
      </c>
      <c r="K156" s="103">
        <f>SUM(K152:K155)</f>
        <v>0</v>
      </c>
      <c r="L156" s="3" t="s">
        <v>2009</v>
      </c>
      <c r="M156" s="61" t="s">
        <v>2017</v>
      </c>
      <c r="N156" s="17"/>
      <c r="P156"/>
    </row>
    <row r="157" spans="2:17" x14ac:dyDescent="0.35">
      <c r="B157" s="406"/>
      <c r="F157" s="3"/>
      <c r="G157" s="3"/>
      <c r="H157" s="3"/>
      <c r="I157" s="3"/>
      <c r="J157" s="3"/>
      <c r="K157" s="3"/>
      <c r="L157" s="3"/>
      <c r="M157" s="61" t="s">
        <v>2018</v>
      </c>
      <c r="N157" s="17"/>
      <c r="P157"/>
    </row>
    <row r="158" spans="2:17" x14ac:dyDescent="0.35">
      <c r="B158" s="406"/>
      <c r="F158" s="34"/>
      <c r="G158" s="34">
        <f>G156-K156</f>
        <v>1233763</v>
      </c>
      <c r="H158" s="63" t="s">
        <v>31</v>
      </c>
      <c r="I158" s="28">
        <f>I156</f>
        <v>156172537</v>
      </c>
      <c r="J158" s="65" t="s">
        <v>32</v>
      </c>
      <c r="K158" s="3"/>
      <c r="L158" s="3"/>
      <c r="M158" s="61" t="s">
        <v>2019</v>
      </c>
      <c r="N158" s="17"/>
      <c r="P158"/>
    </row>
    <row r="159" spans="2:17" ht="15" thickBot="1" x14ac:dyDescent="0.4">
      <c r="B159" s="406"/>
      <c r="F159" s="3"/>
      <c r="G159" s="3"/>
      <c r="H159" s="3"/>
      <c r="I159" s="3"/>
      <c r="J159" s="3"/>
      <c r="K159" s="34"/>
      <c r="L159" s="34"/>
      <c r="M159" s="34"/>
      <c r="N159" s="17"/>
      <c r="P159"/>
    </row>
    <row r="160" spans="2:17" ht="15.5" thickTop="1" thickBot="1" x14ac:dyDescent="0.4">
      <c r="B160" s="406"/>
      <c r="F160" s="64"/>
      <c r="G160" s="101" t="s">
        <v>32</v>
      </c>
      <c r="H160" s="63" t="s">
        <v>31</v>
      </c>
      <c r="I160" s="983">
        <f>ROUND(G158/I158,4)</f>
        <v>7.9000000000000008E-3</v>
      </c>
      <c r="J160" s="61" t="s">
        <v>2010</v>
      </c>
      <c r="K160" s="34"/>
      <c r="L160" s="34"/>
      <c r="M160" s="61" t="s">
        <v>2020</v>
      </c>
      <c r="N160" s="17"/>
      <c r="P160"/>
    </row>
    <row r="161" spans="1:16" ht="15" thickTop="1" x14ac:dyDescent="0.35">
      <c r="A161" s="42"/>
      <c r="B161" s="41"/>
      <c r="C161" s="3"/>
      <c r="D161" s="3"/>
      <c r="E161" s="3"/>
      <c r="F161" s="3"/>
      <c r="G161" s="3"/>
      <c r="H161" s="3"/>
      <c r="I161" s="3"/>
    </row>
    <row r="162" spans="1:16" x14ac:dyDescent="0.35">
      <c r="B162" s="42" t="str">
        <f>CONCATENATE($A$4," at Proposed Energy Rates")</f>
        <v>SC12 Rate III at Proposed Energy Rates</v>
      </c>
      <c r="P162"/>
    </row>
    <row r="163" spans="1:16" ht="15" thickBot="1" x14ac:dyDescent="0.4">
      <c r="B163" s="42"/>
      <c r="P163"/>
    </row>
    <row r="164" spans="1:16" ht="15" thickBot="1" x14ac:dyDescent="0.4">
      <c r="C164" s="60" t="s">
        <v>5</v>
      </c>
      <c r="D164" s="982">
        <f>$L$4</f>
        <v>2020</v>
      </c>
      <c r="E164" s="58"/>
      <c r="F164" s="58"/>
      <c r="G164" s="59"/>
      <c r="H164" s="59"/>
      <c r="I164" s="59"/>
      <c r="J164" s="59"/>
      <c r="K164" s="98"/>
      <c r="L164" s="3"/>
      <c r="M164" s="3"/>
      <c r="N164" s="17"/>
      <c r="O164" s="3"/>
      <c r="P164"/>
    </row>
    <row r="165" spans="1:16" ht="15.5" thickTop="1" thickBot="1" x14ac:dyDescent="0.4">
      <c r="C165" s="96"/>
      <c r="D165" s="44"/>
      <c r="E165" s="44"/>
      <c r="F165" s="44"/>
      <c r="G165" s="44"/>
      <c r="H165" s="1313" t="s">
        <v>668</v>
      </c>
      <c r="I165" s="1314"/>
      <c r="J165" s="1315"/>
      <c r="K165" s="94"/>
      <c r="L165" s="3"/>
      <c r="M165" s="1307" t="s">
        <v>471</v>
      </c>
      <c r="N165" s="1308"/>
      <c r="O165" s="1309"/>
      <c r="P165"/>
    </row>
    <row r="166" spans="1:16" ht="15" thickTop="1" x14ac:dyDescent="0.35">
      <c r="C166" s="96"/>
      <c r="D166" s="44"/>
      <c r="E166" s="44"/>
      <c r="F166" s="44"/>
      <c r="G166" s="44"/>
      <c r="H166" s="56" t="s">
        <v>10</v>
      </c>
      <c r="I166" s="44"/>
      <c r="J166" s="56" t="s">
        <v>7</v>
      </c>
      <c r="K166" s="94"/>
      <c r="L166" s="3"/>
      <c r="M166" s="56" t="s">
        <v>10</v>
      </c>
      <c r="N166" s="44"/>
      <c r="O166" s="56" t="s">
        <v>7</v>
      </c>
      <c r="P166"/>
    </row>
    <row r="167" spans="1:16" x14ac:dyDescent="0.35">
      <c r="C167" s="96"/>
      <c r="D167" s="355"/>
      <c r="E167" s="356"/>
      <c r="F167" s="355" t="str">
        <f>$F$135</f>
        <v>On Peak</v>
      </c>
      <c r="G167" s="44"/>
      <c r="H167" s="357">
        <f>$I$160+L135</f>
        <v>7.9000000000000008E-3</v>
      </c>
      <c r="I167" s="358" t="s">
        <v>2012</v>
      </c>
      <c r="J167" s="357">
        <f>$I$160+N135</f>
        <v>7.9000000000000008E-3</v>
      </c>
      <c r="K167" s="359" t="s">
        <v>2014</v>
      </c>
      <c r="L167" s="3"/>
      <c r="M167" s="81">
        <f>ROUND(H167/H128-1,4)</f>
        <v>0</v>
      </c>
      <c r="N167" s="358" t="s">
        <v>1993</v>
      </c>
      <c r="O167" s="81">
        <f>ROUND(J167/J128-1,4)</f>
        <v>0</v>
      </c>
      <c r="P167" s="358" t="s">
        <v>1995</v>
      </c>
    </row>
    <row r="168" spans="1:16" x14ac:dyDescent="0.35">
      <c r="C168" s="96"/>
      <c r="D168" s="360"/>
      <c r="E168" s="356"/>
      <c r="F168" s="355" t="str">
        <f>$F$136</f>
        <v>Off Peak</v>
      </c>
      <c r="G168" s="44"/>
      <c r="H168" s="357">
        <f>$I$160+L136</f>
        <v>7.9000000000000008E-3</v>
      </c>
      <c r="I168" s="358" t="s">
        <v>2013</v>
      </c>
      <c r="J168" s="357">
        <f>$I$160+N136</f>
        <v>7.9000000000000008E-3</v>
      </c>
      <c r="K168" s="359" t="s">
        <v>2015</v>
      </c>
      <c r="L168" s="3"/>
      <c r="M168" s="81">
        <f>ROUND(H168/H129-1,4)</f>
        <v>0</v>
      </c>
      <c r="N168" s="358" t="s">
        <v>1994</v>
      </c>
      <c r="O168" s="81">
        <f>ROUND(J168/J129-1,4)</f>
        <v>0</v>
      </c>
      <c r="P168" s="358" t="s">
        <v>1996</v>
      </c>
    </row>
    <row r="169" spans="1:16" ht="15" thickBot="1" x14ac:dyDescent="0.4">
      <c r="C169" s="93"/>
      <c r="D169" s="46"/>
      <c r="E169" s="46"/>
      <c r="F169" s="46"/>
      <c r="G169" s="46"/>
      <c r="H169" s="46"/>
      <c r="I169" s="46"/>
      <c r="J169" s="46"/>
      <c r="K169" s="91"/>
      <c r="L169" s="3"/>
      <c r="M169" s="81"/>
      <c r="N169" s="3"/>
      <c r="O169" s="81"/>
      <c r="P169"/>
    </row>
    <row r="170" spans="1:16" x14ac:dyDescent="0.35">
      <c r="A170" s="42"/>
      <c r="B170" s="41"/>
      <c r="C170" s="3"/>
      <c r="D170" s="3"/>
      <c r="E170" s="3"/>
      <c r="F170" s="3"/>
      <c r="G170" s="3"/>
      <c r="H170" s="3"/>
      <c r="I170" s="3"/>
    </row>
    <row r="171" spans="1:16" x14ac:dyDescent="0.35">
      <c r="A171" s="42"/>
      <c r="B171" s="41"/>
      <c r="C171" s="3"/>
      <c r="D171" s="3"/>
      <c r="E171" s="3"/>
      <c r="F171" s="3"/>
      <c r="G171" s="3"/>
      <c r="H171" s="3"/>
      <c r="I171" s="3"/>
    </row>
    <row r="172" spans="1:16" x14ac:dyDescent="0.35">
      <c r="A172" s="334" t="s">
        <v>1873</v>
      </c>
      <c r="B172" s="410"/>
      <c r="C172" s="410"/>
      <c r="D172" s="410"/>
      <c r="E172" s="410"/>
      <c r="F172" s="3"/>
      <c r="G172" s="3"/>
      <c r="H172" s="3"/>
      <c r="I172" s="3"/>
      <c r="P172"/>
    </row>
    <row r="173" spans="1:16" x14ac:dyDescent="0.35">
      <c r="A173" s="334"/>
      <c r="B173" s="410"/>
      <c r="C173" s="410"/>
      <c r="P173"/>
    </row>
    <row r="174" spans="1:16" x14ac:dyDescent="0.35">
      <c r="A174" s="410"/>
      <c r="B174" s="334" t="str">
        <f>CONCATENATE($A$4," at Proposed Demand Rates")</f>
        <v>SC12 Rate III at Proposed Demand Rates</v>
      </c>
      <c r="C174" s="410"/>
      <c r="D174" s="410"/>
      <c r="E174" s="410"/>
      <c r="F174" s="3"/>
      <c r="G174" s="3"/>
      <c r="H174" s="3"/>
      <c r="I174" s="486" t="s">
        <v>718</v>
      </c>
      <c r="M174" s="462" t="s">
        <v>10</v>
      </c>
      <c r="N174" s="3"/>
      <c r="O174" s="3"/>
      <c r="P174" s="2"/>
    </row>
    <row r="175" spans="1:16" x14ac:dyDescent="0.35">
      <c r="A175" s="410"/>
      <c r="B175" s="410"/>
      <c r="C175" s="410"/>
      <c r="D175" s="410"/>
      <c r="E175" s="410"/>
      <c r="F175" s="3"/>
      <c r="G175" s="3"/>
      <c r="H175" s="834" t="s">
        <v>26</v>
      </c>
      <c r="I175" s="30" t="s">
        <v>25</v>
      </c>
      <c r="J175" s="3"/>
      <c r="K175" s="30" t="s">
        <v>11</v>
      </c>
      <c r="L175" s="3"/>
      <c r="M175" s="30" t="s">
        <v>6</v>
      </c>
      <c r="N175" s="3"/>
      <c r="O175" s="3"/>
      <c r="P175" s="2"/>
    </row>
    <row r="176" spans="1:16" x14ac:dyDescent="0.35">
      <c r="A176" s="406"/>
      <c r="B176" s="410" t="s">
        <v>656</v>
      </c>
      <c r="C176" s="835" t="s">
        <v>667</v>
      </c>
      <c r="D176" s="1158" t="s">
        <v>1174</v>
      </c>
      <c r="E176" s="1168"/>
      <c r="F176" s="1158"/>
      <c r="G176" s="1133"/>
      <c r="H176" s="1159">
        <f>M32+M35</f>
        <v>916</v>
      </c>
      <c r="K176" s="1157">
        <f>H112</f>
        <v>12.45</v>
      </c>
      <c r="L176" s="3"/>
      <c r="M176" s="1164">
        <f>ROUND(H176*K176,0)</f>
        <v>11404</v>
      </c>
      <c r="N176" s="3"/>
      <c r="O176" s="3"/>
      <c r="P176" s="2"/>
    </row>
    <row r="177" spans="1:16" x14ac:dyDescent="0.35">
      <c r="A177" s="406"/>
      <c r="B177" s="410"/>
      <c r="C177" s="410" t="s">
        <v>42</v>
      </c>
      <c r="D177" s="988" t="str">
        <f>$C$73</f>
        <v>D1</v>
      </c>
      <c r="E177" s="272"/>
      <c r="F177" s="56" t="str">
        <f>$D$73</f>
        <v>8-6</v>
      </c>
      <c r="G177" s="3"/>
      <c r="H177" s="3"/>
      <c r="I177" s="29">
        <f>I81</f>
        <v>86509.68</v>
      </c>
      <c r="J177" s="3"/>
      <c r="K177" s="35">
        <f>H108</f>
        <v>7.7900000000000009</v>
      </c>
      <c r="L177" s="3"/>
      <c r="M177" s="26">
        <f>ROUND(K177*I177,0)</f>
        <v>673910</v>
      </c>
      <c r="N177" s="3"/>
      <c r="O177" s="3"/>
      <c r="P177" s="2"/>
    </row>
    <row r="178" spans="1:16" x14ac:dyDescent="0.35">
      <c r="A178" s="406"/>
      <c r="B178" s="410"/>
      <c r="C178" s="410"/>
      <c r="D178" s="988" t="str">
        <f>$C$74</f>
        <v>D2</v>
      </c>
      <c r="E178" s="272"/>
      <c r="F178" s="56" t="str">
        <f>$D$74</f>
        <v>8-10</v>
      </c>
      <c r="G178" s="3"/>
      <c r="H178" s="3"/>
      <c r="I178" s="29">
        <f>I83</f>
        <v>93073.14</v>
      </c>
      <c r="J178" s="3"/>
      <c r="K178" s="228">
        <f>H109</f>
        <v>18.41</v>
      </c>
      <c r="L178" s="3"/>
      <c r="M178" s="278">
        <f>ROUND(K178*I178,0)</f>
        <v>1713477</v>
      </c>
      <c r="N178" s="3"/>
      <c r="O178" s="3"/>
      <c r="P178" s="2"/>
    </row>
    <row r="179" spans="1:16" x14ac:dyDescent="0.35">
      <c r="A179" s="406"/>
      <c r="B179" s="410"/>
      <c r="C179" s="410"/>
      <c r="D179" s="988" t="str">
        <f>$C$75</f>
        <v>D3</v>
      </c>
      <c r="E179" s="272"/>
      <c r="F179" s="56" t="str">
        <f>$D$75</f>
        <v>All Day</v>
      </c>
      <c r="G179" s="3"/>
      <c r="H179" s="3"/>
      <c r="I179" s="38">
        <f>I85</f>
        <v>93799.5</v>
      </c>
      <c r="J179" s="3"/>
      <c r="K179" s="35">
        <f>H110</f>
        <v>18.940000000000001</v>
      </c>
      <c r="L179" s="3"/>
      <c r="M179" s="279">
        <f>ROUND(K179*I179,0)</f>
        <v>1776563</v>
      </c>
      <c r="N179" s="3"/>
      <c r="O179" s="3"/>
      <c r="P179" s="2"/>
    </row>
    <row r="180" spans="1:16" x14ac:dyDescent="0.35">
      <c r="A180" s="406"/>
      <c r="B180" s="410"/>
      <c r="C180" s="410"/>
      <c r="D180" s="272"/>
      <c r="E180" s="272"/>
      <c r="F180" s="36"/>
      <c r="G180" s="3"/>
      <c r="H180" s="3"/>
      <c r="I180" s="28">
        <f>I177+I178+I179</f>
        <v>273382.32</v>
      </c>
      <c r="J180" s="3"/>
      <c r="K180" s="35"/>
      <c r="L180" s="3"/>
      <c r="M180" s="832">
        <f>M176+M177+M178+M179</f>
        <v>4175354</v>
      </c>
      <c r="N180" s="34"/>
      <c r="O180" s="36" t="s">
        <v>10</v>
      </c>
      <c r="P180" s="2"/>
    </row>
    <row r="181" spans="1:16" x14ac:dyDescent="0.35">
      <c r="A181" s="406"/>
      <c r="B181" s="410"/>
      <c r="C181" s="410"/>
      <c r="D181" s="272"/>
      <c r="E181" s="272"/>
      <c r="F181" s="36"/>
      <c r="G181" s="28"/>
      <c r="H181" s="3"/>
      <c r="I181" s="28"/>
      <c r="J181" s="3"/>
      <c r="K181" s="35"/>
      <c r="L181" s="33" t="s">
        <v>22</v>
      </c>
      <c r="M181" s="277">
        <f>ROUND(M180*(O181-1),0)</f>
        <v>49770</v>
      </c>
      <c r="N181" s="33" t="s">
        <v>23</v>
      </c>
      <c r="O181" s="40">
        <f>L10</f>
        <v>1.0119199999999999</v>
      </c>
      <c r="P181" s="2"/>
    </row>
    <row r="182" spans="1:16" x14ac:dyDescent="0.35">
      <c r="A182" s="406"/>
      <c r="B182" s="410"/>
      <c r="C182" s="410"/>
      <c r="D182" s="272"/>
      <c r="E182" s="272"/>
      <c r="F182" s="36"/>
      <c r="G182" s="28"/>
      <c r="H182" s="3"/>
      <c r="I182" s="28"/>
      <c r="J182" s="3"/>
      <c r="K182" s="35"/>
      <c r="L182" s="33" t="s">
        <v>21</v>
      </c>
      <c r="M182" s="32">
        <f>M180+M181</f>
        <v>4225124</v>
      </c>
      <c r="N182" s="8"/>
      <c r="O182" s="3"/>
      <c r="P182" s="2"/>
    </row>
    <row r="183" spans="1:16" x14ac:dyDescent="0.35">
      <c r="A183" s="406"/>
      <c r="B183" s="410"/>
      <c r="C183" s="410"/>
      <c r="M183" s="3"/>
      <c r="N183" s="3"/>
      <c r="O183" s="3"/>
      <c r="P183" s="2"/>
    </row>
    <row r="184" spans="1:16" x14ac:dyDescent="0.35">
      <c r="A184" s="406"/>
      <c r="B184" s="410"/>
      <c r="C184" s="410"/>
      <c r="D184" s="410"/>
      <c r="E184" s="410"/>
      <c r="F184" s="3"/>
      <c r="G184" s="3"/>
      <c r="H184" s="3"/>
      <c r="I184" s="486" t="s">
        <v>718</v>
      </c>
      <c r="J184" s="3"/>
      <c r="K184" s="3"/>
      <c r="L184" s="3"/>
      <c r="M184" s="462" t="s">
        <v>7</v>
      </c>
      <c r="N184" s="3"/>
      <c r="O184" s="3"/>
      <c r="P184" s="2"/>
    </row>
    <row r="185" spans="1:16" x14ac:dyDescent="0.35">
      <c r="A185" s="406"/>
      <c r="B185" s="410"/>
      <c r="C185" s="410"/>
      <c r="D185" s="410"/>
      <c r="E185" s="410"/>
      <c r="F185" s="3"/>
      <c r="G185" s="3"/>
      <c r="H185" s="834" t="s">
        <v>26</v>
      </c>
      <c r="I185" s="30" t="s">
        <v>25</v>
      </c>
      <c r="J185" s="3"/>
      <c r="K185" s="30" t="s">
        <v>11</v>
      </c>
      <c r="L185" s="3"/>
      <c r="M185" s="30" t="s">
        <v>6</v>
      </c>
      <c r="N185" s="3"/>
      <c r="O185" s="3"/>
      <c r="P185" s="2"/>
    </row>
    <row r="186" spans="1:16" x14ac:dyDescent="0.35">
      <c r="A186" s="406"/>
      <c r="B186" s="410"/>
      <c r="C186" s="410"/>
      <c r="D186" s="1158" t="s">
        <v>1174</v>
      </c>
      <c r="E186" s="1168"/>
      <c r="F186" s="1158"/>
      <c r="G186" s="1133"/>
      <c r="H186" s="1159">
        <f>M33+M36</f>
        <v>1832</v>
      </c>
      <c r="J186" s="3"/>
      <c r="K186" s="1157">
        <f>J112</f>
        <v>12.45</v>
      </c>
      <c r="L186" s="3"/>
      <c r="M186" s="1164">
        <f>ROUND(H186*K186,0)</f>
        <v>22808</v>
      </c>
      <c r="N186" s="3"/>
      <c r="O186" s="3"/>
      <c r="P186" s="2"/>
    </row>
    <row r="187" spans="1:16" x14ac:dyDescent="0.35">
      <c r="A187" s="406"/>
      <c r="B187" s="410"/>
      <c r="C187" s="410" t="s">
        <v>40</v>
      </c>
      <c r="D187" s="988" t="str">
        <f>$C$73</f>
        <v>D1</v>
      </c>
      <c r="E187" s="272"/>
      <c r="F187" s="56" t="str">
        <f>$D$73</f>
        <v>8-6</v>
      </c>
      <c r="G187" s="3"/>
      <c r="H187" s="3"/>
      <c r="I187" s="29">
        <f>I82</f>
        <v>0</v>
      </c>
      <c r="J187" s="3"/>
      <c r="K187" s="35">
        <f>J108</f>
        <v>0</v>
      </c>
      <c r="L187" s="3"/>
      <c r="M187" s="26">
        <f>ROUND(K187*I187,0)</f>
        <v>0</v>
      </c>
      <c r="N187" s="3"/>
      <c r="O187" s="3"/>
      <c r="P187" s="2"/>
    </row>
    <row r="188" spans="1:16" x14ac:dyDescent="0.35">
      <c r="A188" s="406"/>
      <c r="B188" s="410"/>
      <c r="C188" s="410"/>
      <c r="D188" s="988" t="str">
        <f>$C$74</f>
        <v>D2</v>
      </c>
      <c r="E188" s="272"/>
      <c r="F188" s="56" t="str">
        <f>$D$74</f>
        <v>8-10</v>
      </c>
      <c r="G188" s="3"/>
      <c r="H188" s="3"/>
      <c r="I188" s="29">
        <f>I84</f>
        <v>262940.20999999996</v>
      </c>
      <c r="J188" s="3"/>
      <c r="K188" s="35">
        <f>J109</f>
        <v>8.1300000000000008</v>
      </c>
      <c r="L188" s="3"/>
      <c r="M188" s="26">
        <f>ROUND(K188*I188,0)</f>
        <v>2137704</v>
      </c>
      <c r="N188" s="3"/>
      <c r="O188" s="3"/>
      <c r="P188" s="2"/>
    </row>
    <row r="189" spans="1:16" x14ac:dyDescent="0.35">
      <c r="A189" s="406"/>
      <c r="B189" s="410"/>
      <c r="C189" s="410"/>
      <c r="D189" s="988" t="str">
        <f>$C$75</f>
        <v>D3</v>
      </c>
      <c r="E189" s="272"/>
      <c r="F189" s="56" t="str">
        <f>$D$75</f>
        <v>All Day</v>
      </c>
      <c r="G189" s="3"/>
      <c r="H189" s="3"/>
      <c r="I189" s="38">
        <f>I86</f>
        <v>270014.5</v>
      </c>
      <c r="J189" s="3"/>
      <c r="K189" s="35">
        <f>J110</f>
        <v>14.420000000000002</v>
      </c>
      <c r="L189" s="3"/>
      <c r="M189" s="37">
        <f>ROUND(K189*I189,0)</f>
        <v>3893609</v>
      </c>
      <c r="N189" s="3"/>
      <c r="O189" s="3"/>
      <c r="P189" s="2"/>
    </row>
    <row r="190" spans="1:16" x14ac:dyDescent="0.35">
      <c r="A190" s="406"/>
      <c r="B190" s="410"/>
      <c r="C190" s="410"/>
      <c r="D190" s="272"/>
      <c r="E190" s="272"/>
      <c r="F190" s="36"/>
      <c r="G190" s="3"/>
      <c r="H190" s="3"/>
      <c r="I190" s="28">
        <f>I187+I188+I189</f>
        <v>532954.71</v>
      </c>
      <c r="J190" s="3"/>
      <c r="K190" s="35"/>
      <c r="L190" s="3"/>
      <c r="M190" s="832">
        <f>M186+M187+M188+M189</f>
        <v>6054121</v>
      </c>
      <c r="N190" s="3"/>
      <c r="O190" s="36" t="s">
        <v>7</v>
      </c>
      <c r="P190" s="2"/>
    </row>
    <row r="191" spans="1:16" x14ac:dyDescent="0.35">
      <c r="A191" s="406"/>
      <c r="B191" s="410"/>
      <c r="C191" s="410"/>
      <c r="D191" s="272"/>
      <c r="E191" s="272"/>
      <c r="F191" s="36"/>
      <c r="G191" s="3"/>
      <c r="H191" s="3"/>
      <c r="I191" s="28"/>
      <c r="J191" s="3"/>
      <c r="K191" s="35"/>
      <c r="L191" s="33" t="s">
        <v>22</v>
      </c>
      <c r="M191" s="277">
        <f>ROUND(M190*(O191-1),0)</f>
        <v>64597</v>
      </c>
      <c r="N191" s="33" t="s">
        <v>23</v>
      </c>
      <c r="O191" s="40">
        <f>L11</f>
        <v>1.01067</v>
      </c>
      <c r="P191" s="2"/>
    </row>
    <row r="192" spans="1:16" x14ac:dyDescent="0.35">
      <c r="A192" s="406"/>
      <c r="B192" s="410"/>
      <c r="C192" s="410"/>
      <c r="D192" s="272"/>
      <c r="E192" s="272"/>
      <c r="F192" s="36"/>
      <c r="G192" s="28"/>
      <c r="H192" s="3"/>
      <c r="I192" s="28"/>
      <c r="J192" s="3"/>
      <c r="K192" s="35"/>
      <c r="L192" s="33" t="s">
        <v>21</v>
      </c>
      <c r="M192" s="599">
        <f>M190+M191</f>
        <v>6118718</v>
      </c>
      <c r="N192" s="8"/>
      <c r="O192" s="3"/>
      <c r="P192" s="2"/>
    </row>
    <row r="193" spans="1:17" x14ac:dyDescent="0.35">
      <c r="A193" s="406"/>
      <c r="B193" s="410"/>
      <c r="C193" s="410"/>
      <c r="D193" s="410"/>
      <c r="E193" s="4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2"/>
    </row>
    <row r="194" spans="1:17" x14ac:dyDescent="0.35">
      <c r="A194" s="406"/>
      <c r="B194" s="410"/>
      <c r="C194" s="837" t="str">
        <f>CONCATENATE($A$4," - Annual Demand Revenue Price-Out at Proposed Rates - Incl. EDB:")</f>
        <v>SC12 Rate III - Annual Demand Revenue Price-Out at Proposed Rates - Incl. EDB:</v>
      </c>
      <c r="D194" s="410"/>
      <c r="E194" s="410"/>
      <c r="F194" s="3"/>
      <c r="G194" s="3"/>
      <c r="H194" s="3"/>
      <c r="I194" s="3"/>
      <c r="J194" s="3"/>
      <c r="K194" s="3"/>
      <c r="L194" s="3"/>
      <c r="M194" s="32">
        <f>M182+M192</f>
        <v>10343842</v>
      </c>
      <c r="N194" s="3"/>
      <c r="O194" s="3"/>
      <c r="P194" s="2"/>
    </row>
    <row r="195" spans="1:17" x14ac:dyDescent="0.35">
      <c r="A195" s="406"/>
      <c r="B195" s="410"/>
      <c r="C195" s="410"/>
      <c r="D195" s="410"/>
      <c r="E195" s="410"/>
      <c r="F195" s="3"/>
      <c r="G195" s="3"/>
      <c r="H195" s="3"/>
      <c r="I195" s="3"/>
      <c r="J195" s="3"/>
      <c r="K195" s="3"/>
      <c r="L195" s="3"/>
      <c r="M195" s="26"/>
      <c r="N195" s="17"/>
      <c r="O195" s="3"/>
      <c r="P195" s="2"/>
    </row>
    <row r="196" spans="1:17" x14ac:dyDescent="0.35">
      <c r="A196" s="406"/>
      <c r="B196" s="410"/>
      <c r="C196" s="410"/>
      <c r="D196" s="410"/>
      <c r="E196" s="410"/>
      <c r="F196" s="3"/>
      <c r="G196" s="3"/>
      <c r="H196" s="3"/>
      <c r="I196" s="3"/>
      <c r="J196" s="3"/>
      <c r="K196" s="3"/>
      <c r="L196" s="3"/>
      <c r="M196" s="26"/>
      <c r="N196" s="17"/>
      <c r="O196" s="3"/>
      <c r="P196" s="2"/>
    </row>
    <row r="197" spans="1:17" ht="15" thickBot="1" x14ac:dyDescent="0.4">
      <c r="A197" s="334"/>
      <c r="B197" s="334" t="str">
        <f>CONCATENATE($A$4," at Proposed Energy Rates")</f>
        <v>SC12 Rate III at Proposed Energy Rates</v>
      </c>
      <c r="C197" s="410"/>
      <c r="D197" s="410"/>
      <c r="E197" s="410"/>
      <c r="F197" s="3"/>
      <c r="G197" s="3"/>
      <c r="H197" s="3"/>
      <c r="I197" s="3"/>
      <c r="K197" s="367" t="s">
        <v>426</v>
      </c>
      <c r="L197" s="368">
        <f>$L$10</f>
        <v>1.0119199999999999</v>
      </c>
      <c r="N197" s="344" t="str">
        <f>$A$4</f>
        <v>SC12 Rate III</v>
      </c>
      <c r="P197"/>
      <c r="Q197" s="1"/>
    </row>
    <row r="198" spans="1:17" ht="15.5" thickTop="1" thickBot="1" x14ac:dyDescent="0.4">
      <c r="B198" s="487" t="s">
        <v>718</v>
      </c>
      <c r="H198" s="1307" t="s">
        <v>417</v>
      </c>
      <c r="I198" s="1308"/>
      <c r="J198" s="1309"/>
      <c r="L198" s="473" t="s">
        <v>475</v>
      </c>
      <c r="N198" s="935" t="s">
        <v>42</v>
      </c>
      <c r="P198"/>
      <c r="Q198" s="1"/>
    </row>
    <row r="199" spans="1:17" ht="15" thickTop="1" x14ac:dyDescent="0.35">
      <c r="B199" s="3"/>
      <c r="H199" s="30" t="s">
        <v>416</v>
      </c>
      <c r="I199" s="30" t="s">
        <v>674</v>
      </c>
      <c r="J199" s="36" t="s">
        <v>676</v>
      </c>
      <c r="L199" s="30" t="s">
        <v>425</v>
      </c>
      <c r="N199" s="36" t="s">
        <v>675</v>
      </c>
      <c r="P199"/>
      <c r="Q199" s="1"/>
    </row>
    <row r="200" spans="1:17" x14ac:dyDescent="0.35">
      <c r="B200" s="407" t="s">
        <v>42</v>
      </c>
      <c r="C200" s="978" t="str">
        <f>$F$135</f>
        <v>On Peak</v>
      </c>
      <c r="D200" s="979"/>
      <c r="E200" s="980"/>
      <c r="F200" s="406"/>
      <c r="G200" s="406"/>
      <c r="H200" s="223">
        <f>H167</f>
        <v>7.9000000000000008E-3</v>
      </c>
      <c r="I200" s="105">
        <f>I152</f>
        <v>39672091</v>
      </c>
      <c r="J200" s="26">
        <f>ROUND(H200*I200,0)</f>
        <v>313410</v>
      </c>
      <c r="L200" s="397"/>
      <c r="N200" s="26">
        <f>J200+L200</f>
        <v>313410</v>
      </c>
      <c r="P200"/>
      <c r="Q200" s="1"/>
    </row>
    <row r="201" spans="1:17" x14ac:dyDescent="0.35">
      <c r="B201" s="406"/>
      <c r="C201" s="978" t="str">
        <f>$F$136</f>
        <v>Off Peak</v>
      </c>
      <c r="D201" s="272"/>
      <c r="E201" s="980"/>
      <c r="F201" s="406"/>
      <c r="G201" s="406"/>
      <c r="H201" s="223">
        <f>H168</f>
        <v>7.9000000000000008E-3</v>
      </c>
      <c r="I201" s="105">
        <f>I153</f>
        <v>0</v>
      </c>
      <c r="J201" s="26">
        <f>ROUND(H201*I201,0)</f>
        <v>0</v>
      </c>
      <c r="L201" s="397"/>
      <c r="N201" s="26">
        <f>J201+L201</f>
        <v>0</v>
      </c>
      <c r="P201"/>
      <c r="Q201" s="1"/>
    </row>
    <row r="202" spans="1:17" x14ac:dyDescent="0.35">
      <c r="B202" s="406"/>
      <c r="C202" s="410" t="s">
        <v>420</v>
      </c>
      <c r="D202" s="410"/>
      <c r="E202" s="410"/>
      <c r="F202" s="410"/>
      <c r="G202" s="406"/>
      <c r="H202" s="223"/>
      <c r="I202" s="223"/>
      <c r="J202" s="32">
        <f>SUM(J200:J201)</f>
        <v>313410</v>
      </c>
      <c r="L202" s="32">
        <f>SUM(L200:L201)</f>
        <v>0</v>
      </c>
      <c r="N202" s="32">
        <f>SUM(N200:N201)</f>
        <v>313410</v>
      </c>
      <c r="P202"/>
      <c r="Q202" s="1"/>
    </row>
    <row r="203" spans="1:17" s="1" customFormat="1" x14ac:dyDescent="0.35">
      <c r="B203" s="464"/>
      <c r="C203" s="392"/>
      <c r="D203" s="979"/>
      <c r="E203" s="979"/>
      <c r="F203" s="981"/>
      <c r="G203" s="464"/>
      <c r="H203" s="223"/>
      <c r="I203" s="362"/>
      <c r="J203" s="395"/>
      <c r="K203"/>
    </row>
    <row r="204" spans="1:17" s="1" customFormat="1" ht="15" thickBot="1" x14ac:dyDescent="0.4">
      <c r="B204" s="464"/>
      <c r="C204" s="392"/>
      <c r="D204" s="979"/>
      <c r="E204" s="979"/>
      <c r="F204" s="981"/>
      <c r="G204" s="464"/>
      <c r="H204" s="223"/>
      <c r="I204" s="362"/>
      <c r="J204" s="223"/>
      <c r="K204"/>
      <c r="L204" s="368">
        <f>$L$11</f>
        <v>1.01067</v>
      </c>
    </row>
    <row r="205" spans="1:17" s="1" customFormat="1" ht="15.5" thickTop="1" thickBot="1" x14ac:dyDescent="0.4">
      <c r="B205" s="464"/>
      <c r="C205" s="392"/>
      <c r="D205" s="979"/>
      <c r="E205" s="979"/>
      <c r="F205" s="981"/>
      <c r="G205" s="464"/>
      <c r="H205" s="1307" t="s">
        <v>417</v>
      </c>
      <c r="I205" s="1308"/>
      <c r="J205" s="1309"/>
      <c r="K205"/>
      <c r="L205" s="473" t="s">
        <v>475</v>
      </c>
      <c r="N205" s="935" t="s">
        <v>40</v>
      </c>
    </row>
    <row r="206" spans="1:17" s="1" customFormat="1" ht="15" thickTop="1" x14ac:dyDescent="0.35">
      <c r="B206" s="464"/>
      <c r="C206" s="392"/>
      <c r="D206" s="979"/>
      <c r="E206" s="979"/>
      <c r="F206" s="981"/>
      <c r="G206" s="464"/>
      <c r="H206" s="30" t="s">
        <v>416</v>
      </c>
      <c r="I206" s="30" t="s">
        <v>674</v>
      </c>
      <c r="J206" s="36" t="s">
        <v>676</v>
      </c>
      <c r="K206"/>
      <c r="L206" s="30" t="s">
        <v>425</v>
      </c>
      <c r="N206" s="36" t="s">
        <v>675</v>
      </c>
    </row>
    <row r="207" spans="1:17" s="1" customFormat="1" x14ac:dyDescent="0.35">
      <c r="B207" s="407" t="s">
        <v>40</v>
      </c>
      <c r="C207" s="978" t="str">
        <f>$F$135</f>
        <v>On Peak</v>
      </c>
      <c r="D207" s="979"/>
      <c r="E207" s="980"/>
      <c r="F207" s="464"/>
      <c r="G207" s="464"/>
      <c r="H207" s="223">
        <f>J167</f>
        <v>7.9000000000000008E-3</v>
      </c>
      <c r="I207" s="105">
        <f>I154</f>
        <v>116500446</v>
      </c>
      <c r="J207" s="26">
        <f>ROUND(H207*I207,0)</f>
        <v>920354</v>
      </c>
      <c r="K207"/>
      <c r="L207" s="397"/>
      <c r="N207" s="26">
        <f>J207+L207</f>
        <v>920354</v>
      </c>
    </row>
    <row r="208" spans="1:17" s="1" customFormat="1" x14ac:dyDescent="0.35">
      <c r="B208" s="406"/>
      <c r="C208" s="978" t="str">
        <f>$F$136</f>
        <v>Off Peak</v>
      </c>
      <c r="D208" s="272"/>
      <c r="E208" s="980"/>
      <c r="F208" s="464"/>
      <c r="G208" s="464"/>
      <c r="H208" s="223">
        <f>J168</f>
        <v>7.9000000000000008E-3</v>
      </c>
      <c r="I208" s="105">
        <f>I155</f>
        <v>0</v>
      </c>
      <c r="J208" s="26">
        <f>ROUND(H208*I208,0)</f>
        <v>0</v>
      </c>
      <c r="K208"/>
      <c r="L208" s="397"/>
      <c r="N208" s="26">
        <f>J208+L208</f>
        <v>0</v>
      </c>
    </row>
    <row r="209" spans="2:18" s="1" customFormat="1" x14ac:dyDescent="0.35">
      <c r="B209" s="406"/>
      <c r="C209" s="410" t="s">
        <v>421</v>
      </c>
      <c r="D209" s="410"/>
      <c r="E209" s="410"/>
      <c r="F209" s="410"/>
      <c r="G209" s="464"/>
      <c r="H209" s="223"/>
      <c r="I209" s="223"/>
      <c r="J209" s="32">
        <f>SUM(J207:J208)</f>
        <v>920354</v>
      </c>
      <c r="K209"/>
      <c r="L209" s="32">
        <f>SUM(L207:L208)</f>
        <v>0</v>
      </c>
      <c r="N209" s="32">
        <f>SUM(N207:N208)</f>
        <v>920354</v>
      </c>
    </row>
    <row r="210" spans="2:18" s="1" customFormat="1" ht="15" thickBot="1" x14ac:dyDescent="0.4">
      <c r="B210" s="464"/>
      <c r="C210" s="392"/>
      <c r="D210" s="979"/>
      <c r="E210" s="979"/>
      <c r="F210" s="981"/>
      <c r="G210" s="464"/>
      <c r="H210" s="223"/>
      <c r="I210" s="362"/>
      <c r="J210" s="395"/>
      <c r="K210"/>
      <c r="N210" s="223"/>
    </row>
    <row r="211" spans="2:18" s="1" customFormat="1" ht="15.5" thickTop="1" thickBot="1" x14ac:dyDescent="0.4">
      <c r="B211" s="464"/>
      <c r="C211" s="837" t="str">
        <f>CONCATENATE($A$4," - Annual Energy Revenue Price-Out at Proposed Rates:")</f>
        <v>SC12 Rate III - Annual Energy Revenue Price-Out at Proposed Rates:</v>
      </c>
      <c r="D211" s="979"/>
      <c r="E211" s="979"/>
      <c r="F211" s="981"/>
      <c r="G211" s="464"/>
      <c r="H211" s="223"/>
      <c r="I211" s="222" t="s">
        <v>427</v>
      </c>
      <c r="J211" s="243">
        <f>J202+J209</f>
        <v>1233764</v>
      </c>
      <c r="K211" s="222" t="s">
        <v>428</v>
      </c>
      <c r="L211" s="243">
        <f>L202+L209</f>
        <v>0</v>
      </c>
      <c r="N211" s="243">
        <f>N202+N209</f>
        <v>1233764</v>
      </c>
      <c r="O211" s="374"/>
    </row>
    <row r="212" spans="2:18" s="1" customFormat="1" ht="15" thickTop="1" x14ac:dyDescent="0.35">
      <c r="B212" s="464"/>
      <c r="C212" s="837"/>
      <c r="D212" s="979"/>
      <c r="E212" s="979"/>
      <c r="F212" s="981"/>
      <c r="G212" s="464"/>
      <c r="H212" s="223"/>
      <c r="I212" s="222"/>
      <c r="J212" s="396"/>
      <c r="K212" s="362"/>
      <c r="L212" s="363"/>
      <c r="M212" s="364"/>
      <c r="N212" s="222"/>
      <c r="O212" s="26"/>
      <c r="Q212" s="26"/>
      <c r="R212" s="374"/>
    </row>
    <row r="213" spans="2:18" s="1" customFormat="1" x14ac:dyDescent="0.35">
      <c r="B213" s="464"/>
      <c r="C213" s="837"/>
      <c r="D213" s="979"/>
      <c r="E213" s="979"/>
      <c r="F213" s="981"/>
      <c r="G213" s="464"/>
      <c r="H213" s="223"/>
      <c r="I213" s="222"/>
      <c r="J213" s="396"/>
      <c r="K213" s="362"/>
      <c r="L213" s="363"/>
      <c r="M213" s="364"/>
      <c r="N213" s="222"/>
      <c r="O213" s="26"/>
      <c r="Q213" s="26"/>
      <c r="R213" s="374"/>
    </row>
    <row r="214" spans="2:18" x14ac:dyDescent="0.35">
      <c r="B214" s="410"/>
      <c r="C214" s="334" t="s">
        <v>684</v>
      </c>
      <c r="D214" s="410"/>
      <c r="E214" s="410"/>
      <c r="F214" s="410"/>
      <c r="G214" s="410"/>
      <c r="H214" s="3"/>
      <c r="I214" s="3"/>
      <c r="J214" s="3"/>
      <c r="K214" s="3"/>
      <c r="L214" s="3"/>
      <c r="M214" s="26"/>
      <c r="N214" s="17"/>
      <c r="O214" s="3"/>
      <c r="P214" s="2"/>
    </row>
    <row r="215" spans="2:18" x14ac:dyDescent="0.35">
      <c r="B215" s="3"/>
      <c r="C215" s="41" t="str">
        <f>$A$4</f>
        <v>SC12 Rate III</v>
      </c>
      <c r="D215" s="3"/>
      <c r="E215" s="3"/>
      <c r="F215" s="3"/>
      <c r="G215" s="3"/>
      <c r="H215" s="3"/>
      <c r="I215" s="3"/>
      <c r="J215" s="3"/>
      <c r="K215" s="3"/>
      <c r="L215" s="3"/>
      <c r="M215" s="26"/>
      <c r="N215" s="17"/>
      <c r="O215" s="3"/>
      <c r="P215" s="2"/>
    </row>
    <row r="216" spans="2:18" x14ac:dyDescent="0.35">
      <c r="B216" s="3"/>
      <c r="C216" s="3" t="s">
        <v>678</v>
      </c>
      <c r="D216" s="3"/>
      <c r="E216" s="3"/>
      <c r="F216" s="3"/>
      <c r="G216" s="3"/>
      <c r="H216" s="3"/>
      <c r="I216" s="3"/>
      <c r="J216" s="3"/>
      <c r="K216" s="3"/>
      <c r="L216" s="3"/>
      <c r="M216" s="26">
        <f>M194</f>
        <v>10343842</v>
      </c>
      <c r="N216" s="17"/>
      <c r="O216" s="3"/>
      <c r="P216"/>
    </row>
    <row r="217" spans="2:18" ht="15" thickBot="1" x14ac:dyDescent="0.4">
      <c r="B217" s="3"/>
      <c r="C217" s="3" t="s">
        <v>677</v>
      </c>
      <c r="D217" s="3"/>
      <c r="E217" s="3"/>
      <c r="F217" s="3"/>
      <c r="G217" s="3"/>
      <c r="H217" s="3"/>
      <c r="I217" s="3"/>
      <c r="J217" s="3"/>
      <c r="K217" s="3"/>
      <c r="L217" s="3"/>
      <c r="M217" s="26">
        <f>N211</f>
        <v>1233764</v>
      </c>
      <c r="N217" s="17"/>
      <c r="O217" s="3"/>
      <c r="P217" s="2"/>
    </row>
    <row r="218" spans="2:18" ht="15.5" thickTop="1" thickBot="1" x14ac:dyDescent="0.4">
      <c r="B218" s="3"/>
      <c r="C218" s="837" t="s">
        <v>685</v>
      </c>
      <c r="D218" s="410"/>
      <c r="E218" s="410"/>
      <c r="F218" s="3"/>
      <c r="G218" s="3"/>
      <c r="H218" s="3"/>
      <c r="I218" s="3"/>
      <c r="J218" s="3"/>
      <c r="K218" s="3"/>
      <c r="L218" s="3"/>
      <c r="M218" s="925">
        <f>M216+M217</f>
        <v>11577606</v>
      </c>
      <c r="N218" s="17"/>
      <c r="O218" s="3"/>
      <c r="P218" s="2"/>
    </row>
    <row r="219" spans="2:18" ht="15" thickTop="1" x14ac:dyDescent="0.35">
      <c r="B219" s="3"/>
      <c r="C219" s="410"/>
      <c r="D219" s="410"/>
      <c r="E219" s="410"/>
      <c r="F219" s="3"/>
      <c r="G219" s="3"/>
      <c r="H219" s="3"/>
      <c r="I219" s="3"/>
      <c r="J219" s="3"/>
      <c r="K219" s="3"/>
      <c r="L219" s="3"/>
      <c r="M219" s="3"/>
      <c r="N219" s="17"/>
      <c r="O219" s="3"/>
      <c r="P219" s="2"/>
    </row>
    <row r="220" spans="2:18" ht="15" thickBot="1" x14ac:dyDescent="0.4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7"/>
      <c r="O220" s="3"/>
      <c r="P220" s="2"/>
    </row>
    <row r="221" spans="2:18" x14ac:dyDescent="0.35">
      <c r="B221" s="3"/>
      <c r="C221" s="815" t="str">
        <f>$A$4</f>
        <v>SC12 Rate III</v>
      </c>
      <c r="D221" s="485" t="s">
        <v>718</v>
      </c>
      <c r="E221" s="22"/>
      <c r="F221" s="22"/>
      <c r="G221" s="22"/>
      <c r="H221" s="22"/>
      <c r="I221" s="22"/>
      <c r="J221" s="22"/>
      <c r="K221" s="22"/>
      <c r="L221" s="22"/>
      <c r="M221" s="21" t="s">
        <v>6</v>
      </c>
      <c r="P221"/>
    </row>
    <row r="222" spans="2:18" x14ac:dyDescent="0.35">
      <c r="B222" s="3"/>
      <c r="C222" s="11" t="s">
        <v>5</v>
      </c>
      <c r="D222" s="1305">
        <f>L4</f>
        <v>2020</v>
      </c>
      <c r="E222" s="1305"/>
      <c r="F222" s="1305"/>
      <c r="G222" s="10"/>
      <c r="H222" s="10"/>
      <c r="I222" s="10"/>
      <c r="J222" s="10"/>
      <c r="K222" s="10"/>
      <c r="L222" s="10"/>
      <c r="M222" s="13"/>
      <c r="P222"/>
    </row>
    <row r="223" spans="2:18" x14ac:dyDescent="0.35">
      <c r="B223" s="3"/>
      <c r="C223" s="699" t="s">
        <v>1469</v>
      </c>
      <c r="D223" s="883"/>
      <c r="E223" s="883"/>
      <c r="F223" s="883"/>
      <c r="G223" s="884"/>
      <c r="H223" s="884"/>
      <c r="I223" s="10"/>
      <c r="J223" s="10"/>
      <c r="K223" s="10"/>
      <c r="L223" s="10"/>
      <c r="M223" s="12">
        <f>M218</f>
        <v>11577606</v>
      </c>
      <c r="P223"/>
    </row>
    <row r="224" spans="2:18" x14ac:dyDescent="0.35">
      <c r="B224" s="3"/>
      <c r="C224" s="699" t="s">
        <v>700</v>
      </c>
      <c r="D224" s="406" t="s">
        <v>709</v>
      </c>
      <c r="E224" s="883"/>
      <c r="F224" s="883"/>
      <c r="G224" s="884"/>
      <c r="H224" s="406"/>
      <c r="I224" s="10"/>
      <c r="J224" s="10"/>
      <c r="K224" s="10"/>
      <c r="L224" s="469">
        <f>G37+H37</f>
        <v>0</v>
      </c>
      <c r="M224" s="470"/>
      <c r="P224"/>
    </row>
    <row r="225" spans="1:16" x14ac:dyDescent="0.35">
      <c r="B225" s="3"/>
      <c r="C225" s="699"/>
      <c r="D225" s="406" t="s">
        <v>711</v>
      </c>
      <c r="E225" s="883"/>
      <c r="F225" s="883"/>
      <c r="G225" s="884"/>
      <c r="H225" s="406"/>
      <c r="I225" s="10"/>
      <c r="J225" s="10"/>
      <c r="K225" s="10"/>
      <c r="L225" s="469">
        <f>G38+H38</f>
        <v>0</v>
      </c>
      <c r="M225" s="470"/>
      <c r="P225"/>
    </row>
    <row r="226" spans="1:16" x14ac:dyDescent="0.35">
      <c r="B226" s="3"/>
      <c r="C226" s="699"/>
      <c r="D226" s="406" t="s">
        <v>710</v>
      </c>
      <c r="E226" s="883"/>
      <c r="F226" s="883"/>
      <c r="G226" s="884"/>
      <c r="H226" s="406"/>
      <c r="I226" s="10"/>
      <c r="J226" s="10"/>
      <c r="K226" s="10"/>
      <c r="L226" s="469">
        <f>G39+H39</f>
        <v>0</v>
      </c>
      <c r="M226" s="470"/>
      <c r="P226"/>
    </row>
    <row r="227" spans="1:16" x14ac:dyDescent="0.35">
      <c r="B227" s="3"/>
      <c r="C227" s="699"/>
      <c r="D227" s="406"/>
      <c r="E227" s="883"/>
      <c r="F227" s="883"/>
      <c r="G227" s="884"/>
      <c r="H227" s="406"/>
      <c r="I227" s="10"/>
      <c r="J227" s="10"/>
      <c r="K227" s="10"/>
      <c r="L227" s="469"/>
      <c r="M227" s="471">
        <f>SUM(L224:L226)</f>
        <v>0</v>
      </c>
      <c r="P227"/>
    </row>
    <row r="228" spans="1:16" x14ac:dyDescent="0.35">
      <c r="B228" s="3"/>
      <c r="C228" s="11" t="s">
        <v>1469</v>
      </c>
      <c r="D228" s="10"/>
      <c r="E228" s="10"/>
      <c r="F228" s="10"/>
      <c r="G228" s="10"/>
      <c r="I228" s="10"/>
      <c r="J228" s="10"/>
      <c r="K228" s="10"/>
      <c r="L228" s="10"/>
      <c r="M228" s="12">
        <f>M223+M227</f>
        <v>11577606</v>
      </c>
      <c r="P228"/>
    </row>
    <row r="229" spans="1:16" x14ac:dyDescent="0.35">
      <c r="B229" s="3"/>
      <c r="C229" s="11"/>
      <c r="D229" s="10"/>
      <c r="E229" s="10"/>
      <c r="F229" s="10"/>
      <c r="G229" s="10"/>
      <c r="H229" s="10"/>
      <c r="I229" s="10"/>
      <c r="J229" s="10"/>
      <c r="K229" s="10"/>
      <c r="L229" s="10"/>
      <c r="M229" s="13"/>
      <c r="P229"/>
    </row>
    <row r="230" spans="1:16" x14ac:dyDescent="0.35">
      <c r="B230" s="3"/>
      <c r="C230" s="11"/>
      <c r="D230" s="10" t="s">
        <v>2</v>
      </c>
      <c r="E230" s="10"/>
      <c r="F230" s="10"/>
      <c r="G230" s="10"/>
      <c r="H230" s="10"/>
      <c r="I230" s="10"/>
      <c r="J230" s="10"/>
      <c r="K230" s="10"/>
      <c r="L230" s="10"/>
      <c r="M230" s="924">
        <f>L24</f>
        <v>11578991.170842405</v>
      </c>
      <c r="P230"/>
    </row>
    <row r="231" spans="1:16" x14ac:dyDescent="0.35">
      <c r="B231" s="3"/>
      <c r="C231" s="11"/>
      <c r="D231" s="10" t="s">
        <v>1</v>
      </c>
      <c r="E231" s="10"/>
      <c r="F231" s="10"/>
      <c r="G231" s="10"/>
      <c r="H231" s="10"/>
      <c r="I231" s="10"/>
      <c r="J231" s="10"/>
      <c r="K231" s="10"/>
      <c r="L231" s="10"/>
      <c r="M231" s="12">
        <f>M228-M230</f>
        <v>-1385.1708424054086</v>
      </c>
      <c r="P231"/>
    </row>
    <row r="232" spans="1:16" x14ac:dyDescent="0.35">
      <c r="B232" s="3"/>
      <c r="C232" s="11"/>
      <c r="D232" s="10" t="s">
        <v>0</v>
      </c>
      <c r="E232" s="10"/>
      <c r="F232" s="10"/>
      <c r="G232" s="10"/>
      <c r="H232" s="10"/>
      <c r="I232" s="10"/>
      <c r="J232" s="10"/>
      <c r="K232" s="10"/>
      <c r="L232" s="10"/>
      <c r="M232" s="742">
        <f>M228/M230-1</f>
        <v>-1.196279383901544E-4</v>
      </c>
      <c r="P232"/>
    </row>
    <row r="233" spans="1:16" ht="15" thickBot="1" x14ac:dyDescent="0.4">
      <c r="B233" s="3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5"/>
      <c r="P233"/>
    </row>
    <row r="234" spans="1:16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"/>
    </row>
    <row r="235" spans="1:16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242"/>
      <c r="N235" s="3"/>
      <c r="O235" s="3"/>
      <c r="P235" s="2"/>
    </row>
    <row r="236" spans="1:16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242"/>
      <c r="N236" s="3"/>
      <c r="O236" s="3"/>
      <c r="P236" s="2"/>
    </row>
    <row r="237" spans="1:16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242"/>
      <c r="N237" s="3"/>
      <c r="O237" s="3"/>
      <c r="P237" s="2"/>
    </row>
    <row r="238" spans="1:16" s="87" customFormat="1" x14ac:dyDescent="0.35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</row>
    <row r="239" spans="1:16" x14ac:dyDescent="0.35">
      <c r="A239" s="334" t="s">
        <v>1157</v>
      </c>
      <c r="B239" s="410"/>
      <c r="C239" s="410"/>
      <c r="D239" s="410"/>
      <c r="E239" s="410"/>
      <c r="F239" s="3"/>
      <c r="G239" s="3"/>
      <c r="H239" s="3"/>
      <c r="I239" s="3"/>
    </row>
    <row r="240" spans="1:16" x14ac:dyDescent="0.35">
      <c r="A240" s="334"/>
      <c r="B240" s="410"/>
      <c r="C240" s="410"/>
    </row>
    <row r="241" spans="1:15" x14ac:dyDescent="0.35">
      <c r="A241" s="410"/>
      <c r="B241" s="334" t="str">
        <f>CONCATENATE($A$4," at Proposed Demand Rates")</f>
        <v>SC12 Rate III at Proposed Demand Rates</v>
      </c>
      <c r="C241" s="410"/>
      <c r="D241" s="410"/>
      <c r="E241" s="410"/>
      <c r="F241" s="3"/>
      <c r="G241" s="3"/>
      <c r="H241" s="3"/>
      <c r="I241" s="486" t="s">
        <v>1158</v>
      </c>
      <c r="K241" s="3"/>
      <c r="M241" s="462" t="s">
        <v>10</v>
      </c>
      <c r="N241" s="3"/>
      <c r="O241" s="3"/>
    </row>
    <row r="242" spans="1:15" x14ac:dyDescent="0.35">
      <c r="A242" s="410"/>
      <c r="B242" s="410"/>
      <c r="C242" s="410"/>
      <c r="D242" s="410"/>
      <c r="E242" s="410"/>
      <c r="F242" s="3"/>
      <c r="G242" s="3"/>
      <c r="H242" s="30" t="s">
        <v>26</v>
      </c>
      <c r="I242" s="30" t="s">
        <v>25</v>
      </c>
      <c r="J242" s="3"/>
      <c r="K242" s="30" t="s">
        <v>11</v>
      </c>
      <c r="L242" s="3"/>
      <c r="M242" s="30" t="s">
        <v>6</v>
      </c>
      <c r="N242" s="3"/>
      <c r="O242" s="3"/>
    </row>
    <row r="243" spans="1:15" x14ac:dyDescent="0.35">
      <c r="A243" s="406"/>
      <c r="B243" s="410" t="s">
        <v>656</v>
      </c>
      <c r="C243" s="835" t="s">
        <v>667</v>
      </c>
      <c r="D243" s="1158" t="s">
        <v>1174</v>
      </c>
      <c r="E243" s="1168"/>
      <c r="F243" s="1158"/>
      <c r="G243" s="1133"/>
      <c r="H243" s="1159">
        <f>X10+X20</f>
        <v>4</v>
      </c>
      <c r="K243" s="1157">
        <f>H112</f>
        <v>12.45</v>
      </c>
      <c r="L243" s="3"/>
      <c r="M243" s="1164">
        <f>ROUND(H243*K243,0)</f>
        <v>50</v>
      </c>
      <c r="N243" s="3"/>
      <c r="O243" s="3"/>
    </row>
    <row r="244" spans="1:15" x14ac:dyDescent="0.35">
      <c r="A244" s="406"/>
      <c r="B244" s="410"/>
      <c r="C244" s="410" t="s">
        <v>42</v>
      </c>
      <c r="D244" s="1187" t="str">
        <f>$C$73</f>
        <v>D1</v>
      </c>
      <c r="E244" s="36"/>
      <c r="F244" s="1187" t="str">
        <f>$D$73</f>
        <v>8-6</v>
      </c>
      <c r="G244" s="3"/>
      <c r="H244" s="3"/>
      <c r="I244" s="105">
        <f>$H$81</f>
        <v>640</v>
      </c>
      <c r="J244" s="3"/>
      <c r="K244" s="35">
        <f>K177</f>
        <v>7.7900000000000009</v>
      </c>
      <c r="L244" s="3"/>
      <c r="M244" s="26">
        <f>ROUND(K244*I244,0)</f>
        <v>4986</v>
      </c>
      <c r="N244" s="3"/>
      <c r="O244" s="3"/>
    </row>
    <row r="245" spans="1:15" x14ac:dyDescent="0.35">
      <c r="A245" s="406"/>
      <c r="B245" s="410"/>
      <c r="C245" s="410"/>
      <c r="D245" s="1187" t="str">
        <f>$C$74</f>
        <v>D2</v>
      </c>
      <c r="E245" s="36"/>
      <c r="F245" s="1187" t="str">
        <f>$D$74</f>
        <v>8-10</v>
      </c>
      <c r="G245" s="3"/>
      <c r="H245" s="3"/>
      <c r="I245" s="105">
        <f>$H$83</f>
        <v>640</v>
      </c>
      <c r="J245" s="3"/>
      <c r="K245" s="35">
        <f>K178</f>
        <v>18.41</v>
      </c>
      <c r="L245" s="3"/>
      <c r="M245" s="26">
        <f>ROUND(K245*I245,0)</f>
        <v>11782</v>
      </c>
      <c r="N245" s="3"/>
      <c r="O245" s="3"/>
    </row>
    <row r="246" spans="1:15" x14ac:dyDescent="0.35">
      <c r="A246" s="406"/>
      <c r="B246" s="410"/>
      <c r="C246" s="410"/>
      <c r="D246" s="1187" t="str">
        <f>$C$75</f>
        <v>D3</v>
      </c>
      <c r="E246" s="36"/>
      <c r="F246" s="1187" t="str">
        <f>$D$75</f>
        <v>All Day</v>
      </c>
      <c r="G246" s="3"/>
      <c r="H246" s="3"/>
      <c r="I246" s="351">
        <f>$H$85</f>
        <v>640</v>
      </c>
      <c r="J246" s="3"/>
      <c r="K246" s="35">
        <f>K179</f>
        <v>18.940000000000001</v>
      </c>
      <c r="L246" s="3"/>
      <c r="M246" s="37">
        <f>ROUND(K246*I246,0)</f>
        <v>12122</v>
      </c>
      <c r="N246" s="3"/>
      <c r="O246" s="3"/>
    </row>
    <row r="247" spans="1:15" x14ac:dyDescent="0.35">
      <c r="A247" s="406"/>
      <c r="B247" s="410"/>
      <c r="C247" s="410"/>
      <c r="D247" s="36"/>
      <c r="E247" s="36"/>
      <c r="F247" s="36"/>
      <c r="G247" s="3"/>
      <c r="H247" s="3"/>
      <c r="I247" s="28">
        <f>I244+I245+I246</f>
        <v>1920</v>
      </c>
      <c r="J247" s="3"/>
      <c r="K247" s="35"/>
      <c r="L247" s="3"/>
      <c r="M247" s="832">
        <f>M243+M244+M245+M246</f>
        <v>28940</v>
      </c>
      <c r="N247" s="34"/>
      <c r="O247" s="36" t="s">
        <v>10</v>
      </c>
    </row>
    <row r="248" spans="1:15" x14ac:dyDescent="0.35">
      <c r="A248" s="406"/>
      <c r="B248" s="410"/>
      <c r="C248" s="410"/>
      <c r="D248" s="36"/>
      <c r="E248" s="36"/>
      <c r="F248" s="36"/>
      <c r="G248" s="28"/>
      <c r="H248" s="3"/>
      <c r="I248" s="28"/>
      <c r="J248" s="3"/>
      <c r="K248" s="35"/>
      <c r="L248" s="33" t="s">
        <v>22</v>
      </c>
      <c r="M248" s="34">
        <f>ROUND(M247*(O248-1),0)</f>
        <v>345</v>
      </c>
      <c r="N248" s="33" t="s">
        <v>23</v>
      </c>
      <c r="O248" s="40">
        <f>$L$10</f>
        <v>1.0119199999999999</v>
      </c>
    </row>
    <row r="249" spans="1:15" x14ac:dyDescent="0.35">
      <c r="A249" s="406"/>
      <c r="B249" s="410"/>
      <c r="C249" s="410"/>
      <c r="D249" s="36"/>
      <c r="E249" s="36"/>
      <c r="F249" s="36"/>
      <c r="G249" s="28"/>
      <c r="H249" s="3"/>
      <c r="I249" s="28"/>
      <c r="J249" s="3"/>
      <c r="K249" s="35"/>
      <c r="L249" s="33" t="s">
        <v>21</v>
      </c>
      <c r="M249" s="32">
        <f>M247+M248</f>
        <v>29285</v>
      </c>
      <c r="N249" s="8"/>
      <c r="O249" s="3"/>
    </row>
    <row r="250" spans="1:15" x14ac:dyDescent="0.35">
      <c r="A250" s="406"/>
      <c r="B250" s="410"/>
      <c r="C250" s="410"/>
      <c r="M250" s="3"/>
      <c r="N250" s="3"/>
      <c r="O250" s="3"/>
    </row>
    <row r="251" spans="1:15" x14ac:dyDescent="0.35">
      <c r="A251" s="406"/>
      <c r="B251" s="410"/>
      <c r="C251" s="410"/>
      <c r="D251" s="3"/>
      <c r="E251" s="3"/>
      <c r="F251" s="3"/>
      <c r="G251" s="3"/>
      <c r="H251" s="3"/>
      <c r="I251" s="486" t="s">
        <v>1158</v>
      </c>
      <c r="J251" s="3"/>
      <c r="K251" s="3"/>
      <c r="L251" s="3"/>
      <c r="M251" s="462" t="s">
        <v>7</v>
      </c>
      <c r="N251" s="3"/>
      <c r="O251" s="3"/>
    </row>
    <row r="252" spans="1:15" x14ac:dyDescent="0.35">
      <c r="A252" s="406"/>
      <c r="B252" s="410"/>
      <c r="C252" s="410"/>
      <c r="D252" s="3"/>
      <c r="E252" s="3"/>
      <c r="F252" s="3"/>
      <c r="G252" s="3"/>
      <c r="H252" s="30" t="s">
        <v>26</v>
      </c>
      <c r="I252" s="30" t="s">
        <v>25</v>
      </c>
      <c r="J252" s="3"/>
      <c r="K252" s="30" t="s">
        <v>11</v>
      </c>
      <c r="L252" s="3"/>
      <c r="M252" s="30" t="s">
        <v>6</v>
      </c>
      <c r="N252" s="3"/>
      <c r="O252" s="3"/>
    </row>
    <row r="253" spans="1:15" x14ac:dyDescent="0.35">
      <c r="A253" s="406"/>
      <c r="B253" s="410"/>
      <c r="C253" s="410"/>
      <c r="D253" s="1158" t="s">
        <v>1174</v>
      </c>
      <c r="E253" s="1168"/>
      <c r="F253" s="1158"/>
      <c r="G253" s="1133"/>
      <c r="H253" s="1159">
        <f>X15+X25</f>
        <v>8</v>
      </c>
      <c r="J253" s="3"/>
      <c r="K253" s="1157">
        <f>J112</f>
        <v>12.45</v>
      </c>
      <c r="L253" s="3"/>
      <c r="M253" s="1164">
        <f>ROUND(H253*K253,0)</f>
        <v>100</v>
      </c>
      <c r="N253" s="3"/>
      <c r="O253" s="3"/>
    </row>
    <row r="254" spans="1:15" x14ac:dyDescent="0.35">
      <c r="A254" s="406"/>
      <c r="B254" s="410"/>
      <c r="C254" s="410" t="s">
        <v>40</v>
      </c>
      <c r="D254" s="1187" t="str">
        <f>$C$73</f>
        <v>D1</v>
      </c>
      <c r="E254" s="36"/>
      <c r="F254" s="1187" t="str">
        <f>$D$73</f>
        <v>8-6</v>
      </c>
      <c r="G254" s="3"/>
      <c r="H254" s="3"/>
      <c r="I254" s="105">
        <f>$H$82</f>
        <v>0</v>
      </c>
      <c r="J254" s="3"/>
      <c r="K254" s="35">
        <f>K187</f>
        <v>0</v>
      </c>
      <c r="L254" s="3"/>
      <c r="M254" s="26">
        <f>ROUND(K254*I254,0)</f>
        <v>0</v>
      </c>
      <c r="N254" s="3"/>
      <c r="O254" s="3"/>
    </row>
    <row r="255" spans="1:15" x14ac:dyDescent="0.35">
      <c r="A255" s="406"/>
      <c r="B255" s="410"/>
      <c r="C255" s="410"/>
      <c r="D255" s="1187" t="str">
        <f>$C$74</f>
        <v>D2</v>
      </c>
      <c r="E255" s="36"/>
      <c r="F255" s="1187" t="str">
        <f>$D$74</f>
        <v>8-10</v>
      </c>
      <c r="G255" s="3"/>
      <c r="H255" s="3"/>
      <c r="I255" s="105">
        <f>$H$84</f>
        <v>2127</v>
      </c>
      <c r="J255" s="3"/>
      <c r="K255" s="35">
        <f>K188</f>
        <v>8.1300000000000008</v>
      </c>
      <c r="L255" s="3"/>
      <c r="M255" s="26">
        <f>ROUND(K255*I255,0)</f>
        <v>17293</v>
      </c>
      <c r="N255" s="3"/>
      <c r="O255" s="3"/>
    </row>
    <row r="256" spans="1:15" x14ac:dyDescent="0.35">
      <c r="A256" s="406"/>
      <c r="B256" s="410"/>
      <c r="C256" s="410"/>
      <c r="D256" s="1187" t="str">
        <f>$C$75</f>
        <v>D3</v>
      </c>
      <c r="E256" s="36"/>
      <c r="F256" s="1187" t="str">
        <f>$D$75</f>
        <v>All Day</v>
      </c>
      <c r="G256" s="3"/>
      <c r="H256" s="3"/>
      <c r="I256" s="351">
        <f>$H$86</f>
        <v>2522</v>
      </c>
      <c r="J256" s="3"/>
      <c r="K256" s="35">
        <f>K189</f>
        <v>14.420000000000002</v>
      </c>
      <c r="L256" s="3"/>
      <c r="M256" s="37">
        <f>ROUND(K256*I256,0)</f>
        <v>36367</v>
      </c>
      <c r="N256" s="3"/>
      <c r="O256" s="3"/>
    </row>
    <row r="257" spans="1:15" x14ac:dyDescent="0.35">
      <c r="A257" s="406"/>
      <c r="B257" s="410"/>
      <c r="C257" s="410"/>
      <c r="D257" s="36"/>
      <c r="E257" s="36"/>
      <c r="F257" s="36"/>
      <c r="G257" s="3"/>
      <c r="H257" s="3"/>
      <c r="I257" s="28">
        <f>I254+I255+I256</f>
        <v>4649</v>
      </c>
      <c r="J257" s="3"/>
      <c r="K257" s="35"/>
      <c r="L257" s="3"/>
      <c r="M257" s="832">
        <f>M253+M254+M255+M256</f>
        <v>53760</v>
      </c>
      <c r="N257" s="3"/>
      <c r="O257" s="36" t="s">
        <v>7</v>
      </c>
    </row>
    <row r="258" spans="1:15" x14ac:dyDescent="0.35">
      <c r="A258" s="406"/>
      <c r="B258" s="410"/>
      <c r="C258" s="410"/>
      <c r="D258" s="36"/>
      <c r="E258" s="36"/>
      <c r="F258" s="36"/>
      <c r="G258" s="3"/>
      <c r="H258" s="3"/>
      <c r="I258" s="28"/>
      <c r="J258" s="3"/>
      <c r="K258" s="35"/>
      <c r="L258" s="33" t="s">
        <v>22</v>
      </c>
      <c r="M258" s="34">
        <f>ROUND(M257*(O258-1),0)</f>
        <v>574</v>
      </c>
      <c r="N258" s="33" t="s">
        <v>23</v>
      </c>
      <c r="O258" s="40">
        <f>$L$11</f>
        <v>1.01067</v>
      </c>
    </row>
    <row r="259" spans="1:15" x14ac:dyDescent="0.35">
      <c r="A259" s="406"/>
      <c r="B259" s="410"/>
      <c r="C259" s="410"/>
      <c r="D259" s="36"/>
      <c r="E259" s="36"/>
      <c r="F259" s="36"/>
      <c r="G259" s="28"/>
      <c r="H259" s="3"/>
      <c r="I259" s="28"/>
      <c r="J259" s="3"/>
      <c r="K259" s="35"/>
      <c r="L259" s="33" t="s">
        <v>21</v>
      </c>
      <c r="M259" s="32">
        <f>M257+M258</f>
        <v>54334</v>
      </c>
      <c r="N259" s="8"/>
      <c r="O259" s="3"/>
    </row>
    <row r="260" spans="1:15" x14ac:dyDescent="0.35">
      <c r="A260" s="406"/>
      <c r="B260" s="410"/>
      <c r="C260" s="410"/>
      <c r="D260" s="410"/>
      <c r="E260" s="410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35">
      <c r="A261" s="406"/>
      <c r="B261" s="410"/>
      <c r="C261" s="837" t="str">
        <f>CONCATENATE($A$4," - Annual Demand Revenue Price-Out at Proposed Rates - Incl. EDB:")</f>
        <v>SC12 Rate III - Annual Demand Revenue Price-Out at Proposed Rates - Incl. EDB:</v>
      </c>
      <c r="D261" s="410"/>
      <c r="E261" s="410"/>
      <c r="F261" s="3"/>
      <c r="G261" s="3"/>
      <c r="H261" s="3"/>
      <c r="I261" s="3"/>
      <c r="J261" s="3"/>
      <c r="K261" s="3"/>
      <c r="L261" s="3"/>
      <c r="M261" s="32">
        <f>M249+M259</f>
        <v>83619</v>
      </c>
      <c r="N261" s="468"/>
      <c r="O261" s="3"/>
    </row>
    <row r="262" spans="1:15" x14ac:dyDescent="0.35">
      <c r="A262" s="406"/>
      <c r="B262" s="410"/>
      <c r="C262" s="410"/>
      <c r="D262" s="410"/>
      <c r="E262" s="410"/>
      <c r="F262" s="3"/>
      <c r="G262" s="3"/>
      <c r="H262" s="3"/>
      <c r="I262" s="3"/>
      <c r="J262" s="3"/>
      <c r="K262" s="3"/>
      <c r="L262" s="3"/>
      <c r="M262" s="26"/>
      <c r="N262" s="17"/>
      <c r="O262" s="3"/>
    </row>
    <row r="263" spans="1:15" x14ac:dyDescent="0.35">
      <c r="A263" s="406"/>
      <c r="B263" s="410"/>
      <c r="C263" s="410"/>
      <c r="D263" s="410"/>
      <c r="E263" s="410"/>
      <c r="F263" s="3"/>
      <c r="G263" s="3"/>
      <c r="H263" s="3"/>
      <c r="I263" s="3"/>
      <c r="J263" s="3"/>
      <c r="K263" s="3"/>
      <c r="L263" s="3"/>
      <c r="M263" s="26"/>
      <c r="N263" s="17"/>
      <c r="O263" s="3"/>
    </row>
    <row r="264" spans="1:15" ht="15" thickBot="1" x14ac:dyDescent="0.4">
      <c r="A264" s="334"/>
      <c r="B264" s="334" t="str">
        <f>CONCATENATE($A$4," at Proposed Energy Rates")</f>
        <v>SC12 Rate III at Proposed Energy Rates</v>
      </c>
      <c r="C264" s="410"/>
      <c r="D264" s="410"/>
      <c r="E264" s="410"/>
      <c r="F264" s="3"/>
      <c r="G264" s="3"/>
      <c r="H264" s="3"/>
      <c r="I264" s="3"/>
      <c r="K264" s="367" t="s">
        <v>426</v>
      </c>
      <c r="L264" s="368">
        <f>$L$10</f>
        <v>1.0119199999999999</v>
      </c>
      <c r="N264" s="344" t="str">
        <f>$A$4</f>
        <v>SC12 Rate III</v>
      </c>
    </row>
    <row r="265" spans="1:15" ht="15.5" thickTop="1" thickBot="1" x14ac:dyDescent="0.4">
      <c r="B265" s="487" t="s">
        <v>1158</v>
      </c>
      <c r="H265" s="1307" t="s">
        <v>417</v>
      </c>
      <c r="I265" s="1308"/>
      <c r="J265" s="1309"/>
      <c r="L265" s="604" t="s">
        <v>475</v>
      </c>
      <c r="N265" s="935" t="s">
        <v>42</v>
      </c>
    </row>
    <row r="266" spans="1:15" ht="15" thickTop="1" x14ac:dyDescent="0.35">
      <c r="B266" s="3"/>
      <c r="H266" s="30" t="s">
        <v>416</v>
      </c>
      <c r="I266" s="30" t="s">
        <v>674</v>
      </c>
      <c r="J266" s="36" t="s">
        <v>676</v>
      </c>
      <c r="L266" s="30" t="s">
        <v>425</v>
      </c>
      <c r="N266" s="36" t="s">
        <v>675</v>
      </c>
    </row>
    <row r="267" spans="1:15" x14ac:dyDescent="0.35">
      <c r="B267" s="407" t="s">
        <v>42</v>
      </c>
      <c r="C267" s="978" t="str">
        <f>$F$135</f>
        <v>On Peak</v>
      </c>
      <c r="D267" s="979"/>
      <c r="E267" s="122"/>
      <c r="H267" s="223">
        <f>H200</f>
        <v>7.9000000000000008E-3</v>
      </c>
      <c r="I267" s="105">
        <f>AA9+AA19</f>
        <v>350800</v>
      </c>
      <c r="J267" s="26">
        <f>ROUND(H267*I267,0)</f>
        <v>2771</v>
      </c>
      <c r="L267" s="397"/>
      <c r="N267" s="26">
        <f>J267+L267</f>
        <v>2771</v>
      </c>
    </row>
    <row r="268" spans="1:15" x14ac:dyDescent="0.35">
      <c r="B268" s="406"/>
      <c r="C268" s="978" t="str">
        <f>$F$136</f>
        <v>Off Peak</v>
      </c>
      <c r="D268" s="272"/>
      <c r="E268" s="122"/>
      <c r="H268" s="223">
        <f>H201</f>
        <v>7.9000000000000008E-3</v>
      </c>
      <c r="I268" s="606"/>
      <c r="J268" s="26">
        <f>ROUND(H268*I268,0)</f>
        <v>0</v>
      </c>
      <c r="L268" s="397"/>
      <c r="N268" s="26">
        <f>J268+L268</f>
        <v>0</v>
      </c>
    </row>
    <row r="269" spans="1:15" x14ac:dyDescent="0.35">
      <c r="B269" s="406"/>
      <c r="C269" s="410" t="s">
        <v>420</v>
      </c>
      <c r="D269" s="410"/>
      <c r="E269" s="3"/>
      <c r="F269" s="3"/>
      <c r="H269" s="223"/>
      <c r="I269" s="223"/>
      <c r="J269" s="32">
        <f>SUM(J267:J268)</f>
        <v>2771</v>
      </c>
      <c r="L269" s="32">
        <f>SUM(L267:L268)</f>
        <v>0</v>
      </c>
      <c r="N269" s="32">
        <f>SUM(N267:N268)</f>
        <v>2771</v>
      </c>
    </row>
    <row r="270" spans="1:15" x14ac:dyDescent="0.35">
      <c r="A270" s="1"/>
      <c r="B270" s="464"/>
      <c r="C270" s="392"/>
      <c r="D270" s="979"/>
      <c r="E270" s="121"/>
      <c r="F270" s="361"/>
      <c r="G270" s="1"/>
      <c r="H270" s="223"/>
      <c r="I270" s="362"/>
      <c r="J270" s="395"/>
      <c r="L270" s="1"/>
      <c r="M270" s="1"/>
      <c r="N270" s="1"/>
      <c r="O270" s="1"/>
    </row>
    <row r="271" spans="1:15" ht="15" thickBot="1" x14ac:dyDescent="0.4">
      <c r="A271" s="1"/>
      <c r="B271" s="464"/>
      <c r="C271" s="392"/>
      <c r="D271" s="979"/>
      <c r="E271" s="121"/>
      <c r="F271" s="361"/>
      <c r="G271" s="1"/>
      <c r="H271" s="223"/>
      <c r="I271" s="362"/>
      <c r="J271" s="223"/>
      <c r="L271" s="368">
        <f>$L$11</f>
        <v>1.01067</v>
      </c>
      <c r="M271" s="1"/>
      <c r="N271" s="1"/>
      <c r="O271" s="1"/>
    </row>
    <row r="272" spans="1:15" ht="15.5" thickTop="1" thickBot="1" x14ac:dyDescent="0.4">
      <c r="A272" s="1"/>
      <c r="B272" s="464"/>
      <c r="C272" s="392"/>
      <c r="D272" s="979"/>
      <c r="E272" s="121"/>
      <c r="F272" s="361"/>
      <c r="G272" s="1"/>
      <c r="H272" s="1307" t="s">
        <v>417</v>
      </c>
      <c r="I272" s="1308"/>
      <c r="J272" s="1309"/>
      <c r="L272" s="604" t="s">
        <v>475</v>
      </c>
      <c r="M272" s="1"/>
      <c r="N272" s="935" t="s">
        <v>40</v>
      </c>
      <c r="O272" s="1"/>
    </row>
    <row r="273" spans="1:15" ht="15" thickTop="1" x14ac:dyDescent="0.35">
      <c r="A273" s="1"/>
      <c r="B273" s="464"/>
      <c r="C273" s="392"/>
      <c r="D273" s="979"/>
      <c r="E273" s="121"/>
      <c r="F273" s="361"/>
      <c r="G273" s="1"/>
      <c r="H273" s="30" t="s">
        <v>416</v>
      </c>
      <c r="I273" s="30" t="s">
        <v>674</v>
      </c>
      <c r="J273" s="36" t="s">
        <v>676</v>
      </c>
      <c r="L273" s="30" t="s">
        <v>425</v>
      </c>
      <c r="M273" s="1"/>
      <c r="N273" s="36" t="s">
        <v>675</v>
      </c>
      <c r="O273" s="1"/>
    </row>
    <row r="274" spans="1:15" x14ac:dyDescent="0.35">
      <c r="A274" s="1"/>
      <c r="B274" s="407" t="s">
        <v>40</v>
      </c>
      <c r="C274" s="978" t="str">
        <f>$F$135</f>
        <v>On Peak</v>
      </c>
      <c r="D274" s="979"/>
      <c r="E274" s="122"/>
      <c r="F274" s="1"/>
      <c r="G274" s="1"/>
      <c r="H274" s="223">
        <f>H207</f>
        <v>7.9000000000000008E-3</v>
      </c>
      <c r="I274" s="105">
        <f>AA14+AA24</f>
        <v>1208400</v>
      </c>
      <c r="J274" s="26">
        <f>ROUND(H274*I274,0)</f>
        <v>9546</v>
      </c>
      <c r="L274" s="397"/>
      <c r="M274" s="1"/>
      <c r="N274" s="26">
        <f>J274+L274</f>
        <v>9546</v>
      </c>
      <c r="O274" s="1"/>
    </row>
    <row r="275" spans="1:15" x14ac:dyDescent="0.35">
      <c r="A275" s="1"/>
      <c r="B275" s="406"/>
      <c r="C275" s="978" t="str">
        <f>$F$136</f>
        <v>Off Peak</v>
      </c>
      <c r="D275" s="272"/>
      <c r="E275" s="122"/>
      <c r="F275" s="1"/>
      <c r="G275" s="1"/>
      <c r="H275" s="223">
        <f>H208</f>
        <v>7.9000000000000008E-3</v>
      </c>
      <c r="I275" s="606"/>
      <c r="J275" s="26">
        <f>ROUND(H275*I275,0)</f>
        <v>0</v>
      </c>
      <c r="L275" s="397"/>
      <c r="M275" s="1"/>
      <c r="N275" s="26">
        <f>J275+L275</f>
        <v>0</v>
      </c>
      <c r="O275" s="1"/>
    </row>
    <row r="276" spans="1:15" x14ac:dyDescent="0.35">
      <c r="A276" s="1"/>
      <c r="B276" s="406"/>
      <c r="C276" s="410" t="s">
        <v>421</v>
      </c>
      <c r="D276" s="410"/>
      <c r="E276" s="3"/>
      <c r="F276" s="3"/>
      <c r="G276" s="1"/>
      <c r="H276" s="223"/>
      <c r="I276" s="223"/>
      <c r="J276" s="32">
        <f>SUM(J274:J275)</f>
        <v>9546</v>
      </c>
      <c r="L276" s="32">
        <f>SUM(L274:L275)</f>
        <v>0</v>
      </c>
      <c r="M276" s="1"/>
      <c r="N276" s="32">
        <f>SUM(N274:N275)</f>
        <v>9546</v>
      </c>
      <c r="O276" s="1"/>
    </row>
    <row r="277" spans="1:15" ht="15" thickBot="1" x14ac:dyDescent="0.4">
      <c r="A277" s="1"/>
      <c r="B277" s="464"/>
      <c r="C277" s="392"/>
      <c r="D277" s="979"/>
      <c r="E277" s="121"/>
      <c r="F277" s="361"/>
      <c r="G277" s="1"/>
      <c r="H277" s="223"/>
      <c r="I277" s="362"/>
      <c r="J277" s="395"/>
      <c r="L277" s="1"/>
      <c r="M277" s="1"/>
      <c r="N277" s="223"/>
      <c r="O277" s="1"/>
    </row>
    <row r="278" spans="1:15" ht="15.5" thickTop="1" thickBot="1" x14ac:dyDescent="0.4">
      <c r="A278" s="1"/>
      <c r="B278" s="464"/>
      <c r="C278" s="837" t="str">
        <f>CONCATENATE($A$4," - Annual Energy Revenue Price-Out at Proposed Rates:")</f>
        <v>SC12 Rate III - Annual Energy Revenue Price-Out at Proposed Rates:</v>
      </c>
      <c r="D278" s="979"/>
      <c r="E278" s="121"/>
      <c r="F278" s="361"/>
      <c r="G278" s="1"/>
      <c r="H278" s="223"/>
      <c r="I278" s="222" t="s">
        <v>427</v>
      </c>
      <c r="J278" s="243">
        <f>J269+J276</f>
        <v>12317</v>
      </c>
      <c r="K278" s="222" t="s">
        <v>428</v>
      </c>
      <c r="L278" s="243">
        <f>L269+L276</f>
        <v>0</v>
      </c>
      <c r="M278" s="1"/>
      <c r="N278" s="243">
        <f>N269+N276</f>
        <v>12317</v>
      </c>
      <c r="O278" s="374"/>
    </row>
    <row r="279" spans="1:15" ht="15" thickTop="1" x14ac:dyDescent="0.35">
      <c r="A279" s="1"/>
      <c r="B279" s="464"/>
      <c r="C279" s="837"/>
      <c r="D279" s="979"/>
      <c r="E279" s="121"/>
      <c r="F279" s="361"/>
      <c r="G279" s="1"/>
      <c r="H279" s="223"/>
      <c r="I279" s="222"/>
      <c r="J279" s="396"/>
      <c r="K279" s="362"/>
      <c r="L279" s="363"/>
      <c r="M279" s="364"/>
      <c r="N279" s="222"/>
      <c r="O279" s="26"/>
    </row>
    <row r="280" spans="1:15" x14ac:dyDescent="0.35">
      <c r="A280" s="1"/>
      <c r="B280" s="1"/>
      <c r="C280" s="25"/>
      <c r="D280" s="121"/>
      <c r="E280" s="121"/>
      <c r="F280" s="361"/>
      <c r="G280" s="1"/>
      <c r="H280" s="223"/>
      <c r="I280" s="222"/>
      <c r="J280" s="396"/>
      <c r="K280" s="362"/>
      <c r="L280" s="363"/>
      <c r="M280" s="364"/>
      <c r="N280" s="222"/>
      <c r="O280" s="26"/>
    </row>
    <row r="281" spans="1:15" x14ac:dyDescent="0.35">
      <c r="B281" s="3"/>
      <c r="C281" s="70" t="s">
        <v>684</v>
      </c>
      <c r="D281" s="3"/>
      <c r="E281" s="3"/>
      <c r="F281" s="3"/>
      <c r="G281" s="3"/>
      <c r="H281" s="3"/>
      <c r="I281" s="3"/>
      <c r="J281" s="3"/>
      <c r="K281" s="3"/>
      <c r="L281" s="3"/>
      <c r="M281" s="26"/>
      <c r="N281" s="17"/>
      <c r="O281" s="3"/>
    </row>
    <row r="282" spans="1:15" x14ac:dyDescent="0.35">
      <c r="B282" s="3"/>
      <c r="C282" s="41" t="s">
        <v>740</v>
      </c>
      <c r="D282" s="3"/>
      <c r="E282" s="3"/>
      <c r="F282" s="3"/>
      <c r="G282" s="3"/>
      <c r="H282" s="3"/>
      <c r="I282" s="3"/>
      <c r="J282" s="3"/>
      <c r="K282" s="3"/>
      <c r="L282" s="3"/>
      <c r="M282" s="607" t="s">
        <v>1159</v>
      </c>
      <c r="N282" s="17"/>
      <c r="O282" s="3"/>
    </row>
    <row r="283" spans="1:15" x14ac:dyDescent="0.35">
      <c r="B283" s="3"/>
      <c r="C283" s="3" t="s">
        <v>678</v>
      </c>
      <c r="D283" s="3"/>
      <c r="E283" s="3"/>
      <c r="F283" s="3"/>
      <c r="G283" s="3"/>
      <c r="H283" s="3"/>
      <c r="I283" s="3"/>
      <c r="J283" s="3"/>
      <c r="K283" s="3"/>
      <c r="L283" s="3"/>
      <c r="M283" s="26">
        <f>M261</f>
        <v>83619</v>
      </c>
      <c r="N283" s="3"/>
      <c r="O283" s="3"/>
    </row>
    <row r="284" spans="1:15" ht="15" thickBot="1" x14ac:dyDescent="0.4">
      <c r="B284" s="3"/>
      <c r="C284" s="3" t="s">
        <v>677</v>
      </c>
      <c r="D284" s="3"/>
      <c r="E284" s="3"/>
      <c r="F284" s="3"/>
      <c r="G284" s="3"/>
      <c r="H284" s="3"/>
      <c r="I284" s="3"/>
      <c r="J284" s="3"/>
      <c r="K284" s="3"/>
      <c r="L284" s="3"/>
      <c r="M284" s="26">
        <f>N278</f>
        <v>12317</v>
      </c>
      <c r="N284" s="3"/>
      <c r="O284" s="3"/>
    </row>
    <row r="285" spans="1:15" ht="15.5" thickTop="1" thickBot="1" x14ac:dyDescent="0.4">
      <c r="B285" s="3"/>
      <c r="C285" s="837" t="s">
        <v>685</v>
      </c>
      <c r="D285" s="3"/>
      <c r="E285" s="3"/>
      <c r="F285" s="3"/>
      <c r="G285" s="3"/>
      <c r="H285" s="3"/>
      <c r="I285" s="3"/>
      <c r="J285" s="3"/>
      <c r="K285" s="3"/>
      <c r="L285" s="3"/>
      <c r="M285" s="925">
        <f>M283+M284</f>
        <v>95936</v>
      </c>
      <c r="N285" s="3"/>
      <c r="O285" s="3"/>
    </row>
    <row r="286" spans="1:15" ht="15" thickTop="1" x14ac:dyDescent="0.35">
      <c r="C286" s="406"/>
      <c r="N286" s="17"/>
    </row>
    <row r="287" spans="1:15" x14ac:dyDescent="0.35">
      <c r="N287" s="17"/>
    </row>
  </sheetData>
  <mergeCells count="17">
    <mergeCell ref="H265:J265"/>
    <mergeCell ref="H272:J272"/>
    <mergeCell ref="H64:J64"/>
    <mergeCell ref="L64:N64"/>
    <mergeCell ref="L71:N71"/>
    <mergeCell ref="N105:Q105"/>
    <mergeCell ref="N106:Q106"/>
    <mergeCell ref="L126:N126"/>
    <mergeCell ref="L133:N133"/>
    <mergeCell ref="M165:O165"/>
    <mergeCell ref="D103:F103"/>
    <mergeCell ref="H106:J106"/>
    <mergeCell ref="H205:J205"/>
    <mergeCell ref="D222:F222"/>
    <mergeCell ref="H126:J126"/>
    <mergeCell ref="H165:J165"/>
    <mergeCell ref="H198:J198"/>
  </mergeCells>
  <printOptions horizontalCentered="1"/>
  <pageMargins left="0.25" right="0.25" top="0.5" bottom="0.25" header="0.3" footer="0.1"/>
  <pageSetup scale="45" orientation="landscape" r:id="rId1"/>
  <headerFooter>
    <oddFooter>&amp;C&amp;F (Tab: &amp;A)&amp;RPage &amp;P / &amp;N</oddFooter>
  </headerFooter>
  <rowBreaks count="3" manualBreakCount="3">
    <brk id="77" max="16383" man="1"/>
    <brk id="138" max="16383" man="1"/>
    <brk id="213" max="16383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41">
    <tabColor rgb="FFFFFF00"/>
    <pageSetUpPr fitToPage="1"/>
  </sheetPr>
  <dimension ref="B1:G63"/>
  <sheetViews>
    <sheetView topLeftCell="A40" workbookViewId="0">
      <selection activeCell="F74" sqref="F74"/>
    </sheetView>
  </sheetViews>
  <sheetFormatPr defaultRowHeight="14.5" x14ac:dyDescent="0.35"/>
  <cols>
    <col min="1" max="1" width="4" customWidth="1"/>
    <col min="2" max="2" width="7" customWidth="1"/>
    <col min="3" max="3" width="52.7265625" customWidth="1"/>
    <col min="4" max="5" width="16.453125" customWidth="1"/>
    <col min="6" max="6" width="16.453125" style="425" customWidth="1"/>
    <col min="7" max="11" width="14.26953125" customWidth="1"/>
    <col min="12" max="12" width="12.7265625" customWidth="1"/>
    <col min="13" max="14" width="14.26953125" customWidth="1"/>
  </cols>
  <sheetData>
    <row r="1" spans="2:7" ht="15.5" x14ac:dyDescent="0.35">
      <c r="B1" s="448" t="s">
        <v>966</v>
      </c>
      <c r="C1" s="438" t="s">
        <v>967</v>
      </c>
      <c r="G1" s="532"/>
    </row>
    <row r="2" spans="2:7" x14ac:dyDescent="0.35">
      <c r="C2" s="372" t="str">
        <f>CONCATENATE('12B.)TODL_RateDesign_SC5_II'!$D$3," $",'12B.)TODL_RateDesign_SC5_II'!$G$3/1000000,"M")</f>
        <v>Proposed Rate Change: $113.251M</v>
      </c>
      <c r="G2" s="532"/>
    </row>
    <row r="3" spans="2:7" x14ac:dyDescent="0.35">
      <c r="C3" t="s">
        <v>968</v>
      </c>
      <c r="D3" s="916">
        <f>'[1]A1.)RatesInput'!$G$3</f>
        <v>2017</v>
      </c>
      <c r="G3" s="532"/>
    </row>
    <row r="4" spans="2:7" x14ac:dyDescent="0.35">
      <c r="C4" t="s">
        <v>1164</v>
      </c>
      <c r="D4" s="916">
        <f>'[1]A1.)RatesInput'!$G$4</f>
        <v>2019</v>
      </c>
    </row>
    <row r="5" spans="2:7" ht="15" thickBot="1" x14ac:dyDescent="0.4">
      <c r="C5" t="s">
        <v>969</v>
      </c>
      <c r="D5" s="916">
        <f>'[1]A1.)RatesInput'!$I$3</f>
        <v>2020</v>
      </c>
      <c r="E5" s="1" t="str">
        <f>'[1]A1.)RatesInput'!$I$2</f>
        <v>RY1</v>
      </c>
    </row>
    <row r="6" spans="2:7" ht="15" thickBot="1" x14ac:dyDescent="0.4">
      <c r="B6" s="131" t="s">
        <v>533</v>
      </c>
      <c r="C6" s="435" t="s">
        <v>529</v>
      </c>
      <c r="D6" s="400" t="s">
        <v>970</v>
      </c>
      <c r="E6" s="436"/>
    </row>
    <row r="7" spans="2:7" x14ac:dyDescent="0.35">
      <c r="C7" s="435" t="s">
        <v>528</v>
      </c>
      <c r="D7" s="372" t="s">
        <v>971</v>
      </c>
    </row>
    <row r="9" spans="2:7" x14ac:dyDescent="0.35">
      <c r="C9" s="435" t="s">
        <v>527</v>
      </c>
      <c r="D9" s="428" t="s">
        <v>170</v>
      </c>
      <c r="E9" s="428" t="s">
        <v>521</v>
      </c>
      <c r="F9" s="428" t="s">
        <v>526</v>
      </c>
    </row>
    <row r="10" spans="2:7" x14ac:dyDescent="0.35">
      <c r="D10" s="296">
        <f>D4</f>
        <v>2019</v>
      </c>
      <c r="E10" s="296">
        <f>D5</f>
        <v>2020</v>
      </c>
    </row>
    <row r="11" spans="2:7" x14ac:dyDescent="0.35">
      <c r="C11" t="s">
        <v>972</v>
      </c>
      <c r="D11" s="533">
        <f>IF(ISNUMBER(VLOOKUP($C11,'[1]A1.)RatesInput'!$B$356:$J$367,HLOOKUP(D$10,'[1]A1.)RatesInput'!$D$356:$J$367,3,0),0)),VLOOKUP($C11,'[1]A1.)RatesInput'!$B$356:$J$367,HLOOKUP(D$10,'[1]A1.)RatesInput'!$D$356:$J$367,3,0),0),0)</f>
        <v>107.85</v>
      </c>
      <c r="E11" s="848">
        <f>'14B.)RateDesign_RiderD'!F8</f>
        <v>110.53</v>
      </c>
      <c r="F11" s="433">
        <f t="shared" ref="F11:F18" si="0">IF(ISNUMBER(E11/D11-1),E11/D11-1,"")</f>
        <v>2.4849327770051E-2</v>
      </c>
    </row>
    <row r="12" spans="2:7" x14ac:dyDescent="0.35">
      <c r="C12" t="s">
        <v>973</v>
      </c>
      <c r="D12" s="488">
        <f>IF(ISNUMBER(VLOOKUP($C12,'[1]A1.)RatesInput'!$B$356:$J$367,HLOOKUP(D$10,'[1]A1.)RatesInput'!$D$356:$J$367,3,0),0)),VLOOKUP($C12,'[1]A1.)RatesInput'!$B$356:$J$367,HLOOKUP(D$10,'[1]A1.)RatesInput'!$D$356:$J$367,3,0),0),0)</f>
        <v>7.3999999999999995</v>
      </c>
      <c r="E12" s="846">
        <f>'14B.)RateDesign_RiderD'!F9</f>
        <v>7.5799999999999992</v>
      </c>
      <c r="F12" s="431">
        <f t="shared" si="0"/>
        <v>2.4324324324324298E-2</v>
      </c>
    </row>
    <row r="13" spans="2:7" x14ac:dyDescent="0.35">
      <c r="C13" t="s">
        <v>974</v>
      </c>
      <c r="D13" s="488">
        <f>IF(ISNUMBER(VLOOKUP($C13,'[1]A1.)RatesInput'!$B$356:$J$367,HLOOKUP(D$10,'[1]A1.)RatesInput'!$D$356:$J$367,3,0),0)),VLOOKUP($C13,'[1]A1.)RatesInput'!$B$356:$J$367,HLOOKUP(D$10,'[1]A1.)RatesInput'!$D$356:$J$367,3,0),0),0)</f>
        <v>22.15</v>
      </c>
      <c r="E13" s="846">
        <f>'14B.)RateDesign_RiderD'!F10</f>
        <v>22.7</v>
      </c>
      <c r="F13" s="431">
        <f t="shared" si="0"/>
        <v>2.483069977426644E-2</v>
      </c>
    </row>
    <row r="14" spans="2:7" x14ac:dyDescent="0.35">
      <c r="C14" t="s">
        <v>975</v>
      </c>
      <c r="D14" s="488">
        <f>IF(ISNUMBER(VLOOKUP($C14,'[1]A1.)RatesInput'!$B$356:$J$367,HLOOKUP(D$10,'[1]A1.)RatesInput'!$D$356:$J$367,3,0),0)),VLOOKUP($C14,'[1]A1.)RatesInput'!$B$356:$J$367,HLOOKUP(D$10,'[1]A1.)RatesInput'!$D$356:$J$367,3,0),0),0)</f>
        <v>7.3999999999999995</v>
      </c>
      <c r="E14" s="846">
        <f>'14B.)RateDesign_RiderD'!F11</f>
        <v>7.5799999999999992</v>
      </c>
      <c r="F14" s="431">
        <f t="shared" si="0"/>
        <v>2.4324324324324298E-2</v>
      </c>
    </row>
    <row r="15" spans="2:7" x14ac:dyDescent="0.35">
      <c r="C15" t="s">
        <v>976</v>
      </c>
      <c r="D15" s="488">
        <f>IF(ISNUMBER(VLOOKUP($C15,'[1]A1.)RatesInput'!$B$356:$J$367,HLOOKUP(D$10,'[1]A1.)RatesInput'!$D$356:$J$367,3,0),0)),VLOOKUP($C15,'[1]A1.)RatesInput'!$B$356:$J$367,HLOOKUP(D$10,'[1]A1.)RatesInput'!$D$356:$J$367,3,0),0),0)</f>
        <v>107.85</v>
      </c>
      <c r="E15" s="846">
        <f>'14B.)RateDesign_RiderD'!F12</f>
        <v>110.53</v>
      </c>
      <c r="F15" s="431">
        <f t="shared" si="0"/>
        <v>2.4849327770051E-2</v>
      </c>
    </row>
    <row r="16" spans="2:7" x14ac:dyDescent="0.35">
      <c r="C16" t="s">
        <v>977</v>
      </c>
      <c r="D16" s="488">
        <f>IF(ISNUMBER(VLOOKUP($C16,'[1]A1.)RatesInput'!$B$356:$J$367,HLOOKUP(D$10,'[1]A1.)RatesInput'!$D$356:$J$367,3,0),0)),VLOOKUP($C16,'[1]A1.)RatesInput'!$B$356:$J$367,HLOOKUP(D$10,'[1]A1.)RatesInput'!$D$356:$J$367,3,0),0),0)</f>
        <v>7.3999999999999995</v>
      </c>
      <c r="E16" s="846">
        <f>'14B.)RateDesign_RiderD'!F13</f>
        <v>7.5799999999999992</v>
      </c>
      <c r="F16" s="431">
        <f t="shared" si="0"/>
        <v>2.4324324324324298E-2</v>
      </c>
    </row>
    <row r="17" spans="2:6" x14ac:dyDescent="0.35">
      <c r="C17" t="s">
        <v>978</v>
      </c>
      <c r="D17" s="488">
        <f>IF(ISNUMBER(VLOOKUP($C17,'[1]A1.)RatesInput'!$B$356:$J$367,HLOOKUP(D$10,'[1]A1.)RatesInput'!$D$356:$J$367,3,0),0)),VLOOKUP($C17,'[1]A1.)RatesInput'!$B$356:$J$367,HLOOKUP(D$10,'[1]A1.)RatesInput'!$D$356:$J$367,3,0),0),0)</f>
        <v>22.15</v>
      </c>
      <c r="E17" s="846">
        <f>'14B.)RateDesign_RiderD'!F14</f>
        <v>22.7</v>
      </c>
      <c r="F17" s="431">
        <f t="shared" si="0"/>
        <v>2.483069977426644E-2</v>
      </c>
    </row>
    <row r="18" spans="2:6" x14ac:dyDescent="0.35">
      <c r="C18" t="s">
        <v>979</v>
      </c>
      <c r="D18" s="489">
        <f>IF(ISNUMBER(VLOOKUP($C18,'[1]A1.)RatesInput'!$B$356:$J$367,HLOOKUP(D$10,'[1]A1.)RatesInput'!$D$356:$J$367,3,0),0)),VLOOKUP($C18,'[1]A1.)RatesInput'!$B$356:$J$367,HLOOKUP(D$10,'[1]A1.)RatesInput'!$D$356:$J$367,3,0),0),0)</f>
        <v>7.3999999999999995</v>
      </c>
      <c r="E18" s="847">
        <f>'14B.)RateDesign_RiderD'!F15</f>
        <v>7.5799999999999992</v>
      </c>
      <c r="F18" s="429">
        <f t="shared" si="0"/>
        <v>2.4324324324324298E-2</v>
      </c>
    </row>
    <row r="20" spans="2:6" x14ac:dyDescent="0.35">
      <c r="C20" t="s">
        <v>980</v>
      </c>
      <c r="E20" s="442">
        <f>'14B.)RateDesign_RiderD'!E47</f>
        <v>384205</v>
      </c>
    </row>
    <row r="21" spans="2:6" ht="15" thickBot="1" x14ac:dyDescent="0.4">
      <c r="E21" s="443"/>
    </row>
    <row r="22" spans="2:6" ht="15.5" thickTop="1" thickBot="1" x14ac:dyDescent="0.4">
      <c r="C22" t="s">
        <v>752</v>
      </c>
      <c r="D22" s="440">
        <f>'14B.)RateDesign_RiderD'!K20</f>
        <v>374890</v>
      </c>
      <c r="E22" s="440">
        <f>E20</f>
        <v>384205</v>
      </c>
      <c r="F22" s="439">
        <f>IF(ISNUMBER(E22/D22-1),E22/D22-1,"")</f>
        <v>2.4847288537971135E-2</v>
      </c>
    </row>
    <row r="23" spans="2:6" ht="15.5" thickTop="1" thickBot="1" x14ac:dyDescent="0.4"/>
    <row r="24" spans="2:6" ht="15" hidden="1" thickBot="1" x14ac:dyDescent="0.4"/>
    <row r="25" spans="2:6" ht="15" thickBot="1" x14ac:dyDescent="0.4">
      <c r="B25" s="131" t="s">
        <v>532</v>
      </c>
      <c r="C25" s="435" t="s">
        <v>529</v>
      </c>
      <c r="D25" s="400" t="s">
        <v>1314</v>
      </c>
      <c r="E25" s="436"/>
    </row>
    <row r="26" spans="2:6" x14ac:dyDescent="0.35">
      <c r="C26" s="435" t="s">
        <v>528</v>
      </c>
      <c r="D26" s="372" t="s">
        <v>1313</v>
      </c>
    </row>
    <row r="28" spans="2:6" x14ac:dyDescent="0.35">
      <c r="C28" s="435" t="s">
        <v>527</v>
      </c>
      <c r="D28" s="428" t="s">
        <v>170</v>
      </c>
      <c r="E28" s="428" t="s">
        <v>521</v>
      </c>
      <c r="F28" s="428" t="s">
        <v>526</v>
      </c>
    </row>
    <row r="29" spans="2:6" x14ac:dyDescent="0.35">
      <c r="D29" s="296">
        <f>D$10</f>
        <v>2019</v>
      </c>
      <c r="E29" s="296">
        <f>E$10</f>
        <v>2020</v>
      </c>
    </row>
    <row r="30" spans="2:6" x14ac:dyDescent="0.35">
      <c r="C30" t="s">
        <v>981</v>
      </c>
      <c r="D30" s="533">
        <f>IF(ISNUMBER(VLOOKUP($C30,'[1]A1.)RatesInput'!$B$346:$J$353,HLOOKUP(D$29,'[1]A1.)RatesInput'!$D$346:$J$353,3,0),0)),VLOOKUP($C30,'[1]A1.)RatesInput'!$B$346:$J$353,HLOOKUP(D$29,'[1]A1.)RatesInput'!$D$346:$J$353,3,0),0),0)</f>
        <v>1.41E-2</v>
      </c>
      <c r="E30" s="848">
        <f>'14C.)RateDesign_SC1(ProvD)'!F8</f>
        <v>1.54E-2</v>
      </c>
      <c r="F30" s="433">
        <f t="shared" ref="F30:F33" si="1">IF(ISNUMBER(E30/D30-1),E30/D30-1,"")</f>
        <v>9.219858156028371E-2</v>
      </c>
    </row>
    <row r="31" spans="2:6" x14ac:dyDescent="0.35">
      <c r="C31" t="s">
        <v>982</v>
      </c>
      <c r="D31" s="488">
        <f>IF(ISNUMBER(VLOOKUP($C31,'[1]A1.)RatesInput'!$B$346:$J$353,HLOOKUP(D$29,'[1]A1.)RatesInput'!$D$346:$J$353,3,0),0)),VLOOKUP($C31,'[1]A1.)RatesInput'!$B$346:$J$353,HLOOKUP(D$29,'[1]A1.)RatesInput'!$D$346:$J$353,3,0),0),0)</f>
        <v>3</v>
      </c>
      <c r="E31" s="846">
        <f>'14C.)RateDesign_SC1(ProvD)'!F9</f>
        <v>4.46</v>
      </c>
      <c r="F31" s="431">
        <f t="shared" si="1"/>
        <v>0.48666666666666658</v>
      </c>
    </row>
    <row r="32" spans="2:6" x14ac:dyDescent="0.35">
      <c r="C32" t="s">
        <v>983</v>
      </c>
      <c r="D32" s="488">
        <f>IF(ISNUMBER(VLOOKUP($C32,'[1]A1.)RatesInput'!$B$346:$J$353,HLOOKUP(D$29,'[1]A1.)RatesInput'!$D$346:$J$353,3,0),0)),VLOOKUP($C32,'[1]A1.)RatesInput'!$B$346:$J$353,HLOOKUP(D$29,'[1]A1.)RatesInput'!$D$346:$J$353,3,0),0),0)</f>
        <v>1.41E-2</v>
      </c>
      <c r="E32" s="846">
        <f>'14C.)RateDesign_SC1(ProvD)'!F10</f>
        <v>1.54E-2</v>
      </c>
      <c r="F32" s="431">
        <f t="shared" si="1"/>
        <v>9.219858156028371E-2</v>
      </c>
    </row>
    <row r="33" spans="2:6" x14ac:dyDescent="0.35">
      <c r="C33" t="s">
        <v>984</v>
      </c>
      <c r="D33" s="489">
        <f>IF(ISNUMBER(VLOOKUP($C33,'[1]A1.)RatesInput'!$B$346:$J$353,HLOOKUP(D$29,'[1]A1.)RatesInput'!$D$346:$J$353,3,0),0)),VLOOKUP($C33,'[1]A1.)RatesInput'!$B$346:$J$353,HLOOKUP(D$29,'[1]A1.)RatesInput'!$D$346:$J$353,3,0),0),0)</f>
        <v>3</v>
      </c>
      <c r="E33" s="847">
        <f>'14C.)RateDesign_SC1(ProvD)'!F11</f>
        <v>4.46</v>
      </c>
      <c r="F33" s="429">
        <f t="shared" si="1"/>
        <v>0.48666666666666658</v>
      </c>
    </row>
    <row r="35" spans="2:6" x14ac:dyDescent="0.35">
      <c r="C35" t="s">
        <v>758</v>
      </c>
      <c r="E35" s="442">
        <f>'14C.)RateDesign_SC1(ProvD)'!I50</f>
        <v>100</v>
      </c>
    </row>
    <row r="36" spans="2:6" ht="15" thickBot="1" x14ac:dyDescent="0.4">
      <c r="E36" s="443"/>
    </row>
    <row r="37" spans="2:6" ht="15.5" thickTop="1" thickBot="1" x14ac:dyDescent="0.4">
      <c r="C37" t="s">
        <v>752</v>
      </c>
      <c r="D37" s="440">
        <f>'14C.)RateDesign_SC1(ProvD)'!I42</f>
        <v>78</v>
      </c>
      <c r="E37" s="440">
        <f>E35</f>
        <v>100</v>
      </c>
      <c r="F37" s="439">
        <f>IF(ISNUMBER(E37/D37-1),E37/D37-1,"")</f>
        <v>0.28205128205128216</v>
      </c>
    </row>
    <row r="38" spans="2:6" ht="15.5" thickTop="1" thickBot="1" x14ac:dyDescent="0.4"/>
    <row r="39" spans="2:6" ht="15" hidden="1" thickBot="1" x14ac:dyDescent="0.4"/>
    <row r="40" spans="2:6" ht="15" thickBot="1" x14ac:dyDescent="0.4">
      <c r="B40" s="131" t="s">
        <v>531</v>
      </c>
      <c r="C40" s="435" t="s">
        <v>529</v>
      </c>
      <c r="D40" s="400" t="s">
        <v>965</v>
      </c>
      <c r="E40" s="436"/>
    </row>
    <row r="41" spans="2:6" x14ac:dyDescent="0.35">
      <c r="C41" s="435" t="s">
        <v>528</v>
      </c>
      <c r="D41" s="372" t="s">
        <v>985</v>
      </c>
    </row>
    <row r="43" spans="2:6" x14ac:dyDescent="0.35">
      <c r="C43" s="435" t="s">
        <v>527</v>
      </c>
      <c r="D43" s="428" t="s">
        <v>170</v>
      </c>
      <c r="E43" s="428" t="s">
        <v>521</v>
      </c>
      <c r="F43" s="428" t="s">
        <v>526</v>
      </c>
    </row>
    <row r="44" spans="2:6" x14ac:dyDescent="0.35">
      <c r="D44" s="296">
        <f>D$10</f>
        <v>2019</v>
      </c>
      <c r="E44" s="296">
        <f>E$10</f>
        <v>2020</v>
      </c>
    </row>
    <row r="45" spans="2:6" x14ac:dyDescent="0.35">
      <c r="C45" t="s">
        <v>965</v>
      </c>
      <c r="D45" s="534">
        <f>IF(ISNUMBER(VLOOKUP($C45,'[1]A1.)RatesInput'!$B$373:$J$377,HLOOKUP(D$44,'[1]A1.)RatesInput'!$D$373:$J$377,3,0),0)),VLOOKUP($C45,'[1]A1.)RatesInput'!$B$373:$J$377,HLOOKUP(D$44,'[1]A1.)RatesInput'!$D$373:$J$377,3,0),0),0)</f>
        <v>1.97</v>
      </c>
      <c r="E45" s="888">
        <f>'14D.)RateDesign_kVar'!F8</f>
        <v>2.14</v>
      </c>
      <c r="F45" s="535">
        <f t="shared" ref="F45" si="2">IF(ISNUMBER(E45/D45-1),E45/D45-1,"")</f>
        <v>8.629441624365497E-2</v>
      </c>
    </row>
    <row r="47" spans="2:6" ht="15" thickBot="1" x14ac:dyDescent="0.4"/>
    <row r="48" spans="2:6" ht="15" hidden="1" thickBot="1" x14ac:dyDescent="0.4"/>
    <row r="49" spans="2:6" ht="15" thickBot="1" x14ac:dyDescent="0.4">
      <c r="B49" s="131" t="s">
        <v>530</v>
      </c>
      <c r="C49" s="435" t="s">
        <v>529</v>
      </c>
      <c r="D49" s="400" t="s">
        <v>986</v>
      </c>
      <c r="E49" s="436"/>
    </row>
    <row r="50" spans="2:6" x14ac:dyDescent="0.35">
      <c r="C50" s="435" t="s">
        <v>528</v>
      </c>
      <c r="D50" s="372" t="s">
        <v>987</v>
      </c>
    </row>
    <row r="52" spans="2:6" x14ac:dyDescent="0.35">
      <c r="C52" s="435" t="s">
        <v>527</v>
      </c>
      <c r="D52" s="428" t="s">
        <v>170</v>
      </c>
      <c r="E52" s="428" t="s">
        <v>521</v>
      </c>
      <c r="F52" s="428" t="s">
        <v>526</v>
      </c>
    </row>
    <row r="53" spans="2:6" x14ac:dyDescent="0.35">
      <c r="D53" s="296">
        <f>D$10</f>
        <v>2019</v>
      </c>
      <c r="E53" s="296">
        <f>E$10</f>
        <v>2020</v>
      </c>
    </row>
    <row r="54" spans="2:6" x14ac:dyDescent="0.35">
      <c r="C54" t="s">
        <v>988</v>
      </c>
      <c r="D54" s="643">
        <f>IF(ISNUMBER(VLOOKUP($C54,'[1]A1.)RatesInput'!$B$383:$J$391,HLOOKUP(D$53,'[1]A1.)RatesInput'!$D$383:$J$391,3,0),0)),VLOOKUP($C54,'[1]A1.)RatesInput'!$B$383:$J$391,HLOOKUP(D$53,'[1]A1.)RatesInput'!$D$383:$J$391,3,0),0),0)</f>
        <v>5.32</v>
      </c>
      <c r="E54" s="848">
        <f>'14E.)RateDesign_NY Facilities'!F8</f>
        <v>5.45</v>
      </c>
      <c r="F54" s="433">
        <f t="shared" ref="F54:F58" si="3">IF(ISNUMBER(E54/D54-1),E54/D54-1,"")</f>
        <v>2.4436090225563811E-2</v>
      </c>
    </row>
    <row r="55" spans="2:6" x14ac:dyDescent="0.35">
      <c r="C55" t="s">
        <v>989</v>
      </c>
      <c r="D55" s="645">
        <f>IF(ISNUMBER(VLOOKUP($C55,'[1]A1.)RatesInput'!$B$383:$J$391,HLOOKUP(D$53,'[1]A1.)RatesInput'!$D$383:$J$391,3,0),0)),VLOOKUP($C55,'[1]A1.)RatesInput'!$B$383:$J$391,HLOOKUP(D$53,'[1]A1.)RatesInput'!$D$383:$J$391,3,0),0),0)</f>
        <v>11.45</v>
      </c>
      <c r="E55" s="846">
        <f>'14E.)RateDesign_NY Facilities'!F9</f>
        <v>11.729999999999999</v>
      </c>
      <c r="F55" s="431">
        <f t="shared" si="3"/>
        <v>2.4454148471615644E-2</v>
      </c>
    </row>
    <row r="56" spans="2:6" x14ac:dyDescent="0.35">
      <c r="C56" t="s">
        <v>990</v>
      </c>
      <c r="D56" s="645">
        <f>IF(ISNUMBER(VLOOKUP($C56,'[1]A1.)RatesInput'!$B$383:$J$391,HLOOKUP(D$53,'[1]A1.)RatesInput'!$D$383:$J$391,3,0),0)),VLOOKUP($C56,'[1]A1.)RatesInput'!$B$383:$J$391,HLOOKUP(D$53,'[1]A1.)RatesInput'!$D$383:$J$391,3,0),0),0)</f>
        <v>134.86000000000001</v>
      </c>
      <c r="E56" s="846">
        <f>'14E.)RateDesign_NY Facilities'!F10</f>
        <v>138.17000000000002</v>
      </c>
      <c r="F56" s="431">
        <f t="shared" si="3"/>
        <v>2.4543971526026942E-2</v>
      </c>
    </row>
    <row r="57" spans="2:6" x14ac:dyDescent="0.35">
      <c r="C57" t="s">
        <v>991</v>
      </c>
      <c r="D57" s="645">
        <f>IF(ISNUMBER(VLOOKUP($C57,'[1]A1.)RatesInput'!$B$383:$J$391,HLOOKUP(D$53,'[1]A1.)RatesInput'!$D$383:$J$391,3,0),0)),VLOOKUP($C57,'[1]A1.)RatesInput'!$B$383:$J$391,HLOOKUP(D$53,'[1]A1.)RatesInput'!$D$383:$J$391,3,0),0),0)</f>
        <v>9.27</v>
      </c>
      <c r="E57" s="846">
        <f>'14E.)RateDesign_NY Facilities'!F11</f>
        <v>9.5</v>
      </c>
      <c r="F57" s="431">
        <f t="shared" si="3"/>
        <v>2.481121898597638E-2</v>
      </c>
    </row>
    <row r="58" spans="2:6" x14ac:dyDescent="0.35">
      <c r="C58" t="s">
        <v>992</v>
      </c>
      <c r="D58" s="644">
        <f>IF(ISNUMBER(VLOOKUP($C58,'[1]A1.)RatesInput'!$B$383:$J$391,HLOOKUP(D$53,'[1]A1.)RatesInput'!$D$383:$J$391,3,0),0)),VLOOKUP($C58,'[1]A1.)RatesInput'!$B$383:$J$391,HLOOKUP(D$53,'[1]A1.)RatesInput'!$D$383:$J$391,3,0),0),0)</f>
        <v>9.27</v>
      </c>
      <c r="E58" s="847">
        <f>'14E.)RateDesign_NY Facilities'!F12</f>
        <v>9.5</v>
      </c>
      <c r="F58" s="429">
        <f t="shared" si="3"/>
        <v>2.481121898597638E-2</v>
      </c>
    </row>
    <row r="59" spans="2:6" x14ac:dyDescent="0.35">
      <c r="D59" s="406"/>
      <c r="E59" s="406"/>
    </row>
    <row r="60" spans="2:6" x14ac:dyDescent="0.35">
      <c r="C60" t="s">
        <v>758</v>
      </c>
      <c r="D60" s="406"/>
      <c r="E60" s="957">
        <f>'12E.)TODL_RateDesign_SC12_II'!$M$198</f>
        <v>13189815</v>
      </c>
    </row>
    <row r="61" spans="2:6" ht="15" thickBot="1" x14ac:dyDescent="0.4">
      <c r="D61" s="406"/>
      <c r="E61" s="962"/>
    </row>
    <row r="62" spans="2:6" ht="15.5" thickTop="1" thickBot="1" x14ac:dyDescent="0.4">
      <c r="C62" t="s">
        <v>752</v>
      </c>
      <c r="D62" s="440">
        <f>'12E.)TODL_RateDesign_SC12_II'!$M$203</f>
        <v>13189403</v>
      </c>
      <c r="E62" s="440">
        <f>E60</f>
        <v>13189815</v>
      </c>
      <c r="F62" s="439">
        <f>IF(ISNUMBER(E62/D62-1),E62/D62-1,"")</f>
        <v>3.1237198529820986E-5</v>
      </c>
    </row>
    <row r="63" spans="2:6" ht="15" thickTop="1" x14ac:dyDescent="0.35"/>
  </sheetData>
  <printOptions horizontalCentered="1"/>
  <pageMargins left="0.7" right="0.7" top="0.5" bottom="0.5" header="0.3" footer="0.1"/>
  <pageSetup scale="62" orientation="landscape" r:id="rId1"/>
  <headerFooter>
    <oddFooter>&amp;C&amp;F (Tab: &amp;A)&amp;RPage 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8"/>
  <dimension ref="A1:I86"/>
  <sheetViews>
    <sheetView workbookViewId="0">
      <selection activeCell="K18" sqref="K18"/>
    </sheetView>
  </sheetViews>
  <sheetFormatPr defaultRowHeight="14.5" outlineLevelRow="1" x14ac:dyDescent="0.35"/>
  <cols>
    <col min="1" max="1" width="18.7265625" customWidth="1"/>
    <col min="2" max="2" width="13.1796875" customWidth="1"/>
    <col min="3" max="3" width="49.7265625" customWidth="1"/>
    <col min="4" max="4" width="26.7265625" style="622" customWidth="1"/>
    <col min="5" max="8" width="19.7265625" customWidth="1"/>
    <col min="14" max="14" width="16.453125" customWidth="1"/>
  </cols>
  <sheetData>
    <row r="1" spans="1:9" ht="18.5" x14ac:dyDescent="0.45">
      <c r="A1" s="189" t="s">
        <v>1178</v>
      </c>
    </row>
    <row r="2" spans="1:9" x14ac:dyDescent="0.35">
      <c r="A2" s="480" t="s">
        <v>806</v>
      </c>
      <c r="B2" s="771">
        <f>'7A.)CustCharge_Summary'!B2</f>
        <v>2017</v>
      </c>
    </row>
    <row r="3" spans="1:9" x14ac:dyDescent="0.35">
      <c r="A3" s="480" t="s">
        <v>296</v>
      </c>
      <c r="B3" s="771">
        <f>'7A.)CustCharge_Summary'!B3</f>
        <v>2019</v>
      </c>
    </row>
    <row r="4" spans="1:9" x14ac:dyDescent="0.35">
      <c r="A4" s="480" t="s">
        <v>805</v>
      </c>
      <c r="B4" s="771">
        <f>'7A.)CustCharge_Summary'!B4</f>
        <v>2020</v>
      </c>
      <c r="C4" t="s">
        <v>1180</v>
      </c>
    </row>
    <row r="5" spans="1:9" x14ac:dyDescent="0.35">
      <c r="E5" s="428" t="s">
        <v>1182</v>
      </c>
      <c r="F5" s="428" t="s">
        <v>435</v>
      </c>
      <c r="G5" s="428" t="s">
        <v>483</v>
      </c>
      <c r="H5" s="428" t="s">
        <v>489</v>
      </c>
    </row>
    <row r="6" spans="1:9" x14ac:dyDescent="0.35">
      <c r="A6" s="623" t="s">
        <v>1181</v>
      </c>
    </row>
    <row r="7" spans="1:9" ht="16.5" x14ac:dyDescent="0.35">
      <c r="A7" s="624" t="s">
        <v>1330</v>
      </c>
      <c r="D7" s="625" t="s">
        <v>79</v>
      </c>
      <c r="E7" s="682">
        <f>ROUND('[3]2017 Customer Costs'!$H$22,2)</f>
        <v>26.98</v>
      </c>
      <c r="F7" s="682">
        <f>ROUND('[3]2017 Customer Costs'!$I$22,2)</f>
        <v>49.46</v>
      </c>
      <c r="G7" s="682">
        <f>ROUND('[3]2017 Customer Costs'!$I$22,2)</f>
        <v>49.46</v>
      </c>
      <c r="H7" s="682">
        <f>ROUND('[3]2017 Customer Costs'!$L$22,2)</f>
        <v>48.36</v>
      </c>
      <c r="I7" s="529"/>
    </row>
    <row r="8" spans="1:9" ht="17" thickBot="1" x14ac:dyDescent="0.4">
      <c r="A8" t="s">
        <v>1329</v>
      </c>
      <c r="D8" s="622" t="s">
        <v>78</v>
      </c>
      <c r="E8" s="683">
        <f>'7D.)BPP_Rates'!D14</f>
        <v>1.2</v>
      </c>
      <c r="F8" s="650">
        <f>$E8</f>
        <v>1.2</v>
      </c>
      <c r="G8" s="650">
        <f t="shared" ref="G8:H8" si="0">$E8</f>
        <v>1.2</v>
      </c>
      <c r="H8" s="650">
        <f t="shared" si="0"/>
        <v>1.2</v>
      </c>
      <c r="I8" s="529"/>
    </row>
    <row r="9" spans="1:9" ht="15.5" thickTop="1" thickBot="1" x14ac:dyDescent="0.4">
      <c r="A9" t="s">
        <v>1331</v>
      </c>
      <c r="D9" s="622" t="s">
        <v>1089</v>
      </c>
      <c r="E9" s="649">
        <f>E7-E8</f>
        <v>25.78</v>
      </c>
      <c r="F9" s="649">
        <f>F7-F8</f>
        <v>48.26</v>
      </c>
      <c r="G9" s="649">
        <f>G7-G8</f>
        <v>48.26</v>
      </c>
      <c r="H9" s="649">
        <f>H7-H8</f>
        <v>47.16</v>
      </c>
    </row>
    <row r="10" spans="1:9" ht="15" thickTop="1" x14ac:dyDescent="0.35">
      <c r="E10" s="465"/>
    </row>
    <row r="11" spans="1:9" x14ac:dyDescent="0.35">
      <c r="A11" t="s">
        <v>1183</v>
      </c>
      <c r="D11" s="622" t="s">
        <v>1173</v>
      </c>
      <c r="E11" s="1257">
        <f>'7A.)CustCharge_Summary'!C51</f>
        <v>8.5050009999999995E-2</v>
      </c>
      <c r="F11" s="141">
        <f>$E11</f>
        <v>8.5050009999999995E-2</v>
      </c>
      <c r="G11" s="141">
        <f>$E11</f>
        <v>8.5050009999999995E-2</v>
      </c>
      <c r="H11" s="141">
        <f>$E11</f>
        <v>8.5050009999999995E-2</v>
      </c>
    </row>
    <row r="12" spans="1:9" x14ac:dyDescent="0.35">
      <c r="E12" s="465"/>
    </row>
    <row r="14" spans="1:9" x14ac:dyDescent="0.35">
      <c r="A14" t="s">
        <v>1184</v>
      </c>
      <c r="D14" s="622" t="s">
        <v>1185</v>
      </c>
      <c r="E14" s="626">
        <f>ROUND(E9*(1+E11),$B$85)</f>
        <v>28</v>
      </c>
      <c r="F14" s="626">
        <f>ROUND(F9*(1+F11),$B$85)</f>
        <v>52.4</v>
      </c>
      <c r="G14" s="626">
        <f>ROUND(G9*(1+G11),$B$85)</f>
        <v>52.4</v>
      </c>
      <c r="H14" s="626">
        <f>ROUND(H9*(1+H11),$B$85)</f>
        <v>51.2</v>
      </c>
    </row>
    <row r="15" spans="1:9" ht="15" thickBot="1" x14ac:dyDescent="0.4">
      <c r="A15" t="s">
        <v>1186</v>
      </c>
      <c r="D15" s="622" t="s">
        <v>78</v>
      </c>
      <c r="E15" s="626">
        <f>E8</f>
        <v>1.2</v>
      </c>
      <c r="F15" s="626">
        <f>F8</f>
        <v>1.2</v>
      </c>
      <c r="G15" s="626">
        <f>G8</f>
        <v>1.2</v>
      </c>
      <c r="H15" s="626">
        <f>H8</f>
        <v>1.2</v>
      </c>
    </row>
    <row r="16" spans="1:9" ht="15.5" thickTop="1" thickBot="1" x14ac:dyDescent="0.4">
      <c r="A16" t="s">
        <v>1187</v>
      </c>
      <c r="D16" s="622" t="s">
        <v>1188</v>
      </c>
      <c r="E16" s="627">
        <f>E14+E15</f>
        <v>29.2</v>
      </c>
      <c r="F16" s="627">
        <f>F14+F15</f>
        <v>53.6</v>
      </c>
      <c r="G16" s="627">
        <f>G14+G15</f>
        <v>53.6</v>
      </c>
      <c r="H16" s="627">
        <f>H14+H15</f>
        <v>52.400000000000006</v>
      </c>
    </row>
    <row r="17" spans="1:8" ht="15" thickTop="1" x14ac:dyDescent="0.35">
      <c r="D17" s="653"/>
      <c r="E17" s="681"/>
      <c r="F17" s="681"/>
      <c r="G17" s="681"/>
      <c r="H17" s="681"/>
    </row>
    <row r="18" spans="1:8" x14ac:dyDescent="0.35">
      <c r="A18" s="623" t="s">
        <v>1174</v>
      </c>
    </row>
    <row r="19" spans="1:8" x14ac:dyDescent="0.35">
      <c r="A19" t="s">
        <v>1189</v>
      </c>
      <c r="D19" s="622" t="s">
        <v>165</v>
      </c>
      <c r="E19" s="626">
        <f>'[1]A1.)RatesInput'!$D$90</f>
        <v>15.76</v>
      </c>
      <c r="F19" s="626">
        <f>'[1]A1.)RatesInput'!$D$94</f>
        <v>26.01</v>
      </c>
      <c r="G19" s="626">
        <f>'[1]A1.)RatesInput'!$D$95</f>
        <v>30.12</v>
      </c>
      <c r="H19" s="626">
        <f>'[1]A1.)RatesInput'!$D$96</f>
        <v>33.89</v>
      </c>
    </row>
    <row r="20" spans="1:8" x14ac:dyDescent="0.35">
      <c r="A20" t="s">
        <v>1190</v>
      </c>
      <c r="D20" s="622" t="s">
        <v>166</v>
      </c>
      <c r="E20" s="626"/>
      <c r="F20" s="626"/>
      <c r="G20" s="774">
        <f>G19-F19</f>
        <v>4.1099999999999994</v>
      </c>
      <c r="H20" s="626"/>
    </row>
    <row r="21" spans="1:8" x14ac:dyDescent="0.35">
      <c r="A21" s="1" t="s">
        <v>1191</v>
      </c>
      <c r="B21" s="1"/>
      <c r="C21" s="1"/>
      <c r="D21" s="622" t="s">
        <v>1192</v>
      </c>
      <c r="E21" s="773">
        <f>E19-E20</f>
        <v>15.76</v>
      </c>
      <c r="F21" s="773">
        <f>F19-F20</f>
        <v>26.01</v>
      </c>
      <c r="G21" s="773">
        <f>G19-G20</f>
        <v>26.01</v>
      </c>
      <c r="H21" s="773">
        <f>H19-H20</f>
        <v>33.89</v>
      </c>
    </row>
    <row r="22" spans="1:8" ht="15" thickBot="1" x14ac:dyDescent="0.4">
      <c r="A22" t="s">
        <v>1193</v>
      </c>
      <c r="D22" s="622" t="s">
        <v>101</v>
      </c>
      <c r="E22" s="626">
        <f>'[1]A1.)RatesInput'!$D$18</f>
        <v>1.2</v>
      </c>
      <c r="F22" s="626">
        <f>$E22</f>
        <v>1.2</v>
      </c>
      <c r="G22" s="626">
        <f>$E22</f>
        <v>1.2</v>
      </c>
      <c r="H22" s="626">
        <f>$E22</f>
        <v>1.2</v>
      </c>
    </row>
    <row r="23" spans="1:8" ht="15.5" thickTop="1" thickBot="1" x14ac:dyDescent="0.4">
      <c r="A23" t="s">
        <v>1194</v>
      </c>
      <c r="D23" s="622" t="s">
        <v>1195</v>
      </c>
      <c r="E23" s="627">
        <f>E21+E22</f>
        <v>16.96</v>
      </c>
      <c r="F23" s="627">
        <f>F21+F22</f>
        <v>27.21</v>
      </c>
      <c r="G23" s="627">
        <f>G21+G22</f>
        <v>27.21</v>
      </c>
      <c r="H23" s="627">
        <f>H21+H22</f>
        <v>35.090000000000003</v>
      </c>
    </row>
    <row r="24" spans="1:8" ht="15" thickTop="1" x14ac:dyDescent="0.35">
      <c r="D24" s="653"/>
      <c r="E24" s="281"/>
      <c r="F24" s="281"/>
      <c r="G24" s="281"/>
      <c r="H24" s="281"/>
    </row>
    <row r="27" spans="1:8" x14ac:dyDescent="0.35">
      <c r="A27" s="133" t="s">
        <v>1196</v>
      </c>
    </row>
    <row r="28" spans="1:8" x14ac:dyDescent="0.35">
      <c r="A28" t="s">
        <v>1197</v>
      </c>
      <c r="D28" s="622" t="s">
        <v>1198</v>
      </c>
      <c r="E28" s="365">
        <f>E21-E14</f>
        <v>-12.24</v>
      </c>
      <c r="F28" s="365">
        <f>F21-F14</f>
        <v>-26.389999999999997</v>
      </c>
      <c r="G28" s="365">
        <f>G21-G14</f>
        <v>-26.389999999999997</v>
      </c>
      <c r="H28" s="365">
        <f>H21-H14</f>
        <v>-17.310000000000002</v>
      </c>
    </row>
    <row r="29" spans="1:8" x14ac:dyDescent="0.35">
      <c r="A29" t="s">
        <v>1199</v>
      </c>
      <c r="D29" s="622" t="s">
        <v>1200</v>
      </c>
      <c r="E29" s="365">
        <f>E23-E16</f>
        <v>-12.239999999999998</v>
      </c>
      <c r="F29" s="365">
        <f>F23-F16</f>
        <v>-26.39</v>
      </c>
      <c r="G29" s="365">
        <f>G23-G16</f>
        <v>-26.39</v>
      </c>
      <c r="H29" s="365">
        <f>H23-H16</f>
        <v>-17.310000000000002</v>
      </c>
    </row>
    <row r="30" spans="1:8" x14ac:dyDescent="0.35">
      <c r="E30" s="365"/>
      <c r="F30" s="365"/>
      <c r="G30" s="365"/>
      <c r="H30" s="365"/>
    </row>
    <row r="31" spans="1:8" x14ac:dyDescent="0.35">
      <c r="E31" s="365"/>
      <c r="F31" s="365"/>
      <c r="G31" s="365"/>
      <c r="H31" s="365"/>
    </row>
    <row r="32" spans="1:8" x14ac:dyDescent="0.35">
      <c r="A32" s="133" t="s">
        <v>1201</v>
      </c>
      <c r="E32" s="365"/>
      <c r="F32" s="365"/>
      <c r="G32" s="365"/>
      <c r="H32" s="365"/>
    </row>
    <row r="33" spans="1:9" x14ac:dyDescent="0.35">
      <c r="A33" t="s">
        <v>1202</v>
      </c>
      <c r="D33" s="622" t="s">
        <v>1203</v>
      </c>
      <c r="E33" s="424">
        <f>E21</f>
        <v>15.76</v>
      </c>
      <c r="F33" s="424">
        <f>F21</f>
        <v>26.01</v>
      </c>
      <c r="G33" s="424">
        <f>G21</f>
        <v>26.01</v>
      </c>
      <c r="H33" s="424">
        <f>H21</f>
        <v>33.89</v>
      </c>
    </row>
    <row r="34" spans="1:9" x14ac:dyDescent="0.35">
      <c r="A34" t="s">
        <v>1204</v>
      </c>
      <c r="D34" s="622" t="s">
        <v>1205</v>
      </c>
      <c r="E34" s="424">
        <f>E14</f>
        <v>28</v>
      </c>
      <c r="F34" s="424">
        <f>F14</f>
        <v>52.4</v>
      </c>
      <c r="G34" s="424">
        <f>G14</f>
        <v>52.4</v>
      </c>
      <c r="H34" s="424">
        <f>H14</f>
        <v>51.2</v>
      </c>
    </row>
    <row r="35" spans="1:9" x14ac:dyDescent="0.35">
      <c r="A35" t="s">
        <v>1206</v>
      </c>
      <c r="D35" s="622" t="s">
        <v>1207</v>
      </c>
      <c r="E35" s="628">
        <f>E34/E33-1</f>
        <v>0.7766497461928934</v>
      </c>
      <c r="F35" s="628">
        <f>F34/F33-1</f>
        <v>1.0146097654748174</v>
      </c>
      <c r="G35" s="628">
        <f>G34/G33-1</f>
        <v>1.0146097654748174</v>
      </c>
      <c r="H35" s="628">
        <f>H34/H33-1</f>
        <v>0.51077013868397758</v>
      </c>
    </row>
    <row r="36" spans="1:9" x14ac:dyDescent="0.35">
      <c r="E36" s="629"/>
      <c r="F36" s="630"/>
      <c r="G36" s="630"/>
      <c r="H36" s="630"/>
    </row>
    <row r="37" spans="1:9" x14ac:dyDescent="0.35">
      <c r="A37" t="s">
        <v>1208</v>
      </c>
      <c r="D37" s="622" t="s">
        <v>1209</v>
      </c>
      <c r="E37" s="424">
        <f>E23</f>
        <v>16.96</v>
      </c>
      <c r="F37" s="424">
        <f>F23</f>
        <v>27.21</v>
      </c>
      <c r="G37" s="424">
        <f>G23</f>
        <v>27.21</v>
      </c>
      <c r="H37" s="424">
        <f>H23</f>
        <v>35.090000000000003</v>
      </c>
    </row>
    <row r="38" spans="1:9" x14ac:dyDescent="0.35">
      <c r="A38" t="s">
        <v>1210</v>
      </c>
      <c r="D38" s="622" t="s">
        <v>1211</v>
      </c>
      <c r="E38" s="424">
        <f>E16</f>
        <v>29.2</v>
      </c>
      <c r="F38" s="424">
        <f>F16</f>
        <v>53.6</v>
      </c>
      <c r="G38" s="424">
        <f>G16</f>
        <v>53.6</v>
      </c>
      <c r="H38" s="424">
        <f>H16</f>
        <v>52.400000000000006</v>
      </c>
    </row>
    <row r="39" spans="1:9" x14ac:dyDescent="0.35">
      <c r="A39" t="s">
        <v>1212</v>
      </c>
      <c r="D39" s="622" t="s">
        <v>1213</v>
      </c>
      <c r="E39" s="628">
        <f>E38/E37-1</f>
        <v>0.72169811320754707</v>
      </c>
      <c r="F39" s="628">
        <f>F38/F37-1</f>
        <v>0.96986402058066878</v>
      </c>
      <c r="G39" s="628">
        <f>G38/G37-1</f>
        <v>0.96986402058066878</v>
      </c>
      <c r="H39" s="628">
        <f>H38/H37-1</f>
        <v>0.49330293530920488</v>
      </c>
    </row>
    <row r="40" spans="1:9" x14ac:dyDescent="0.35">
      <c r="E40" s="141"/>
      <c r="F40" s="141"/>
      <c r="G40" s="141"/>
      <c r="H40" s="141"/>
    </row>
    <row r="42" spans="1:9" x14ac:dyDescent="0.35">
      <c r="A42" s="133" t="s">
        <v>1214</v>
      </c>
    </row>
    <row r="43" spans="1:9" x14ac:dyDescent="0.35">
      <c r="A43" s="133" t="s">
        <v>1215</v>
      </c>
      <c r="D43" s="622" t="s">
        <v>1216</v>
      </c>
      <c r="E43" s="651">
        <f>(E34-E33)/(E33*E11)</f>
        <v>9.1316831849037232</v>
      </c>
      <c r="F43" s="651">
        <f>(F34-F33)/(F33*F11)</f>
        <v>11.929566680530868</v>
      </c>
      <c r="G43" s="651">
        <f>(G34-G33)/(G33*G11)</f>
        <v>11.929566680530868</v>
      </c>
      <c r="H43" s="651">
        <f>(H34-H33)/(H33*H11)</f>
        <v>6.0055270855815026</v>
      </c>
    </row>
    <row r="44" spans="1:9" x14ac:dyDescent="0.35">
      <c r="A44" t="s">
        <v>1217</v>
      </c>
      <c r="D44" s="653"/>
      <c r="E44" s="281"/>
      <c r="F44" s="281"/>
      <c r="G44" s="281"/>
      <c r="H44" s="281"/>
    </row>
    <row r="46" spans="1:9" x14ac:dyDescent="0.35">
      <c r="A46" s="380" t="s">
        <v>11</v>
      </c>
    </row>
    <row r="47" spans="1:9" x14ac:dyDescent="0.35">
      <c r="A47" t="s">
        <v>1218</v>
      </c>
      <c r="D47" s="622" t="s">
        <v>1219</v>
      </c>
      <c r="E47" s="775">
        <v>0.95</v>
      </c>
      <c r="F47" s="672">
        <f>E47</f>
        <v>0.95</v>
      </c>
      <c r="G47" s="672">
        <f>E47</f>
        <v>0.95</v>
      </c>
      <c r="H47" s="672">
        <f>E47</f>
        <v>0.95</v>
      </c>
      <c r="I47" s="372" t="s">
        <v>1220</v>
      </c>
    </row>
    <row r="48" spans="1:9" ht="15" thickBot="1" x14ac:dyDescent="0.4">
      <c r="A48" t="s">
        <v>1221</v>
      </c>
      <c r="D48" s="622" t="s">
        <v>1222</v>
      </c>
      <c r="E48" s="631">
        <f>E47*E11</f>
        <v>8.0797509499999989E-2</v>
      </c>
      <c r="F48" s="631">
        <f>F47*F11</f>
        <v>8.0797509499999989E-2</v>
      </c>
      <c r="G48" s="631">
        <f>G47*G11</f>
        <v>8.0797509499999989E-2</v>
      </c>
      <c r="H48" s="631">
        <f>H47*H11</f>
        <v>8.0797509499999989E-2</v>
      </c>
    </row>
    <row r="49" spans="1:9" ht="15.5" thickTop="1" thickBot="1" x14ac:dyDescent="0.4">
      <c r="A49" t="s">
        <v>1223</v>
      </c>
      <c r="D49" s="622" t="s">
        <v>1224</v>
      </c>
      <c r="E49" s="776">
        <f>ROUND(E33*(1+E48),$B$85)</f>
        <v>17</v>
      </c>
      <c r="F49" s="776">
        <f>ROUND(F33*(1+F48),$B$85)</f>
        <v>28.1</v>
      </c>
      <c r="G49" s="776">
        <f>ROUND(G33*(1+G48),$B$85)</f>
        <v>28.1</v>
      </c>
      <c r="H49" s="776">
        <f>ROUND(H33*(1+H48),$B$85)</f>
        <v>36.6</v>
      </c>
    </row>
    <row r="50" spans="1:9" ht="15" thickTop="1" x14ac:dyDescent="0.35"/>
    <row r="51" spans="1:9" ht="15" thickBot="1" x14ac:dyDescent="0.4">
      <c r="E51" t="s">
        <v>2284</v>
      </c>
    </row>
    <row r="52" spans="1:9" ht="15.5" thickTop="1" thickBot="1" x14ac:dyDescent="0.4">
      <c r="A52" t="s">
        <v>1225</v>
      </c>
      <c r="D52" s="622" t="s">
        <v>1226</v>
      </c>
      <c r="E52" s="1258">
        <v>16</v>
      </c>
      <c r="F52" s="777">
        <f t="shared" ref="F52:H52" si="1">F49</f>
        <v>28.1</v>
      </c>
      <c r="G52" s="777">
        <f t="shared" si="1"/>
        <v>28.1</v>
      </c>
      <c r="H52" s="777">
        <f t="shared" si="1"/>
        <v>36.6</v>
      </c>
      <c r="I52" s="372" t="s">
        <v>1227</v>
      </c>
    </row>
    <row r="53" spans="1:9" ht="15" thickTop="1" x14ac:dyDescent="0.35">
      <c r="E53" s="424"/>
      <c r="I53" s="372" t="s">
        <v>1228</v>
      </c>
    </row>
    <row r="55" spans="1:9" ht="15" thickBot="1" x14ac:dyDescent="0.4">
      <c r="A55" t="s">
        <v>1229</v>
      </c>
      <c r="D55" s="1040" t="s">
        <v>1230</v>
      </c>
      <c r="G55" s="424">
        <f>G20</f>
        <v>4.1099999999999994</v>
      </c>
    </row>
    <row r="56" spans="1:9" ht="15.5" thickTop="1" thickBot="1" x14ac:dyDescent="0.4">
      <c r="A56" t="s">
        <v>1231</v>
      </c>
      <c r="D56" s="1040" t="s">
        <v>1232</v>
      </c>
      <c r="G56" s="778">
        <f>G55*(1+G11)</f>
        <v>4.4595555410999994</v>
      </c>
    </row>
    <row r="57" spans="1:9" ht="15.5" thickTop="1" thickBot="1" x14ac:dyDescent="0.4">
      <c r="D57" s="1040"/>
    </row>
    <row r="58" spans="1:9" ht="15.5" thickTop="1" thickBot="1" x14ac:dyDescent="0.4">
      <c r="A58" t="s">
        <v>1233</v>
      </c>
      <c r="D58" s="1040" t="s">
        <v>1234</v>
      </c>
      <c r="G58" s="776">
        <f>G55</f>
        <v>4.1099999999999994</v>
      </c>
      <c r="I58" s="372" t="s">
        <v>1227</v>
      </c>
    </row>
    <row r="59" spans="1:9" ht="15" thickTop="1" x14ac:dyDescent="0.35">
      <c r="D59" s="1040"/>
      <c r="I59" s="372" t="s">
        <v>1235</v>
      </c>
    </row>
    <row r="60" spans="1:9" ht="15" thickBot="1" x14ac:dyDescent="0.4">
      <c r="D60" s="1040"/>
    </row>
    <row r="61" spans="1:9" ht="15.5" thickTop="1" thickBot="1" x14ac:dyDescent="0.4">
      <c r="A61" t="s">
        <v>1236</v>
      </c>
      <c r="D61" s="1040" t="s">
        <v>1237</v>
      </c>
      <c r="E61" s="777">
        <f>E22</f>
        <v>1.2</v>
      </c>
      <c r="F61" s="777">
        <f>F22</f>
        <v>1.2</v>
      </c>
      <c r="G61" s="777">
        <f>G22</f>
        <v>1.2</v>
      </c>
      <c r="H61" s="777">
        <f>H22</f>
        <v>1.2</v>
      </c>
      <c r="I61" s="372" t="s">
        <v>1227</v>
      </c>
    </row>
    <row r="62" spans="1:9" ht="15" thickTop="1" x14ac:dyDescent="0.35">
      <c r="D62" s="1040"/>
      <c r="G62" s="424"/>
    </row>
    <row r="63" spans="1:9" ht="15" thickBot="1" x14ac:dyDescent="0.4">
      <c r="D63" s="1040"/>
    </row>
    <row r="64" spans="1:9" x14ac:dyDescent="0.35">
      <c r="A64" s="133" t="s">
        <v>1238</v>
      </c>
      <c r="D64" s="1040"/>
      <c r="E64" s="779" t="str">
        <f>E5</f>
        <v>SC1 &amp; 7</v>
      </c>
      <c r="F64" s="780" t="str">
        <f>F5</f>
        <v>SC2 Rate I</v>
      </c>
      <c r="G64" s="780" t="str">
        <f>G5</f>
        <v>SC2 Rate II</v>
      </c>
      <c r="H64" s="781" t="str">
        <f>H5</f>
        <v>SC6</v>
      </c>
    </row>
    <row r="65" spans="1:8" x14ac:dyDescent="0.35">
      <c r="A65" t="s">
        <v>1239</v>
      </c>
      <c r="D65" s="1040" t="s">
        <v>1240</v>
      </c>
      <c r="E65" s="782">
        <f>E66+E67</f>
        <v>16</v>
      </c>
      <c r="F65" s="783">
        <f>F66+F67</f>
        <v>28.1</v>
      </c>
      <c r="G65" s="783">
        <f>G66+G67</f>
        <v>32.21</v>
      </c>
      <c r="H65" s="784">
        <f>H66+H67</f>
        <v>36.6</v>
      </c>
    </row>
    <row r="66" spans="1:8" x14ac:dyDescent="0.35">
      <c r="A66" t="s">
        <v>1241</v>
      </c>
      <c r="D66" s="1040" t="s">
        <v>1242</v>
      </c>
      <c r="E66" s="785"/>
      <c r="F66" s="786"/>
      <c r="G66" s="787">
        <f>G58</f>
        <v>4.1099999999999994</v>
      </c>
      <c r="H66" s="788"/>
    </row>
    <row r="67" spans="1:8" x14ac:dyDescent="0.35">
      <c r="A67" t="s">
        <v>1243</v>
      </c>
      <c r="D67" s="1040" t="s">
        <v>1244</v>
      </c>
      <c r="E67" s="782">
        <f>E52</f>
        <v>16</v>
      </c>
      <c r="F67" s="783">
        <f>F52</f>
        <v>28.1</v>
      </c>
      <c r="G67" s="783">
        <f>G52</f>
        <v>28.1</v>
      </c>
      <c r="H67" s="784">
        <f>H52</f>
        <v>36.6</v>
      </c>
    </row>
    <row r="68" spans="1:8" x14ac:dyDescent="0.35">
      <c r="A68" t="s">
        <v>1245</v>
      </c>
      <c r="D68" s="1040" t="s">
        <v>1246</v>
      </c>
      <c r="E68" s="789">
        <f>E61</f>
        <v>1.2</v>
      </c>
      <c r="F68" s="787">
        <f>F61</f>
        <v>1.2</v>
      </c>
      <c r="G68" s="787">
        <f>G61</f>
        <v>1.2</v>
      </c>
      <c r="H68" s="790">
        <f>H61</f>
        <v>1.2</v>
      </c>
    </row>
    <row r="69" spans="1:8" x14ac:dyDescent="0.35">
      <c r="A69" t="s">
        <v>1247</v>
      </c>
      <c r="D69" s="1040" t="s">
        <v>1248</v>
      </c>
      <c r="E69" s="782">
        <f>E67+E68</f>
        <v>17.2</v>
      </c>
      <c r="F69" s="783">
        <f>F67+F68</f>
        <v>29.3</v>
      </c>
      <c r="G69" s="783">
        <f>G67+G68</f>
        <v>29.3</v>
      </c>
      <c r="H69" s="784">
        <f>H67+H68</f>
        <v>37.800000000000004</v>
      </c>
    </row>
    <row r="70" spans="1:8" ht="15" thickBot="1" x14ac:dyDescent="0.4">
      <c r="D70" s="1040"/>
      <c r="E70" s="791"/>
      <c r="F70" s="792"/>
      <c r="G70" s="792"/>
      <c r="H70" s="793"/>
    </row>
    <row r="74" spans="1:8" x14ac:dyDescent="0.35">
      <c r="A74" s="133" t="s">
        <v>1317</v>
      </c>
    </row>
    <row r="75" spans="1:8" ht="16.5" x14ac:dyDescent="0.35">
      <c r="A75" s="753" t="s">
        <v>1515</v>
      </c>
    </row>
    <row r="76" spans="1:8" ht="16.5" x14ac:dyDescent="0.35">
      <c r="A76" s="753" t="s">
        <v>1516</v>
      </c>
    </row>
    <row r="85" spans="1:2" hidden="1" outlineLevel="1" x14ac:dyDescent="0.35">
      <c r="A85" t="s">
        <v>1179</v>
      </c>
      <c r="B85" s="595">
        <v>1</v>
      </c>
    </row>
    <row r="86" spans="1:2" collapsed="1" x14ac:dyDescent="0.35"/>
  </sheetData>
  <printOptions horizontalCentered="1"/>
  <pageMargins left="0.7" right="0.7" top="0.75" bottom="0.75" header="0.3" footer="0.3"/>
  <pageSetup scale="55" orientation="landscape" r:id="rId1"/>
  <headerFooter>
    <oddFooter>&amp;C&amp;F (Tab: &amp;A)&amp;RPage &amp;P / &amp;N</oddFooter>
  </headerFooter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42">
    <pageSetUpPr fitToPage="1"/>
  </sheetPr>
  <dimension ref="A1:R58"/>
  <sheetViews>
    <sheetView workbookViewId="0">
      <selection activeCell="H21" sqref="H21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13.1796875" customWidth="1"/>
    <col min="5" max="5" width="18.54296875" customWidth="1"/>
    <col min="6" max="6" width="14.7265625" customWidth="1"/>
    <col min="7" max="7" width="17" customWidth="1"/>
    <col min="8" max="8" width="17.1796875" customWidth="1"/>
    <col min="9" max="9" width="6.179687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8.54296875" customWidth="1"/>
    <col min="15" max="15" width="16.453125" customWidth="1"/>
    <col min="16" max="16" width="15.7265625" customWidth="1"/>
    <col min="17" max="17" width="17.453125" customWidth="1"/>
    <col min="18" max="18" width="18.81640625" customWidth="1"/>
    <col min="19" max="19" width="11.7265625" customWidth="1"/>
  </cols>
  <sheetData>
    <row r="1" spans="1:14" ht="18.5" x14ac:dyDescent="0.45">
      <c r="A1" s="447" t="s">
        <v>993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14" outlineLevel="1" x14ac:dyDescent="0.35">
      <c r="A3" s="70" t="s">
        <v>2030</v>
      </c>
      <c r="B3" s="70"/>
      <c r="C3" s="75" t="s">
        <v>159</v>
      </c>
      <c r="E3" s="245">
        <f>'[2]5A.)RevAllocation'!$T$7</f>
        <v>113251000</v>
      </c>
      <c r="F3" s="3"/>
      <c r="J3" s="33" t="s">
        <v>150</v>
      </c>
      <c r="K3" s="687">
        <f>'[1]A1.)RatesInput'!$G$4</f>
        <v>2019</v>
      </c>
    </row>
    <row r="4" spans="1:14" outlineLevel="1" x14ac:dyDescent="0.35">
      <c r="A4" s="864" t="s">
        <v>970</v>
      </c>
      <c r="B4" s="864"/>
      <c r="C4" s="3"/>
      <c r="D4" s="3"/>
      <c r="E4" s="3"/>
      <c r="F4" s="3"/>
      <c r="J4" s="33" t="s">
        <v>5</v>
      </c>
      <c r="K4" s="687">
        <f>'[1]A1.)RatesInput'!$I$4</f>
        <v>2020</v>
      </c>
      <c r="L4" s="1" t="str">
        <f>'[1]A1.)RatesInput'!$I$2</f>
        <v>RY1</v>
      </c>
    </row>
    <row r="5" spans="1:14" outlineLevel="1" x14ac:dyDescent="0.35">
      <c r="A5" s="180"/>
      <c r="B5" s="180"/>
      <c r="C5" s="3"/>
      <c r="D5" s="3"/>
      <c r="E5" s="3"/>
      <c r="F5" s="3"/>
      <c r="J5" s="3"/>
      <c r="K5" s="3"/>
      <c r="L5" s="3"/>
    </row>
    <row r="6" spans="1:14" outlineLevel="1" x14ac:dyDescent="0.35">
      <c r="B6" s="180"/>
      <c r="C6" s="180"/>
      <c r="D6" s="180"/>
      <c r="E6" s="490">
        <f>'14A.)Riders__RateDesignSummary'!D4</f>
        <v>2019</v>
      </c>
      <c r="F6" s="490">
        <f>K4</f>
        <v>2020</v>
      </c>
      <c r="G6" t="str">
        <f>L4</f>
        <v>RY1</v>
      </c>
      <c r="J6" s="33" t="s">
        <v>1428</v>
      </c>
      <c r="K6" s="687">
        <f>'[1]A1.)RatesInput'!$G$3</f>
        <v>2017</v>
      </c>
      <c r="L6" s="180"/>
    </row>
    <row r="7" spans="1:14" ht="15" outlineLevel="1" thickBot="1" x14ac:dyDescent="0.4">
      <c r="A7" s="3"/>
      <c r="B7" s="3"/>
      <c r="C7" s="3"/>
      <c r="D7" s="3"/>
      <c r="E7" s="232" t="str">
        <f>'14A.)Riders__RateDesignSummary'!D9</f>
        <v>Current</v>
      </c>
      <c r="F7" s="232" t="s">
        <v>521</v>
      </c>
      <c r="J7" s="33"/>
      <c r="L7" s="3"/>
    </row>
    <row r="8" spans="1:14" ht="15" outlineLevel="1" thickTop="1" x14ac:dyDescent="0.35">
      <c r="A8" t="s">
        <v>972</v>
      </c>
      <c r="B8" s="3"/>
      <c r="C8" s="190"/>
      <c r="D8" s="3"/>
      <c r="E8" s="177">
        <f>'14A.)Riders__RateDesignSummary'!D11</f>
        <v>107.85</v>
      </c>
      <c r="F8" s="177">
        <f>H55</f>
        <v>110.53</v>
      </c>
      <c r="J8" s="410"/>
      <c r="L8" s="410"/>
    </row>
    <row r="9" spans="1:14" outlineLevel="1" x14ac:dyDescent="0.35">
      <c r="A9" t="s">
        <v>973</v>
      </c>
      <c r="B9" s="3"/>
      <c r="C9" s="190"/>
      <c r="D9" s="3"/>
      <c r="E9" s="169">
        <f>'14A.)Riders__RateDesignSummary'!D12</f>
        <v>7.3999999999999995</v>
      </c>
      <c r="F9" s="169">
        <f t="shared" ref="F9:F11" si="0">H56</f>
        <v>7.5799999999999992</v>
      </c>
    </row>
    <row r="10" spans="1:14" outlineLevel="1" x14ac:dyDescent="0.35">
      <c r="A10" t="s">
        <v>974</v>
      </c>
      <c r="B10" s="3"/>
      <c r="C10" s="3"/>
      <c r="D10" s="3"/>
      <c r="E10" s="169">
        <f>'14A.)Riders__RateDesignSummary'!D13</f>
        <v>22.15</v>
      </c>
      <c r="F10" s="169">
        <f t="shared" si="0"/>
        <v>22.7</v>
      </c>
      <c r="K10" s="118" t="str">
        <f>A4</f>
        <v>Rider D</v>
      </c>
    </row>
    <row r="11" spans="1:14" outlineLevel="1" x14ac:dyDescent="0.35">
      <c r="A11" t="s">
        <v>975</v>
      </c>
      <c r="B11" s="3"/>
      <c r="C11" s="3"/>
      <c r="D11" s="3"/>
      <c r="E11" s="169">
        <f>'14A.)Riders__RateDesignSummary'!D14</f>
        <v>7.3999999999999995</v>
      </c>
      <c r="F11" s="169">
        <f t="shared" si="0"/>
        <v>7.5799999999999992</v>
      </c>
      <c r="K11" s="536" t="s">
        <v>1005</v>
      </c>
      <c r="L11" s="536" t="s">
        <v>160</v>
      </c>
      <c r="M11" s="135" t="s">
        <v>438</v>
      </c>
      <c r="N11" s="135" t="s">
        <v>476</v>
      </c>
    </row>
    <row r="12" spans="1:14" outlineLevel="1" x14ac:dyDescent="0.35">
      <c r="A12" t="s">
        <v>976</v>
      </c>
      <c r="B12" s="3"/>
      <c r="C12" s="3"/>
      <c r="D12" s="3"/>
      <c r="E12" s="169">
        <f>'14A.)Riders__RateDesignSummary'!D15</f>
        <v>107.85</v>
      </c>
      <c r="F12" s="169">
        <f>F8</f>
        <v>110.53</v>
      </c>
      <c r="J12" s="33" t="s">
        <v>436</v>
      </c>
      <c r="K12" s="537">
        <f>L12+M12+N12</f>
        <v>51618671</v>
      </c>
      <c r="L12" s="245">
        <f>'[2]6B.)RateChgAllocation'!$O$14</f>
        <v>51509382</v>
      </c>
      <c r="M12" s="245">
        <f>'[2]6B.)RateChgAllocation'!$O$16</f>
        <v>106393</v>
      </c>
      <c r="N12" s="245">
        <f>'[2]6B.)RateChgAllocation'!$O$15</f>
        <v>2896</v>
      </c>
    </row>
    <row r="13" spans="1:14" outlineLevel="1" x14ac:dyDescent="0.35">
      <c r="A13" t="s">
        <v>977</v>
      </c>
      <c r="E13" s="169">
        <f>'14A.)Riders__RateDesignSummary'!D16</f>
        <v>7.3999999999999995</v>
      </c>
      <c r="F13" s="169">
        <f t="shared" ref="F13:F15" si="1">F9</f>
        <v>7.5799999999999992</v>
      </c>
      <c r="I13" s="3"/>
      <c r="J13" s="33" t="s">
        <v>994</v>
      </c>
      <c r="K13" s="537">
        <f>L13+M13+N13</f>
        <v>2077363627.2895765</v>
      </c>
      <c r="L13" s="245">
        <f>'[2]6B.)RateChgAllocation'!$J$14</f>
        <v>2070398869.2895765</v>
      </c>
      <c r="M13" s="245">
        <f>'[2]6B.)RateChgAllocation'!$J$16</f>
        <v>6864036</v>
      </c>
      <c r="N13" s="245">
        <f>'[2]6B.)RateChgAllocation'!$J$15</f>
        <v>100722</v>
      </c>
    </row>
    <row r="14" spans="1:14" outlineLevel="1" x14ac:dyDescent="0.35">
      <c r="A14" t="s">
        <v>978</v>
      </c>
      <c r="B14" s="3"/>
      <c r="C14" s="3"/>
      <c r="D14" s="3"/>
      <c r="E14" s="169">
        <f>'14A.)Riders__RateDesignSummary'!D17</f>
        <v>22.15</v>
      </c>
      <c r="F14" s="169">
        <f t="shared" si="1"/>
        <v>22.7</v>
      </c>
      <c r="J14" s="33" t="s">
        <v>2036</v>
      </c>
      <c r="K14" s="1017">
        <f>ROUND(K12/K13,6)</f>
        <v>2.4847999999999999E-2</v>
      </c>
    </row>
    <row r="15" spans="1:14" ht="15" outlineLevel="1" thickBot="1" x14ac:dyDescent="0.4">
      <c r="A15" t="s">
        <v>979</v>
      </c>
      <c r="B15" s="3"/>
      <c r="C15" s="3"/>
      <c r="D15" s="3"/>
      <c r="E15" s="167">
        <f>'14A.)Riders__RateDesignSummary'!D18</f>
        <v>7.3999999999999995</v>
      </c>
      <c r="F15" s="167">
        <f t="shared" si="1"/>
        <v>7.5799999999999992</v>
      </c>
      <c r="G15" s="3"/>
      <c r="H15" s="3"/>
      <c r="J15" s="367"/>
    </row>
    <row r="16" spans="1:14" ht="15" outlineLevel="1" thickTop="1" x14ac:dyDescent="0.35">
      <c r="A16" s="3"/>
      <c r="B16" s="3"/>
      <c r="C16" s="3"/>
      <c r="D16" s="3"/>
      <c r="E16" s="2"/>
      <c r="F16" s="2"/>
      <c r="G16" s="3"/>
      <c r="H16" s="3"/>
      <c r="J16" s="367"/>
      <c r="K16" s="408" t="s">
        <v>237</v>
      </c>
      <c r="L16" s="135" t="s">
        <v>42</v>
      </c>
      <c r="M16" s="135" t="s">
        <v>40</v>
      </c>
    </row>
    <row r="17" spans="1:18" outlineLevel="1" x14ac:dyDescent="0.35">
      <c r="A17" s="3"/>
      <c r="B17" s="3"/>
      <c r="C17" s="3"/>
      <c r="D17" s="3"/>
      <c r="E17" s="3"/>
      <c r="F17" s="3"/>
      <c r="G17" s="3"/>
      <c r="H17" s="3"/>
      <c r="J17" s="367" t="s">
        <v>995</v>
      </c>
      <c r="K17" s="538">
        <f>L17+M17</f>
        <v>0</v>
      </c>
      <c r="L17" s="538">
        <f>'[1]B1.)HYAdjSalesDatabase'!$T$877</f>
        <v>0</v>
      </c>
      <c r="M17" s="538">
        <f>'[1]B1.)HYAdjSalesDatabase'!$U$877</f>
        <v>0</v>
      </c>
    </row>
    <row r="18" spans="1:18" outlineLevel="1" x14ac:dyDescent="0.35">
      <c r="A18" s="3"/>
      <c r="B18" s="3"/>
      <c r="C18" s="3"/>
      <c r="D18" s="3"/>
      <c r="E18" s="3"/>
      <c r="F18" s="3"/>
      <c r="G18" s="3"/>
      <c r="H18" s="3"/>
      <c r="J18" s="33" t="s">
        <v>996</v>
      </c>
      <c r="K18" s="538">
        <f>L18+M18</f>
        <v>34959</v>
      </c>
      <c r="L18" s="693">
        <f>'[1]B1.)HYAdjSalesDatabase'!$T$265</f>
        <v>11644</v>
      </c>
      <c r="M18" s="693">
        <f>'[1]B1.)HYAdjSalesDatabase'!$U$265</f>
        <v>23315</v>
      </c>
    </row>
    <row r="19" spans="1:18" outlineLevel="1" x14ac:dyDescent="0.35">
      <c r="A19" s="3"/>
      <c r="B19" s="3"/>
      <c r="C19" s="3"/>
      <c r="D19" s="3"/>
      <c r="E19" s="3"/>
      <c r="F19" s="3"/>
      <c r="G19" s="3"/>
      <c r="H19" s="3"/>
      <c r="J19" s="367"/>
    </row>
    <row r="20" spans="1:18" outlineLevel="1" x14ac:dyDescent="0.35">
      <c r="A20" s="3"/>
      <c r="B20" s="3"/>
      <c r="C20" s="3"/>
      <c r="D20" s="3"/>
      <c r="E20" s="3"/>
      <c r="F20" s="3"/>
      <c r="G20" s="3"/>
      <c r="J20" s="367" t="s">
        <v>997</v>
      </c>
      <c r="K20" s="603">
        <f>'[1]F5.)RiderD&amp;ProvD'!$C$44</f>
        <v>374890</v>
      </c>
    </row>
    <row r="21" spans="1:18" outlineLevel="1" x14ac:dyDescent="0.35">
      <c r="A21" s="3"/>
      <c r="B21" s="3"/>
      <c r="C21" s="3"/>
      <c r="D21" s="3"/>
      <c r="E21" s="3"/>
      <c r="F21" s="3"/>
      <c r="G21" s="230"/>
      <c r="H21" s="3"/>
      <c r="J21" s="367"/>
    </row>
    <row r="22" spans="1:18" outlineLevel="1" x14ac:dyDescent="0.35">
      <c r="A22" s="3"/>
      <c r="B22" s="3"/>
      <c r="C22" s="3"/>
      <c r="D22" s="3"/>
      <c r="E22" s="3"/>
      <c r="F22" s="3"/>
      <c r="G22" s="230"/>
      <c r="H22" s="3"/>
      <c r="J22" s="367"/>
    </row>
    <row r="23" spans="1:18" outlineLevel="1" x14ac:dyDescent="0.35"/>
    <row r="24" spans="1:18" outlineLevel="1" x14ac:dyDescent="0.35">
      <c r="R24" s="150"/>
    </row>
    <row r="25" spans="1:18" outlineLevel="1" x14ac:dyDescent="0.35"/>
    <row r="26" spans="1:18" outlineLevel="1" x14ac:dyDescent="0.35"/>
    <row r="27" spans="1:18" outlineLevel="1" x14ac:dyDescent="0.35">
      <c r="M27" s="407"/>
    </row>
    <row r="28" spans="1:18" outlineLevel="1" x14ac:dyDescent="0.35"/>
    <row r="29" spans="1:18" s="148" customFormat="1" outlineLevel="1" x14ac:dyDescent="0.35"/>
    <row r="30" spans="1:18" x14ac:dyDescent="0.35">
      <c r="A30" s="407" t="s">
        <v>998</v>
      </c>
      <c r="B30" s="406"/>
      <c r="D30" s="131"/>
      <c r="F30" s="131"/>
    </row>
    <row r="31" spans="1:18" x14ac:dyDescent="0.35">
      <c r="A31" s="406"/>
      <c r="B31" s="406" t="s">
        <v>968</v>
      </c>
      <c r="C31" s="567">
        <f>K6</f>
        <v>2017</v>
      </c>
      <c r="D31" s="131"/>
      <c r="E31" s="131"/>
      <c r="F31" s="131"/>
    </row>
    <row r="32" spans="1:18" x14ac:dyDescent="0.35">
      <c r="A32" s="406"/>
      <c r="B32" s="406" t="s">
        <v>296</v>
      </c>
      <c r="C32" s="567">
        <f>K3</f>
        <v>2019</v>
      </c>
      <c r="D32" s="131"/>
      <c r="E32" s="131"/>
      <c r="F32" s="131"/>
    </row>
    <row r="33" spans="1:6" x14ac:dyDescent="0.35">
      <c r="A33" s="406"/>
      <c r="B33" s="406" t="s">
        <v>999</v>
      </c>
      <c r="C33" s="567">
        <f>K4</f>
        <v>2020</v>
      </c>
      <c r="D33" t="str">
        <f>L4</f>
        <v>RY1</v>
      </c>
    </row>
    <row r="34" spans="1:6" x14ac:dyDescent="0.35">
      <c r="A34" s="131"/>
    </row>
    <row r="35" spans="1:6" x14ac:dyDescent="0.35">
      <c r="A35" s="131"/>
      <c r="C35" s="1020" t="s">
        <v>79</v>
      </c>
      <c r="D35" s="1020" t="s">
        <v>78</v>
      </c>
      <c r="E35" s="1020" t="s">
        <v>2021</v>
      </c>
      <c r="F35" s="1020" t="s">
        <v>2022</v>
      </c>
    </row>
    <row r="36" spans="1:6" ht="15" thickBot="1" x14ac:dyDescent="0.4">
      <c r="B36" s="133" t="s">
        <v>6</v>
      </c>
      <c r="C36" s="135" t="s">
        <v>170</v>
      </c>
      <c r="D36" s="135" t="s">
        <v>702</v>
      </c>
      <c r="E36" s="135" t="s">
        <v>702</v>
      </c>
      <c r="F36" s="135" t="s">
        <v>1000</v>
      </c>
    </row>
    <row r="37" spans="1:6" ht="15.5" thickTop="1" thickBot="1" x14ac:dyDescent="0.4">
      <c r="B37" t="s">
        <v>1001</v>
      </c>
      <c r="C37" s="130">
        <f>K20</f>
        <v>374890</v>
      </c>
      <c r="D37" s="539">
        <f>$K$14</f>
        <v>2.4847999999999999E-2</v>
      </c>
      <c r="E37" s="130">
        <f>ROUND(C37*D37,0)</f>
        <v>9315</v>
      </c>
      <c r="F37" s="995">
        <f>C37+E37</f>
        <v>384205</v>
      </c>
    </row>
    <row r="38" spans="1:6" ht="15" thickTop="1" x14ac:dyDescent="0.35"/>
    <row r="39" spans="1:6" x14ac:dyDescent="0.35">
      <c r="A39" s="131"/>
    </row>
    <row r="40" spans="1:6" x14ac:dyDescent="0.35">
      <c r="A40" s="407" t="s">
        <v>1002</v>
      </c>
    </row>
    <row r="41" spans="1:6" ht="15" thickBot="1" x14ac:dyDescent="0.4"/>
    <row r="42" spans="1:6" ht="15.5" thickTop="1" thickBot="1" x14ac:dyDescent="0.4">
      <c r="A42" s="407"/>
      <c r="C42" s="1354" t="str">
        <f>CONCATENATE("HY",C31)</f>
        <v>HY2017</v>
      </c>
      <c r="D42" s="1355"/>
      <c r="E42" s="486">
        <f>C33</f>
        <v>2020</v>
      </c>
    </row>
    <row r="43" spans="1:6" ht="15" thickTop="1" x14ac:dyDescent="0.35">
      <c r="A43" s="407"/>
      <c r="C43" s="1020"/>
      <c r="D43" s="1020" t="s">
        <v>165</v>
      </c>
      <c r="E43" s="1020" t="s">
        <v>166</v>
      </c>
      <c r="F43" s="135"/>
    </row>
    <row r="44" spans="1:6" x14ac:dyDescent="0.35">
      <c r="A44" s="407"/>
      <c r="C44" s="1020"/>
      <c r="D44" s="135" t="s">
        <v>804</v>
      </c>
      <c r="E44" s="135" t="s">
        <v>1003</v>
      </c>
    </row>
    <row r="45" spans="1:6" x14ac:dyDescent="0.35">
      <c r="A45" s="407"/>
      <c r="C45" t="s">
        <v>42</v>
      </c>
      <c r="D45" s="540">
        <f>L18</f>
        <v>11644</v>
      </c>
      <c r="E45" s="541">
        <f>D45/$D47*$E47</f>
        <v>127969.42189421895</v>
      </c>
    </row>
    <row r="46" spans="1:6" ht="15" thickBot="1" x14ac:dyDescent="0.4">
      <c r="A46" s="407"/>
      <c r="C46" t="s">
        <v>40</v>
      </c>
      <c r="D46" s="540">
        <f>M18</f>
        <v>23315</v>
      </c>
      <c r="E46" s="541">
        <f>D46/$D47*$E47</f>
        <v>256235.57810578105</v>
      </c>
    </row>
    <row r="47" spans="1:6" ht="15.5" thickTop="1" thickBot="1" x14ac:dyDescent="0.4">
      <c r="A47" s="407"/>
      <c r="C47" s="1020"/>
      <c r="D47" s="366">
        <f>D45+D46</f>
        <v>34959</v>
      </c>
      <c r="E47" s="1019">
        <f>F37</f>
        <v>384205</v>
      </c>
      <c r="F47" s="1021" t="s">
        <v>1173</v>
      </c>
    </row>
    <row r="48" spans="1:6" ht="15" thickTop="1" x14ac:dyDescent="0.35">
      <c r="A48" s="407"/>
      <c r="C48" s="540"/>
      <c r="D48" s="540"/>
      <c r="E48" s="366"/>
    </row>
    <row r="49" spans="1:8" x14ac:dyDescent="0.35">
      <c r="A49" s="407"/>
    </row>
    <row r="50" spans="1:8" x14ac:dyDescent="0.35">
      <c r="A50" s="407" t="s">
        <v>1004</v>
      </c>
    </row>
    <row r="51" spans="1:8" x14ac:dyDescent="0.35">
      <c r="E51" s="1020" t="s">
        <v>109</v>
      </c>
      <c r="F51" s="1020" t="s">
        <v>108</v>
      </c>
      <c r="G51" s="1020" t="s">
        <v>106</v>
      </c>
      <c r="H51" s="1020" t="s">
        <v>2023</v>
      </c>
    </row>
    <row r="52" spans="1:8" x14ac:dyDescent="0.35">
      <c r="A52" s="407"/>
      <c r="B52" s="131"/>
      <c r="C52" s="131"/>
      <c r="D52" s="131"/>
      <c r="E52" s="344">
        <f>C32</f>
        <v>2019</v>
      </c>
      <c r="F52" s="486" t="s">
        <v>1005</v>
      </c>
      <c r="H52" s="344">
        <f>C33</f>
        <v>2020</v>
      </c>
    </row>
    <row r="53" spans="1:8" x14ac:dyDescent="0.35">
      <c r="A53" s="131"/>
      <c r="B53" s="41" t="str">
        <f>$A$4</f>
        <v>Rider D</v>
      </c>
      <c r="E53" s="135" t="str">
        <f>E7</f>
        <v>Current</v>
      </c>
      <c r="F53" s="135" t="s">
        <v>1006</v>
      </c>
      <c r="G53" s="135" t="s">
        <v>702</v>
      </c>
      <c r="H53" s="135" t="s">
        <v>1007</v>
      </c>
    </row>
    <row r="54" spans="1:8" ht="15" thickBot="1" x14ac:dyDescent="0.4">
      <c r="A54" s="131"/>
    </row>
    <row r="55" spans="1:8" x14ac:dyDescent="0.35">
      <c r="A55" s="131"/>
      <c r="B55" t="s">
        <v>1008</v>
      </c>
      <c r="E55" s="542">
        <f>E8</f>
        <v>107.85</v>
      </c>
      <c r="F55" s="539">
        <f>D37</f>
        <v>2.4847999999999999E-2</v>
      </c>
      <c r="G55" s="424">
        <f>ROUND(E55*F55,2)</f>
        <v>2.68</v>
      </c>
      <c r="H55" s="543">
        <f>E55+G55</f>
        <v>110.53</v>
      </c>
    </row>
    <row r="56" spans="1:8" x14ac:dyDescent="0.35">
      <c r="B56" s="3" t="s">
        <v>1009</v>
      </c>
      <c r="C56" s="3"/>
      <c r="D56" s="3"/>
      <c r="E56" s="270">
        <f>E9</f>
        <v>7.3999999999999995</v>
      </c>
      <c r="F56" s="544">
        <f>F55</f>
        <v>2.4847999999999999E-2</v>
      </c>
      <c r="G56" s="424">
        <f t="shared" ref="G56:G58" si="2">ROUND(E56*F56,2)</f>
        <v>0.18</v>
      </c>
      <c r="H56" s="545">
        <f t="shared" ref="H56:H58" si="3">E56+G56</f>
        <v>7.5799999999999992</v>
      </c>
    </row>
    <row r="57" spans="1:8" x14ac:dyDescent="0.35">
      <c r="B57" t="s">
        <v>1010</v>
      </c>
      <c r="E57" s="270">
        <f>E10</f>
        <v>22.15</v>
      </c>
      <c r="F57" s="546">
        <f>F55</f>
        <v>2.4847999999999999E-2</v>
      </c>
      <c r="G57" s="424">
        <f t="shared" si="2"/>
        <v>0.55000000000000004</v>
      </c>
      <c r="H57" s="545">
        <f t="shared" si="3"/>
        <v>22.7</v>
      </c>
    </row>
    <row r="58" spans="1:8" ht="15" thickBot="1" x14ac:dyDescent="0.4">
      <c r="B58" t="s">
        <v>1011</v>
      </c>
      <c r="E58" s="270">
        <f>E11</f>
        <v>7.3999999999999995</v>
      </c>
      <c r="F58" s="546">
        <f>F55</f>
        <v>2.4847999999999999E-2</v>
      </c>
      <c r="G58" s="424">
        <f t="shared" si="2"/>
        <v>0.18</v>
      </c>
      <c r="H58" s="547">
        <f t="shared" si="3"/>
        <v>7.5799999999999992</v>
      </c>
    </row>
  </sheetData>
  <mergeCells count="1">
    <mergeCell ref="C42:D42"/>
  </mergeCells>
  <printOptions horizontalCentered="1"/>
  <pageMargins left="0.95" right="0.95" top="0.5" bottom="0.5" header="0.3" footer="0.3"/>
  <pageSetup scale="53" orientation="landscape" r:id="rId1"/>
  <headerFooter>
    <oddFooter>&amp;C&amp;F (Tab: &amp;A)&amp;RPage &amp;P / &amp;N</oddFooter>
  </headerFooter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43">
    <pageSetUpPr fitToPage="1"/>
  </sheetPr>
  <dimension ref="A1:R50"/>
  <sheetViews>
    <sheetView workbookViewId="0">
      <selection activeCell="H21" sqref="H21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13.1796875" customWidth="1"/>
    <col min="5" max="5" width="18.54296875" customWidth="1"/>
    <col min="6" max="6" width="14.72656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8.54296875" customWidth="1"/>
    <col min="15" max="15" width="16.453125" customWidth="1"/>
    <col min="16" max="16" width="15.7265625" customWidth="1"/>
    <col min="17" max="17" width="17.453125" customWidth="1"/>
    <col min="18" max="18" width="18.81640625" customWidth="1"/>
    <col min="19" max="19" width="11.7265625" customWidth="1"/>
  </cols>
  <sheetData>
    <row r="1" spans="1:13" ht="18.5" x14ac:dyDescent="0.45">
      <c r="A1" s="447" t="s">
        <v>2314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13" outlineLevel="1" x14ac:dyDescent="0.35">
      <c r="A3" s="70" t="s">
        <v>2030</v>
      </c>
      <c r="B3" s="70"/>
      <c r="C3" s="75" t="s">
        <v>159</v>
      </c>
      <c r="E3" s="245">
        <f>'[2]5A.)RevAllocation'!$T$7</f>
        <v>113251000</v>
      </c>
      <c r="F3" s="3"/>
      <c r="J3" s="33" t="s">
        <v>150</v>
      </c>
      <c r="K3" s="687">
        <f>'[1]A1.)RatesInput'!$G$4</f>
        <v>2019</v>
      </c>
      <c r="L3" s="3"/>
    </row>
    <row r="4" spans="1:13" outlineLevel="1" x14ac:dyDescent="0.35">
      <c r="A4" s="864" t="s">
        <v>1314</v>
      </c>
      <c r="B4" s="864"/>
      <c r="C4" s="40"/>
      <c r="D4" s="3"/>
      <c r="E4" s="3"/>
      <c r="F4" s="3"/>
      <c r="J4" s="33" t="s">
        <v>5</v>
      </c>
      <c r="K4" s="687">
        <f>'[1]A1.)RatesInput'!$I$4</f>
        <v>2020</v>
      </c>
      <c r="L4" s="1" t="str">
        <f>'[1]A1.)RatesInput'!$I$2</f>
        <v>RY1</v>
      </c>
    </row>
    <row r="5" spans="1:13" outlineLevel="1" x14ac:dyDescent="0.35">
      <c r="A5" s="180"/>
      <c r="B5" s="180"/>
      <c r="C5" s="3"/>
      <c r="D5" s="3"/>
      <c r="E5" s="3"/>
      <c r="F5" s="3"/>
      <c r="J5" s="3"/>
      <c r="K5" s="3"/>
      <c r="L5" s="3"/>
    </row>
    <row r="6" spans="1:13" outlineLevel="1" x14ac:dyDescent="0.35">
      <c r="B6" s="180"/>
      <c r="C6" s="180"/>
      <c r="D6" s="180"/>
      <c r="E6" s="490">
        <f>'14A.)Riders__RateDesignSummary'!D4</f>
        <v>2019</v>
      </c>
      <c r="F6" s="490">
        <f>K4</f>
        <v>2020</v>
      </c>
      <c r="G6" t="str">
        <f>L4</f>
        <v>RY1</v>
      </c>
      <c r="J6" s="33" t="s">
        <v>1428</v>
      </c>
      <c r="K6" s="687">
        <f>'[1]A1.)RatesInput'!$G$3</f>
        <v>2017</v>
      </c>
      <c r="L6" s="180"/>
    </row>
    <row r="7" spans="1:13" ht="15" outlineLevel="1" thickBot="1" x14ac:dyDescent="0.4">
      <c r="A7" s="3"/>
      <c r="B7" s="3"/>
      <c r="C7" s="3"/>
      <c r="D7" s="3"/>
      <c r="E7" s="101" t="str">
        <f>'14A.)Riders__RateDesignSummary'!D9</f>
        <v>Current</v>
      </c>
      <c r="F7" s="101" t="s">
        <v>521</v>
      </c>
      <c r="J7" s="33"/>
      <c r="L7" s="3"/>
    </row>
    <row r="8" spans="1:13" ht="15" outlineLevel="1" thickTop="1" x14ac:dyDescent="0.35">
      <c r="A8" t="s">
        <v>981</v>
      </c>
      <c r="B8" s="3"/>
      <c r="C8" s="190"/>
      <c r="D8" s="3"/>
      <c r="E8" s="177">
        <f>'14A.)Riders__RateDesignSummary'!D30</f>
        <v>1.41E-2</v>
      </c>
      <c r="F8" s="177">
        <f>'10C.)Energy_RateDesign_SC1_II'!F11</f>
        <v>1.54E-2</v>
      </c>
      <c r="K8" s="118" t="str">
        <f>A4</f>
        <v>SC1 Provision D (Formly Rider H)</v>
      </c>
      <c r="L8" s="410"/>
    </row>
    <row r="9" spans="1:13" outlineLevel="1" x14ac:dyDescent="0.35">
      <c r="A9" t="s">
        <v>982</v>
      </c>
      <c r="B9" s="3"/>
      <c r="C9" s="190"/>
      <c r="D9" s="3"/>
      <c r="E9" s="169">
        <f>'14A.)Riders__RateDesignSummary'!D31</f>
        <v>3</v>
      </c>
      <c r="F9" s="169">
        <f>'10C.)Energy_RateDesign_SC1_II'!F17</f>
        <v>4.46</v>
      </c>
      <c r="J9" s="33" t="s">
        <v>139</v>
      </c>
      <c r="K9" s="689">
        <f>HLOOKUP(K6,'[1]A1.)RatesInput'!$D$63:$J$83,'[1]A1.)RatesInput'!$A$80,0)</f>
        <v>1.01108</v>
      </c>
      <c r="L9" s="410"/>
    </row>
    <row r="10" spans="1:13" outlineLevel="1" x14ac:dyDescent="0.35">
      <c r="A10" t="s">
        <v>983</v>
      </c>
      <c r="B10" s="3"/>
      <c r="C10" s="3"/>
      <c r="D10" s="3"/>
      <c r="E10" s="169">
        <f>'14A.)Riders__RateDesignSummary'!D32</f>
        <v>1.41E-2</v>
      </c>
      <c r="F10" s="169">
        <f>F8</f>
        <v>1.54E-2</v>
      </c>
      <c r="J10" s="3"/>
      <c r="K10" s="3"/>
      <c r="L10" s="3"/>
    </row>
    <row r="11" spans="1:13" ht="15" outlineLevel="1" thickBot="1" x14ac:dyDescent="0.4">
      <c r="A11" t="s">
        <v>984</v>
      </c>
      <c r="B11" s="3"/>
      <c r="C11" s="3"/>
      <c r="D11" s="3"/>
      <c r="E11" s="167">
        <f>'14A.)Riders__RateDesignSummary'!D33</f>
        <v>3</v>
      </c>
      <c r="F11" s="167">
        <f>F9</f>
        <v>4.46</v>
      </c>
      <c r="J11" s="3"/>
      <c r="K11" s="3"/>
      <c r="L11" s="3"/>
    </row>
    <row r="12" spans="1:13" ht="15" outlineLevel="1" thickTop="1" x14ac:dyDescent="0.35">
      <c r="A12" s="3"/>
      <c r="B12" s="3"/>
      <c r="C12" s="3"/>
      <c r="D12" s="3"/>
      <c r="E12" s="3"/>
      <c r="F12" s="3"/>
      <c r="G12" s="3"/>
    </row>
    <row r="13" spans="1:13" outlineLevel="1" x14ac:dyDescent="0.35">
      <c r="A13" s="3"/>
      <c r="B13" s="3"/>
      <c r="C13" s="3"/>
      <c r="D13" s="3"/>
      <c r="E13" s="3"/>
      <c r="F13" s="3"/>
      <c r="G13" s="3"/>
      <c r="I13" s="3"/>
    </row>
    <row r="14" spans="1:13" outlineLevel="1" x14ac:dyDescent="0.35">
      <c r="A14" s="3"/>
      <c r="B14" s="3"/>
      <c r="C14" s="3"/>
      <c r="D14" s="3"/>
      <c r="E14" s="3"/>
      <c r="F14" s="3"/>
      <c r="G14" s="3"/>
    </row>
    <row r="15" spans="1:13" outlineLevel="1" x14ac:dyDescent="0.35">
      <c r="A15" s="3"/>
      <c r="B15" s="3"/>
      <c r="C15" s="3"/>
      <c r="D15" s="3"/>
      <c r="E15" s="3"/>
      <c r="F15" s="3"/>
      <c r="G15" s="3"/>
      <c r="H15" s="3"/>
      <c r="J15" s="367"/>
    </row>
    <row r="16" spans="1:13" outlineLevel="1" x14ac:dyDescent="0.35">
      <c r="A16" s="3"/>
      <c r="B16" s="3"/>
      <c r="C16" s="3"/>
      <c r="D16" s="3"/>
      <c r="E16" s="3"/>
      <c r="F16" s="3"/>
      <c r="G16" s="3"/>
      <c r="H16" s="3"/>
      <c r="J16" s="367"/>
      <c r="K16" s="408" t="s">
        <v>237</v>
      </c>
      <c r="L16" s="135" t="s">
        <v>42</v>
      </c>
      <c r="M16" s="135" t="s">
        <v>40</v>
      </c>
    </row>
    <row r="17" spans="1:18" outlineLevel="1" x14ac:dyDescent="0.35">
      <c r="A17" s="3"/>
      <c r="B17" s="3"/>
      <c r="C17" s="3"/>
      <c r="D17" s="3"/>
      <c r="E17" s="3"/>
      <c r="F17" s="3"/>
      <c r="G17" s="3"/>
      <c r="H17" s="3"/>
      <c r="J17" s="367" t="s">
        <v>995</v>
      </c>
      <c r="K17" s="538">
        <f>L17+M17</f>
        <v>2944</v>
      </c>
      <c r="L17" s="693">
        <f>'[1]B1.)HYAdjSalesDatabase'!$T$832</f>
        <v>794</v>
      </c>
      <c r="M17" s="693">
        <f>'[1]B1.)HYAdjSalesDatabase'!$U$832</f>
        <v>2150</v>
      </c>
    </row>
    <row r="18" spans="1:18" outlineLevel="1" x14ac:dyDescent="0.35">
      <c r="A18" s="3"/>
      <c r="B18" s="3"/>
      <c r="C18" s="3"/>
      <c r="D18" s="3"/>
      <c r="E18" s="3"/>
      <c r="F18" s="3"/>
      <c r="G18" s="3"/>
      <c r="H18" s="3"/>
      <c r="J18" s="33" t="s">
        <v>1315</v>
      </c>
      <c r="K18" s="538">
        <f>L18+M18</f>
        <v>12</v>
      </c>
      <c r="L18" s="693">
        <f>'[1]B1.)HYAdjSalesDatabase'!$T$220</f>
        <v>4</v>
      </c>
      <c r="M18" s="693">
        <f>'[1]B1.)HYAdjSalesDatabase'!$U$220</f>
        <v>8</v>
      </c>
    </row>
    <row r="19" spans="1:18" outlineLevel="1" x14ac:dyDescent="0.35">
      <c r="A19" s="3"/>
      <c r="B19" s="3"/>
      <c r="C19" s="3"/>
      <c r="D19" s="3"/>
      <c r="E19" s="3"/>
      <c r="F19" s="3"/>
      <c r="G19" s="3"/>
      <c r="H19" s="3"/>
      <c r="J19" s="367"/>
    </row>
    <row r="20" spans="1:18" outlineLevel="1" x14ac:dyDescent="0.35">
      <c r="A20" s="3"/>
      <c r="B20" s="3"/>
      <c r="C20" s="3"/>
      <c r="D20" s="3"/>
      <c r="E20" s="3"/>
      <c r="F20" s="3"/>
      <c r="G20" s="3"/>
      <c r="J20" s="367" t="s">
        <v>1012</v>
      </c>
      <c r="K20" s="537">
        <f>L20+M20</f>
        <v>77.510400000000004</v>
      </c>
      <c r="L20" s="245">
        <f>'[1]F5.)RiderD&amp;ProvD'!$J$23</f>
        <v>23.195399999999999</v>
      </c>
      <c r="M20" s="245">
        <f>'[1]F5.)RiderD&amp;ProvD'!$K$23</f>
        <v>54.314999999999998</v>
      </c>
    </row>
    <row r="21" spans="1:18" outlineLevel="1" x14ac:dyDescent="0.35">
      <c r="A21" s="3"/>
      <c r="B21" s="3"/>
      <c r="C21" s="3"/>
      <c r="D21" s="3"/>
      <c r="E21" s="3"/>
      <c r="F21" s="3"/>
      <c r="G21" s="230"/>
      <c r="H21" s="3"/>
      <c r="J21" s="367" t="s">
        <v>1013</v>
      </c>
      <c r="K21" s="537">
        <f>L21+M21</f>
        <v>77.510400000000004</v>
      </c>
      <c r="L21" s="245">
        <f>'[1]F5.)RiderD&amp;ProvD'!$N$23</f>
        <v>23.195399999999999</v>
      </c>
      <c r="M21" s="245">
        <f>'[1]F5.)RiderD&amp;ProvD'!$O$23</f>
        <v>54.314999999999998</v>
      </c>
    </row>
    <row r="22" spans="1:18" outlineLevel="1" x14ac:dyDescent="0.35">
      <c r="A22" s="3"/>
      <c r="B22" s="3"/>
      <c r="C22" s="3"/>
      <c r="D22" s="3"/>
      <c r="E22" s="3"/>
      <c r="F22" s="3"/>
      <c r="G22" s="230"/>
      <c r="H22" s="3"/>
      <c r="J22" s="367"/>
    </row>
    <row r="23" spans="1:18" outlineLevel="1" x14ac:dyDescent="0.35">
      <c r="J23" s="367"/>
    </row>
    <row r="24" spans="1:18" outlineLevel="1" x14ac:dyDescent="0.35">
      <c r="R24" s="150"/>
    </row>
    <row r="25" spans="1:18" outlineLevel="1" x14ac:dyDescent="0.35"/>
    <row r="26" spans="1:18" outlineLevel="1" x14ac:dyDescent="0.35"/>
    <row r="27" spans="1:18" outlineLevel="1" x14ac:dyDescent="0.35">
      <c r="J27" s="33"/>
      <c r="L27" s="407"/>
      <c r="M27" s="407"/>
    </row>
    <row r="28" spans="1:18" outlineLevel="1" x14ac:dyDescent="0.35"/>
    <row r="29" spans="1:18" s="148" customFormat="1" outlineLevel="1" x14ac:dyDescent="0.35"/>
    <row r="30" spans="1:18" x14ac:dyDescent="0.35">
      <c r="A30" s="407" t="s">
        <v>2024</v>
      </c>
      <c r="B30" s="147"/>
      <c r="C30" s="143"/>
      <c r="D30" s="131"/>
      <c r="E30" s="131"/>
      <c r="F30" s="131"/>
    </row>
    <row r="31" spans="1:18" x14ac:dyDescent="0.35">
      <c r="A31" s="126"/>
      <c r="B31" s="406" t="s">
        <v>968</v>
      </c>
      <c r="C31" s="567">
        <f>K6</f>
        <v>2017</v>
      </c>
      <c r="D31" s="131"/>
      <c r="E31" s="131"/>
      <c r="F31" s="131"/>
    </row>
    <row r="32" spans="1:18" x14ac:dyDescent="0.35">
      <c r="A32" s="126"/>
      <c r="B32" s="406" t="s">
        <v>296</v>
      </c>
      <c r="C32" s="567">
        <f>K3</f>
        <v>2019</v>
      </c>
      <c r="D32" s="131"/>
      <c r="E32" s="131"/>
      <c r="F32" s="131"/>
    </row>
    <row r="33" spans="1:13" x14ac:dyDescent="0.35">
      <c r="A33" s="131"/>
      <c r="B33" s="406" t="s">
        <v>999</v>
      </c>
      <c r="C33" s="567">
        <f>K4</f>
        <v>2020</v>
      </c>
      <c r="D33" t="str">
        <f>L4</f>
        <v>RY1</v>
      </c>
    </row>
    <row r="34" spans="1:13" x14ac:dyDescent="0.35">
      <c r="A34" s="131"/>
    </row>
    <row r="35" spans="1:13" x14ac:dyDescent="0.35">
      <c r="A35" s="131"/>
    </row>
    <row r="36" spans="1:13" x14ac:dyDescent="0.35">
      <c r="A36" s="131"/>
      <c r="B36" s="551" t="s">
        <v>1014</v>
      </c>
    </row>
    <row r="37" spans="1:13" ht="15" thickBot="1" x14ac:dyDescent="0.4">
      <c r="A37" s="131"/>
      <c r="C37" s="135" t="s">
        <v>170</v>
      </c>
      <c r="E37" s="135" t="s">
        <v>806</v>
      </c>
      <c r="G37" s="135" t="s">
        <v>1015</v>
      </c>
      <c r="H37" s="367" t="s">
        <v>426</v>
      </c>
      <c r="I37" s="552">
        <f>K9</f>
        <v>1.01108</v>
      </c>
      <c r="J37" s="1021" t="s">
        <v>177</v>
      </c>
      <c r="K37" s="608" t="s">
        <v>1165</v>
      </c>
    </row>
    <row r="38" spans="1:13" x14ac:dyDescent="0.35">
      <c r="C38" s="135" t="s">
        <v>772</v>
      </c>
      <c r="E38" s="135">
        <f>C31</f>
        <v>2017</v>
      </c>
      <c r="G38" s="135" t="s">
        <v>134</v>
      </c>
      <c r="I38" s="135" t="s">
        <v>475</v>
      </c>
      <c r="K38" s="609" t="s">
        <v>1166</v>
      </c>
      <c r="L38" s="58"/>
      <c r="M38" s="57"/>
    </row>
    <row r="39" spans="1:13" x14ac:dyDescent="0.35">
      <c r="C39" s="1020" t="s">
        <v>79</v>
      </c>
      <c r="E39" s="1020" t="s">
        <v>78</v>
      </c>
      <c r="G39" s="1020" t="s">
        <v>2021</v>
      </c>
      <c r="I39" s="1020" t="s">
        <v>1173</v>
      </c>
      <c r="K39" s="610" t="s">
        <v>42</v>
      </c>
      <c r="L39" s="611" t="s">
        <v>40</v>
      </c>
      <c r="M39" s="1022" t="s">
        <v>205</v>
      </c>
    </row>
    <row r="40" spans="1:13" x14ac:dyDescent="0.35">
      <c r="B40" t="s">
        <v>1016</v>
      </c>
      <c r="C40" s="365">
        <f>E8</f>
        <v>1.41E-2</v>
      </c>
      <c r="D40" s="296" t="s">
        <v>1017</v>
      </c>
      <c r="E40" s="150">
        <f>K17</f>
        <v>2944</v>
      </c>
      <c r="F40" t="s">
        <v>12</v>
      </c>
      <c r="G40" s="417">
        <f>ROUND(C40*E40,0)</f>
        <v>42</v>
      </c>
      <c r="I40" s="417">
        <f>G40</f>
        <v>42</v>
      </c>
      <c r="J40" s="1021" t="s">
        <v>2026</v>
      </c>
      <c r="K40" s="612">
        <f>L17/$K17*$I40</f>
        <v>11.327445652173912</v>
      </c>
      <c r="L40" s="417">
        <f>M17/$K17*$I40</f>
        <v>30.672554347826086</v>
      </c>
      <c r="M40" s="613">
        <f>K40+L40</f>
        <v>42</v>
      </c>
    </row>
    <row r="41" spans="1:13" x14ac:dyDescent="0.35">
      <c r="A41" s="131"/>
      <c r="B41" t="s">
        <v>1018</v>
      </c>
      <c r="C41" s="365">
        <f>E9</f>
        <v>3</v>
      </c>
      <c r="D41" s="296" t="s">
        <v>1017</v>
      </c>
      <c r="E41" s="553">
        <f>K18</f>
        <v>12</v>
      </c>
      <c r="F41" t="s">
        <v>26</v>
      </c>
      <c r="G41" s="418">
        <f>ROUND(C41*E41,0)</f>
        <v>36</v>
      </c>
      <c r="I41" s="418">
        <f>ROUND(G41*I37,0)</f>
        <v>36</v>
      </c>
      <c r="J41" s="1021" t="s">
        <v>2025</v>
      </c>
      <c r="K41" s="614">
        <f>L18/$K18*$I41</f>
        <v>12</v>
      </c>
      <c r="L41" s="418">
        <f>M18/$K18*$I41</f>
        <v>24</v>
      </c>
      <c r="M41" s="1023">
        <f>K41+L41</f>
        <v>36</v>
      </c>
    </row>
    <row r="42" spans="1:13" x14ac:dyDescent="0.35">
      <c r="A42" s="131"/>
      <c r="E42" s="366">
        <f>E40+E41</f>
        <v>2956</v>
      </c>
      <c r="G42" s="130">
        <f>G40+G41</f>
        <v>78</v>
      </c>
      <c r="H42" s="404"/>
      <c r="I42" s="130">
        <f>I40+I41</f>
        <v>78</v>
      </c>
      <c r="J42" s="286"/>
      <c r="K42" s="612">
        <f>K40+K41</f>
        <v>23.327445652173914</v>
      </c>
      <c r="L42" s="417">
        <f>L40+L41</f>
        <v>54.672554347826086</v>
      </c>
      <c r="M42" s="613">
        <f>M40+M41</f>
        <v>78</v>
      </c>
    </row>
    <row r="43" spans="1:13" x14ac:dyDescent="0.35">
      <c r="A43" s="131"/>
      <c r="K43" s="50"/>
      <c r="L43" s="43"/>
      <c r="M43" s="48"/>
    </row>
    <row r="44" spans="1:13" x14ac:dyDescent="0.35">
      <c r="A44" s="131"/>
      <c r="B44" s="551" t="s">
        <v>1019</v>
      </c>
      <c r="K44" s="50"/>
      <c r="L44" s="43"/>
      <c r="M44" s="48"/>
    </row>
    <row r="45" spans="1:13" x14ac:dyDescent="0.35">
      <c r="A45" s="131"/>
      <c r="C45" s="135" t="s">
        <v>521</v>
      </c>
      <c r="E45" s="135" t="s">
        <v>806</v>
      </c>
      <c r="G45" s="135" t="s">
        <v>1015</v>
      </c>
      <c r="H45" s="367" t="s">
        <v>426</v>
      </c>
      <c r="I45" s="552">
        <f>K9</f>
        <v>1.01108</v>
      </c>
      <c r="J45" s="1021" t="s">
        <v>177</v>
      </c>
      <c r="K45" s="50"/>
      <c r="L45" s="43"/>
      <c r="M45" s="48"/>
    </row>
    <row r="46" spans="1:13" x14ac:dyDescent="0.35">
      <c r="A46" s="131"/>
      <c r="C46" s="135" t="s">
        <v>772</v>
      </c>
      <c r="E46" s="135" t="str">
        <f>C38</f>
        <v>Rate</v>
      </c>
      <c r="G46" s="135" t="s">
        <v>134</v>
      </c>
      <c r="I46" s="135" t="s">
        <v>475</v>
      </c>
      <c r="K46" s="615" t="s">
        <v>1167</v>
      </c>
      <c r="L46" s="43"/>
      <c r="M46" s="48"/>
    </row>
    <row r="47" spans="1:13" x14ac:dyDescent="0.35">
      <c r="C47" s="1020" t="s">
        <v>79</v>
      </c>
      <c r="E47" s="1020" t="s">
        <v>78</v>
      </c>
      <c r="G47" s="1020" t="s">
        <v>2021</v>
      </c>
      <c r="I47" s="1020" t="s">
        <v>1173</v>
      </c>
      <c r="K47" s="610" t="s">
        <v>42</v>
      </c>
      <c r="L47" s="611" t="s">
        <v>40</v>
      </c>
      <c r="M47" s="1022" t="s">
        <v>205</v>
      </c>
    </row>
    <row r="48" spans="1:13" x14ac:dyDescent="0.35">
      <c r="B48" t="s">
        <v>1016</v>
      </c>
      <c r="C48" s="365">
        <f>F8</f>
        <v>1.54E-2</v>
      </c>
      <c r="D48" s="296" t="s">
        <v>1017</v>
      </c>
      <c r="E48" s="150">
        <f>E40</f>
        <v>2944</v>
      </c>
      <c r="F48" t="s">
        <v>12</v>
      </c>
      <c r="G48" s="417">
        <f>ROUND(C48*E48,0)</f>
        <v>45</v>
      </c>
      <c r="I48" s="417">
        <f>G48</f>
        <v>45</v>
      </c>
      <c r="J48" s="1021" t="s">
        <v>2026</v>
      </c>
      <c r="K48" s="612">
        <f>L17/$K17*$I48</f>
        <v>12.136548913043478</v>
      </c>
      <c r="L48" s="417">
        <f>M17/$K17*$I48</f>
        <v>32.863451086956523</v>
      </c>
      <c r="M48" s="613">
        <f>K48+L48</f>
        <v>45</v>
      </c>
    </row>
    <row r="49" spans="2:13" x14ac:dyDescent="0.35">
      <c r="B49" t="s">
        <v>1018</v>
      </c>
      <c r="C49" s="365">
        <f>F9</f>
        <v>4.46</v>
      </c>
      <c r="D49" s="296" t="s">
        <v>1017</v>
      </c>
      <c r="E49" s="553">
        <f>E41</f>
        <v>12</v>
      </c>
      <c r="F49" t="s">
        <v>26</v>
      </c>
      <c r="G49" s="418">
        <f>ROUND(C49*E49,0)</f>
        <v>54</v>
      </c>
      <c r="I49" s="418">
        <f>ROUND(G49*I45,0)</f>
        <v>55</v>
      </c>
      <c r="J49" s="1021" t="s">
        <v>2025</v>
      </c>
      <c r="K49" s="614">
        <f>L18/$K18*$I49</f>
        <v>18.333333333333332</v>
      </c>
      <c r="L49" s="418">
        <f>M18/$K18*$I49</f>
        <v>36.666666666666664</v>
      </c>
      <c r="M49" s="1023">
        <f>K49+L49</f>
        <v>55</v>
      </c>
    </row>
    <row r="50" spans="2:13" ht="15" thickBot="1" x14ac:dyDescent="0.4">
      <c r="E50" s="366">
        <f>E48+E49</f>
        <v>2956</v>
      </c>
      <c r="G50" s="130">
        <f>G48+G49</f>
        <v>99</v>
      </c>
      <c r="H50" s="130"/>
      <c r="I50" s="130">
        <f>I48+I49</f>
        <v>100</v>
      </c>
      <c r="J50" s="130"/>
      <c r="K50" s="616">
        <f>K48+K49</f>
        <v>30.469882246376812</v>
      </c>
      <c r="L50" s="617">
        <f>L48+L49</f>
        <v>69.530117753623188</v>
      </c>
      <c r="M50" s="1024">
        <f>M48+M49</f>
        <v>100</v>
      </c>
    </row>
  </sheetData>
  <printOptions horizontalCentered="1"/>
  <pageMargins left="0.95" right="0.95" top="1" bottom="1" header="0.3" footer="0.3"/>
  <pageSetup scale="55" orientation="landscape" r:id="rId1"/>
  <headerFooter>
    <oddFooter>&amp;C&amp;F (Tab: &amp;A)&amp;RPage 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44">
    <pageSetUpPr fitToPage="1"/>
  </sheetPr>
  <dimension ref="A1:R51"/>
  <sheetViews>
    <sheetView workbookViewId="0">
      <selection activeCell="H29" sqref="H29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13.1796875" customWidth="1"/>
    <col min="5" max="5" width="18.54296875" customWidth="1"/>
    <col min="6" max="6" width="14.7265625" customWidth="1"/>
    <col min="7" max="7" width="17" customWidth="1"/>
    <col min="8" max="8" width="17.1796875" customWidth="1"/>
    <col min="9" max="9" width="3.453125" customWidth="1"/>
    <col min="10" max="13" width="14.81640625" customWidth="1"/>
    <col min="14" max="14" width="18.54296875" customWidth="1"/>
    <col min="15" max="15" width="16.453125" customWidth="1"/>
    <col min="16" max="16" width="15.7265625" customWidth="1"/>
    <col min="17" max="17" width="17.453125" customWidth="1"/>
    <col min="18" max="18" width="18.81640625" customWidth="1"/>
    <col min="19" max="19" width="11.7265625" customWidth="1"/>
  </cols>
  <sheetData>
    <row r="1" spans="1:12" ht="18.5" x14ac:dyDescent="0.45">
      <c r="A1" s="447" t="s">
        <v>2029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12" outlineLevel="1" x14ac:dyDescent="0.35">
      <c r="A3" s="70" t="s">
        <v>527</v>
      </c>
      <c r="B3" s="70"/>
      <c r="C3" s="75" t="s">
        <v>159</v>
      </c>
      <c r="E3" s="245">
        <f>'[2]5A.)RevAllocation'!$T$7</f>
        <v>113251000</v>
      </c>
      <c r="F3" s="3"/>
      <c r="J3" s="33" t="s">
        <v>150</v>
      </c>
      <c r="K3" s="687">
        <f>'[1]A1.)RatesInput'!$G$4</f>
        <v>2019</v>
      </c>
      <c r="L3" s="3"/>
    </row>
    <row r="4" spans="1:12" outlineLevel="1" x14ac:dyDescent="0.35">
      <c r="A4" s="864" t="s">
        <v>965</v>
      </c>
      <c r="B4" s="864"/>
      <c r="C4" s="3"/>
      <c r="D4" s="3"/>
      <c r="E4" s="3"/>
      <c r="F4" s="3"/>
      <c r="J4" s="33" t="s">
        <v>5</v>
      </c>
      <c r="K4" s="687">
        <f>'[1]A1.)RatesInput'!$I$4</f>
        <v>2020</v>
      </c>
      <c r="L4" s="1" t="str">
        <f>'[1]A1.)RatesInput'!$I$2</f>
        <v>RY1</v>
      </c>
    </row>
    <row r="5" spans="1:12" outlineLevel="1" x14ac:dyDescent="0.35">
      <c r="A5" s="180"/>
      <c r="B5" s="180"/>
      <c r="C5" s="3"/>
      <c r="D5" s="3"/>
      <c r="E5" s="3"/>
      <c r="F5" s="3"/>
      <c r="J5" s="3"/>
      <c r="K5" s="3"/>
      <c r="L5" s="3"/>
    </row>
    <row r="6" spans="1:12" outlineLevel="1" x14ac:dyDescent="0.35">
      <c r="B6" s="180"/>
      <c r="C6" s="180"/>
      <c r="D6" s="180"/>
      <c r="E6" s="490">
        <f>'14A.)Riders__RateDesignSummary'!D4</f>
        <v>2019</v>
      </c>
      <c r="F6" s="490">
        <f>K4</f>
        <v>2020</v>
      </c>
      <c r="G6" t="str">
        <f>L4</f>
        <v>RY1</v>
      </c>
      <c r="J6" s="33" t="s">
        <v>1428</v>
      </c>
      <c r="K6" s="687">
        <f>'[1]A1.)RatesInput'!$G$3</f>
        <v>2017</v>
      </c>
      <c r="L6" s="180"/>
    </row>
    <row r="7" spans="1:12" ht="15" outlineLevel="1" thickBot="1" x14ac:dyDescent="0.4">
      <c r="A7" s="3"/>
      <c r="B7" s="3"/>
      <c r="C7" s="3"/>
      <c r="D7" s="3"/>
      <c r="E7" s="101" t="str">
        <f>'14A.)Riders__RateDesignSummary'!D9</f>
        <v>Current</v>
      </c>
      <c r="F7" s="101" t="s">
        <v>521</v>
      </c>
      <c r="J7" s="33"/>
      <c r="L7" s="3"/>
    </row>
    <row r="8" spans="1:12" ht="15" outlineLevel="1" thickTop="1" x14ac:dyDescent="0.35">
      <c r="A8" t="s">
        <v>1020</v>
      </c>
      <c r="B8" s="3"/>
      <c r="C8" s="190"/>
      <c r="D8" s="3"/>
      <c r="E8" s="177">
        <f>'14A.)Riders__RateDesignSummary'!D45</f>
        <v>1.97</v>
      </c>
      <c r="F8" s="177">
        <f>'[1]A1.)RatesInput'!$K$376</f>
        <v>2.14</v>
      </c>
      <c r="G8" s="143"/>
      <c r="K8" s="118" t="str">
        <f>A4</f>
        <v>kVar</v>
      </c>
      <c r="L8" s="410"/>
    </row>
    <row r="9" spans="1:12" ht="15" outlineLevel="1" thickBot="1" x14ac:dyDescent="0.4">
      <c r="B9" s="3"/>
      <c r="C9" s="190"/>
      <c r="D9" s="3"/>
      <c r="E9" s="167"/>
      <c r="F9" s="167"/>
      <c r="J9" s="33" t="s">
        <v>139</v>
      </c>
      <c r="K9" s="689">
        <f>HLOOKUP(K6,'[1]A1.)RatesInput'!$D$63:$J$83,'[1]A1.)RatesInput'!$A$80,0)</f>
        <v>1.01108</v>
      </c>
      <c r="L9" s="410"/>
    </row>
    <row r="10" spans="1:12" ht="15" outlineLevel="1" thickTop="1" x14ac:dyDescent="0.35">
      <c r="B10" s="3"/>
      <c r="C10" s="3"/>
      <c r="D10" s="3"/>
      <c r="E10" s="3"/>
      <c r="F10" s="3"/>
      <c r="L10" s="410"/>
    </row>
    <row r="11" spans="1:12" outlineLevel="1" x14ac:dyDescent="0.35">
      <c r="B11" s="3"/>
      <c r="C11" s="3"/>
      <c r="D11" s="3"/>
      <c r="E11" s="3"/>
      <c r="F11" s="3"/>
    </row>
    <row r="12" spans="1:12" outlineLevel="1" x14ac:dyDescent="0.35">
      <c r="A12" s="3"/>
      <c r="B12" s="3"/>
      <c r="C12" s="3"/>
      <c r="D12" s="3"/>
      <c r="E12" s="3"/>
      <c r="F12" s="3"/>
      <c r="G12" s="3"/>
    </row>
    <row r="13" spans="1:12" outlineLevel="1" x14ac:dyDescent="0.35">
      <c r="A13" s="548"/>
      <c r="B13" s="549"/>
      <c r="C13" s="549"/>
      <c r="D13" s="549"/>
      <c r="E13" s="549"/>
      <c r="F13" s="549"/>
      <c r="G13" s="3"/>
    </row>
    <row r="14" spans="1:12" outlineLevel="1" x14ac:dyDescent="0.35">
      <c r="A14" s="549"/>
      <c r="B14" s="549"/>
      <c r="C14" s="549"/>
      <c r="D14" s="549"/>
      <c r="E14" s="550"/>
      <c r="F14" s="550"/>
      <c r="G14" s="3"/>
    </row>
    <row r="15" spans="1:12" outlineLevel="1" x14ac:dyDescent="0.35">
      <c r="A15" s="549"/>
      <c r="B15" s="549"/>
      <c r="C15" s="549"/>
      <c r="D15" s="549"/>
      <c r="E15" s="305"/>
      <c r="F15" s="305"/>
      <c r="G15" s="3"/>
      <c r="H15" s="3"/>
      <c r="J15" s="367"/>
    </row>
    <row r="16" spans="1:12" outlineLevel="1" x14ac:dyDescent="0.35">
      <c r="A16" s="3"/>
      <c r="B16" s="3"/>
      <c r="C16" s="3"/>
      <c r="D16" s="3"/>
      <c r="E16" s="3"/>
      <c r="F16" s="3"/>
      <c r="G16" s="3"/>
      <c r="H16" s="3"/>
    </row>
    <row r="17" spans="1:18" hidden="1" outlineLevel="1" x14ac:dyDescent="0.35">
      <c r="A17" s="3"/>
      <c r="B17" s="3"/>
      <c r="C17" s="3"/>
      <c r="D17" s="3"/>
      <c r="E17" s="3"/>
      <c r="F17" s="3"/>
      <c r="G17" s="3"/>
      <c r="H17" s="3"/>
    </row>
    <row r="18" spans="1:18" hidden="1" outlineLevel="1" x14ac:dyDescent="0.35">
      <c r="A18" s="3"/>
      <c r="B18" s="3"/>
      <c r="C18" s="3"/>
      <c r="D18" s="3"/>
      <c r="E18" s="3"/>
      <c r="F18" s="3"/>
      <c r="G18" s="3"/>
      <c r="H18" s="3"/>
    </row>
    <row r="19" spans="1:18" hidden="1" outlineLevel="1" x14ac:dyDescent="0.35">
      <c r="A19" s="3"/>
      <c r="B19" s="3"/>
      <c r="C19" s="3"/>
      <c r="D19" s="3"/>
      <c r="E19" s="3"/>
      <c r="F19" s="3"/>
      <c r="G19" s="3"/>
      <c r="H19" s="3"/>
    </row>
    <row r="20" spans="1:18" hidden="1" outlineLevel="1" x14ac:dyDescent="0.35">
      <c r="A20" s="3"/>
      <c r="B20" s="3"/>
      <c r="C20" s="3"/>
      <c r="D20" s="3"/>
      <c r="E20" s="3"/>
      <c r="F20" s="3"/>
      <c r="G20" s="3"/>
    </row>
    <row r="21" spans="1:18" hidden="1" outlineLevel="1" x14ac:dyDescent="0.35">
      <c r="A21" s="3"/>
      <c r="B21" s="3"/>
      <c r="C21" s="3"/>
      <c r="D21" s="3"/>
      <c r="E21" s="3"/>
      <c r="F21" s="3"/>
      <c r="G21" s="230"/>
      <c r="H21" s="3"/>
    </row>
    <row r="22" spans="1:18" hidden="1" outlineLevel="1" x14ac:dyDescent="0.35">
      <c r="A22" s="3"/>
      <c r="B22" s="3"/>
      <c r="C22" s="3"/>
      <c r="D22" s="3"/>
      <c r="E22" s="3"/>
      <c r="F22" s="3"/>
      <c r="G22" s="230"/>
      <c r="H22" s="3"/>
      <c r="J22" s="367"/>
      <c r="L22" s="702"/>
      <c r="M22" s="702"/>
    </row>
    <row r="23" spans="1:18" hidden="1" outlineLevel="1" x14ac:dyDescent="0.35">
      <c r="J23" s="367"/>
    </row>
    <row r="24" spans="1:18" hidden="1" outlineLevel="1" x14ac:dyDescent="0.35">
      <c r="R24" s="150"/>
    </row>
    <row r="25" spans="1:18" hidden="1" outlineLevel="1" x14ac:dyDescent="0.35"/>
    <row r="26" spans="1:18" hidden="1" outlineLevel="1" x14ac:dyDescent="0.35"/>
    <row r="27" spans="1:18" hidden="1" outlineLevel="1" x14ac:dyDescent="0.35">
      <c r="J27" s="33"/>
      <c r="L27" s="407"/>
      <c r="M27" s="407"/>
    </row>
    <row r="28" spans="1:18" hidden="1" outlineLevel="1" x14ac:dyDescent="0.35"/>
    <row r="29" spans="1:18" s="148" customFormat="1" outlineLevel="1" x14ac:dyDescent="0.35"/>
    <row r="30" spans="1:18" x14ac:dyDescent="0.35">
      <c r="A30" s="407" t="s">
        <v>2027</v>
      </c>
      <c r="B30" s="406"/>
      <c r="C30" s="372" t="s">
        <v>2028</v>
      </c>
      <c r="D30" s="131"/>
      <c r="E30" s="131"/>
      <c r="F30" s="131"/>
    </row>
    <row r="31" spans="1:18" x14ac:dyDescent="0.35">
      <c r="A31" s="406"/>
      <c r="B31" s="406" t="s">
        <v>968</v>
      </c>
      <c r="C31" s="567">
        <f>K6</f>
        <v>2017</v>
      </c>
      <c r="D31" s="131"/>
      <c r="E31" s="131"/>
      <c r="F31" s="131"/>
    </row>
    <row r="32" spans="1:18" x14ac:dyDescent="0.35">
      <c r="A32" s="406"/>
      <c r="B32" s="406" t="s">
        <v>296</v>
      </c>
      <c r="C32" s="567">
        <f>K3</f>
        <v>2019</v>
      </c>
      <c r="D32" s="131"/>
      <c r="E32" s="131"/>
      <c r="F32" s="131"/>
    </row>
    <row r="33" spans="1:8" x14ac:dyDescent="0.35">
      <c r="A33" s="406"/>
      <c r="B33" s="406" t="s">
        <v>999</v>
      </c>
      <c r="C33" s="567">
        <f>K4</f>
        <v>2020</v>
      </c>
      <c r="D33" t="str">
        <f>L4</f>
        <v>RY1</v>
      </c>
    </row>
    <row r="34" spans="1:8" x14ac:dyDescent="0.35">
      <c r="A34" s="406"/>
      <c r="B34" s="406"/>
    </row>
    <row r="35" spans="1:8" x14ac:dyDescent="0.35">
      <c r="A35" s="131"/>
    </row>
    <row r="36" spans="1:8" x14ac:dyDescent="0.35">
      <c r="A36" s="131"/>
    </row>
    <row r="37" spans="1:8" x14ac:dyDescent="0.35">
      <c r="A37" s="131"/>
      <c r="B37" s="551" t="s">
        <v>1021</v>
      </c>
    </row>
    <row r="39" spans="1:8" x14ac:dyDescent="0.35">
      <c r="B39" s="131" t="s">
        <v>1022</v>
      </c>
    </row>
    <row r="40" spans="1:8" x14ac:dyDescent="0.35">
      <c r="B40" t="s">
        <v>1023</v>
      </c>
      <c r="C40" s="554">
        <f>DATE($C$32,1,1)</f>
        <v>43466</v>
      </c>
      <c r="G40" s="542">
        <f>E8</f>
        <v>1.97</v>
      </c>
      <c r="H40" t="s">
        <v>1024</v>
      </c>
    </row>
    <row r="41" spans="1:8" x14ac:dyDescent="0.35">
      <c r="A41" s="131"/>
    </row>
    <row r="42" spans="1:8" x14ac:dyDescent="0.35">
      <c r="A42" s="131"/>
      <c r="B42" t="s">
        <v>1025</v>
      </c>
    </row>
    <row r="43" spans="1:8" x14ac:dyDescent="0.35">
      <c r="A43" s="131"/>
    </row>
    <row r="44" spans="1:8" x14ac:dyDescent="0.35">
      <c r="A44" s="131"/>
      <c r="B44" t="s">
        <v>1026</v>
      </c>
      <c r="C44" s="554">
        <f>DATE($C$33,1,1)</f>
        <v>43831</v>
      </c>
      <c r="G44" s="542">
        <f>F8</f>
        <v>2.14</v>
      </c>
      <c r="H44" t="s">
        <v>1024</v>
      </c>
    </row>
    <row r="45" spans="1:8" x14ac:dyDescent="0.35">
      <c r="A45" s="131"/>
    </row>
    <row r="46" spans="1:8" x14ac:dyDescent="0.35">
      <c r="A46" s="131"/>
      <c r="B46" s="131" t="s">
        <v>1027</v>
      </c>
    </row>
    <row r="47" spans="1:8" x14ac:dyDescent="0.35">
      <c r="B47" t="s">
        <v>1023</v>
      </c>
      <c r="C47" s="555">
        <f>C40</f>
        <v>43466</v>
      </c>
      <c r="G47" s="542">
        <f>G40</f>
        <v>1.97</v>
      </c>
      <c r="H47" t="s">
        <v>1024</v>
      </c>
    </row>
    <row r="49" spans="2:8" x14ac:dyDescent="0.35">
      <c r="B49" t="s">
        <v>1025</v>
      </c>
    </row>
    <row r="51" spans="2:8" x14ac:dyDescent="0.35">
      <c r="B51" t="s">
        <v>1026</v>
      </c>
      <c r="C51" s="555">
        <f>C44</f>
        <v>43831</v>
      </c>
      <c r="G51" s="542">
        <f>G44</f>
        <v>2.14</v>
      </c>
      <c r="H51" t="s">
        <v>1024</v>
      </c>
    </row>
  </sheetData>
  <printOptions horizontalCentered="1"/>
  <pageMargins left="0.95" right="0.95" top="0.5" bottom="0.5" header="0.3" footer="0.3"/>
  <pageSetup scale="62" orientation="landscape" r:id="rId1"/>
  <headerFooter>
    <oddFooter>&amp;C&amp;F (Tab: &amp;A)&amp;RPage 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45">
    <pageSetUpPr fitToPage="1"/>
  </sheetPr>
  <dimension ref="A1:R49"/>
  <sheetViews>
    <sheetView workbookViewId="0">
      <selection activeCell="F13" sqref="F13"/>
    </sheetView>
  </sheetViews>
  <sheetFormatPr defaultRowHeight="14.5" outlineLevelRow="1" x14ac:dyDescent="0.35"/>
  <cols>
    <col min="1" max="1" width="7.453125" customWidth="1"/>
    <col min="2" max="2" width="18.81640625" customWidth="1"/>
    <col min="3" max="3" width="16.26953125" customWidth="1"/>
    <col min="4" max="4" width="13.1796875" customWidth="1"/>
    <col min="5" max="5" width="18.54296875" customWidth="1"/>
    <col min="6" max="6" width="14.7265625" customWidth="1"/>
    <col min="7" max="7" width="17" customWidth="1"/>
    <col min="8" max="8" width="17.1796875" customWidth="1"/>
    <col min="9" max="9" width="16.7265625" customWidth="1"/>
    <col min="10" max="10" width="17.453125" customWidth="1"/>
    <col min="11" max="11" width="18.54296875" customWidth="1"/>
    <col min="12" max="12" width="17.453125" customWidth="1"/>
    <col min="13" max="13" width="16.1796875" customWidth="1"/>
    <col min="14" max="14" width="18.54296875" customWidth="1"/>
    <col min="15" max="15" width="16.453125" customWidth="1"/>
    <col min="16" max="16" width="15.7265625" customWidth="1"/>
    <col min="17" max="17" width="17.453125" customWidth="1"/>
    <col min="18" max="18" width="18.81640625" customWidth="1"/>
    <col min="19" max="19" width="11.7265625" customWidth="1"/>
  </cols>
  <sheetData>
    <row r="1" spans="1:12" ht="18.5" x14ac:dyDescent="0.45">
      <c r="A1" s="447" t="s">
        <v>2313</v>
      </c>
      <c r="B1" s="189" t="str">
        <f>CONCATENATE("CECONY - Non-Competitive T&amp;D Rates Reflecting $",E3/1000000," Million Rate Change - RY1")</f>
        <v>CECONY - Non-Competitive T&amp;D Rates Reflecting $113.251 Million Rate Change - RY1</v>
      </c>
    </row>
    <row r="3" spans="1:12" outlineLevel="1" x14ac:dyDescent="0.35">
      <c r="A3" s="70" t="s">
        <v>2030</v>
      </c>
      <c r="B3" s="70"/>
      <c r="C3" s="75" t="s">
        <v>159</v>
      </c>
      <c r="E3" s="245">
        <f>'[2]5A.)RevAllocation'!$T$7</f>
        <v>113251000</v>
      </c>
      <c r="F3" s="3"/>
      <c r="J3" s="33" t="s">
        <v>150</v>
      </c>
      <c r="K3" s="687">
        <f>'[1]A1.)RatesInput'!$G$4</f>
        <v>2019</v>
      </c>
      <c r="L3" s="3"/>
    </row>
    <row r="4" spans="1:12" outlineLevel="1" x14ac:dyDescent="0.35">
      <c r="A4" s="864" t="s">
        <v>2031</v>
      </c>
      <c r="B4" s="864"/>
      <c r="C4" s="3"/>
      <c r="D4" s="3"/>
      <c r="E4" s="3"/>
      <c r="F4" s="3"/>
      <c r="J4" s="33" t="s">
        <v>5</v>
      </c>
      <c r="K4" s="687">
        <f>'[1]A1.)RatesInput'!$I$4</f>
        <v>2020</v>
      </c>
      <c r="L4" s="1" t="str">
        <f>'[1]A1.)RatesInput'!$I$2</f>
        <v>RY1</v>
      </c>
    </row>
    <row r="5" spans="1:12" outlineLevel="1" x14ac:dyDescent="0.35">
      <c r="A5" s="180"/>
      <c r="B5" s="180"/>
      <c r="C5" s="3"/>
      <c r="D5" s="3"/>
      <c r="E5" s="3"/>
      <c r="F5" s="3"/>
      <c r="J5" s="3"/>
      <c r="K5" s="3"/>
      <c r="L5" s="3"/>
    </row>
    <row r="6" spans="1:12" outlineLevel="1" x14ac:dyDescent="0.35">
      <c r="B6" s="180"/>
      <c r="C6" s="180"/>
      <c r="D6" s="180"/>
      <c r="E6" s="490">
        <f>'14A.)Riders__RateDesignSummary'!D4</f>
        <v>2019</v>
      </c>
      <c r="F6" s="490">
        <f>K4</f>
        <v>2020</v>
      </c>
      <c r="G6" t="str">
        <f>L4</f>
        <v>RY1</v>
      </c>
      <c r="J6" s="33" t="s">
        <v>1428</v>
      </c>
      <c r="K6" s="687">
        <f>'[1]A1.)RatesInput'!$G$3</f>
        <v>2017</v>
      </c>
      <c r="L6" s="180"/>
    </row>
    <row r="7" spans="1:12" ht="15" outlineLevel="1" thickBot="1" x14ac:dyDescent="0.4">
      <c r="A7" s="3"/>
      <c r="B7" s="3"/>
      <c r="C7" s="3"/>
      <c r="D7" s="3"/>
      <c r="E7" s="101" t="str">
        <f>'14A.)Riders__RateDesignSummary'!D9</f>
        <v>Current</v>
      </c>
      <c r="F7" s="101" t="s">
        <v>521</v>
      </c>
      <c r="J7" s="33"/>
      <c r="L7" s="3"/>
    </row>
    <row r="8" spans="1:12" ht="15" outlineLevel="1" thickTop="1" x14ac:dyDescent="0.35">
      <c r="A8" t="s">
        <v>988</v>
      </c>
      <c r="B8" s="3"/>
      <c r="C8" s="190"/>
      <c r="D8" s="3"/>
      <c r="E8" s="177">
        <f>'14A.)Riders__RateDesignSummary'!D54</f>
        <v>5.32</v>
      </c>
      <c r="F8" s="177">
        <f>J42</f>
        <v>5.45</v>
      </c>
      <c r="L8" s="410"/>
    </row>
    <row r="9" spans="1:12" outlineLevel="1" x14ac:dyDescent="0.35">
      <c r="A9" t="s">
        <v>989</v>
      </c>
      <c r="B9" s="3"/>
      <c r="C9" s="190"/>
      <c r="D9" s="3"/>
      <c r="E9" s="169">
        <f>'14A.)Riders__RateDesignSummary'!D55</f>
        <v>11.45</v>
      </c>
      <c r="F9" s="169">
        <f>J44</f>
        <v>11.729999999999999</v>
      </c>
    </row>
    <row r="10" spans="1:12" outlineLevel="1" x14ac:dyDescent="0.35">
      <c r="A10" t="s">
        <v>990</v>
      </c>
      <c r="B10" s="3"/>
      <c r="C10" s="3"/>
      <c r="D10" s="3"/>
      <c r="E10" s="169">
        <f>'14A.)Riders__RateDesignSummary'!D56</f>
        <v>134.86000000000001</v>
      </c>
      <c r="F10" s="169">
        <f>J47</f>
        <v>138.17000000000002</v>
      </c>
    </row>
    <row r="11" spans="1:12" outlineLevel="1" x14ac:dyDescent="0.35">
      <c r="A11" t="s">
        <v>991</v>
      </c>
      <c r="B11" s="3"/>
      <c r="C11" s="3"/>
      <c r="D11" s="3"/>
      <c r="E11" s="169">
        <f>'14A.)Riders__RateDesignSummary'!D57</f>
        <v>9.27</v>
      </c>
      <c r="F11" s="169">
        <f>J48</f>
        <v>9.5</v>
      </c>
    </row>
    <row r="12" spans="1:12" ht="15" outlineLevel="1" thickBot="1" x14ac:dyDescent="0.4">
      <c r="A12" t="s">
        <v>992</v>
      </c>
      <c r="B12" s="3"/>
      <c r="C12" s="3"/>
      <c r="D12" s="3"/>
      <c r="E12" s="167">
        <f>'14A.)Riders__RateDesignSummary'!D58</f>
        <v>9.27</v>
      </c>
      <c r="F12" s="167">
        <f>J49</f>
        <v>9.5</v>
      </c>
    </row>
    <row r="13" spans="1:12" ht="15" outlineLevel="1" thickTop="1" x14ac:dyDescent="0.35">
      <c r="E13" s="3"/>
      <c r="F13" s="3"/>
      <c r="I13" s="3"/>
    </row>
    <row r="14" spans="1:12" outlineLevel="1" x14ac:dyDescent="0.35">
      <c r="B14" s="3"/>
      <c r="C14" s="3"/>
      <c r="D14" s="3"/>
      <c r="E14" s="3"/>
      <c r="F14" s="3"/>
      <c r="J14" s="33" t="s">
        <v>2035</v>
      </c>
      <c r="K14" s="1018">
        <f>'[2]6A.)RateChange'!$BF$80</f>
        <v>2.4550200000000001E-2</v>
      </c>
      <c r="L14" s="465"/>
    </row>
    <row r="15" spans="1:12" outlineLevel="1" x14ac:dyDescent="0.35">
      <c r="A15" s="3"/>
      <c r="B15" s="3"/>
      <c r="C15" s="3"/>
      <c r="D15" s="3"/>
      <c r="E15" s="3"/>
      <c r="F15" s="3"/>
      <c r="G15" s="3"/>
      <c r="H15" s="3"/>
      <c r="J15" s="367"/>
    </row>
    <row r="16" spans="1:12" outlineLevel="1" x14ac:dyDescent="0.35">
      <c r="A16" s="3"/>
      <c r="B16" s="3"/>
      <c r="C16" s="3"/>
      <c r="D16" s="3"/>
      <c r="E16" s="3"/>
      <c r="F16" s="3"/>
      <c r="G16" s="3"/>
      <c r="H16" s="3"/>
    </row>
    <row r="17" spans="1:18" outlineLevel="1" x14ac:dyDescent="0.35">
      <c r="A17" s="3"/>
      <c r="B17" s="3"/>
      <c r="C17" s="3"/>
      <c r="D17" s="3"/>
      <c r="E17" s="3"/>
      <c r="F17" s="3"/>
      <c r="G17" s="3"/>
      <c r="H17" s="3"/>
    </row>
    <row r="18" spans="1:18" outlineLevel="1" x14ac:dyDescent="0.35">
      <c r="A18" s="3"/>
      <c r="B18" s="3"/>
      <c r="C18" s="3"/>
      <c r="D18" s="3"/>
      <c r="E18" s="3"/>
      <c r="F18" s="3"/>
      <c r="G18" s="3"/>
      <c r="H18" s="3"/>
    </row>
    <row r="19" spans="1:18" outlineLevel="1" x14ac:dyDescent="0.35">
      <c r="A19" s="3"/>
      <c r="B19" s="3"/>
      <c r="C19" s="3"/>
      <c r="D19" s="3"/>
      <c r="E19" s="3"/>
      <c r="F19" s="3"/>
      <c r="G19" s="3"/>
      <c r="H19" s="3"/>
    </row>
    <row r="20" spans="1:18" hidden="1" outlineLevel="1" x14ac:dyDescent="0.35">
      <c r="A20" s="3"/>
      <c r="B20" s="3"/>
      <c r="C20" s="3"/>
      <c r="D20" s="3"/>
      <c r="E20" s="3"/>
      <c r="F20" s="3"/>
      <c r="G20" s="3"/>
    </row>
    <row r="21" spans="1:18" hidden="1" outlineLevel="1" x14ac:dyDescent="0.35">
      <c r="A21" s="3"/>
      <c r="B21" s="3"/>
      <c r="C21" s="3"/>
      <c r="D21" s="3"/>
      <c r="E21" s="3"/>
      <c r="F21" s="3"/>
      <c r="G21" s="230"/>
      <c r="H21" s="3"/>
      <c r="J21" s="367"/>
    </row>
    <row r="22" spans="1:18" hidden="1" outlineLevel="1" x14ac:dyDescent="0.35">
      <c r="A22" s="3"/>
      <c r="B22" s="3"/>
      <c r="C22" s="3"/>
      <c r="D22" s="3"/>
      <c r="E22" s="3"/>
      <c r="F22" s="3"/>
      <c r="G22" s="230"/>
      <c r="H22" s="3"/>
      <c r="J22" s="367"/>
    </row>
    <row r="23" spans="1:18" hidden="1" outlineLevel="1" x14ac:dyDescent="0.35">
      <c r="J23" s="367"/>
    </row>
    <row r="24" spans="1:18" hidden="1" outlineLevel="1" x14ac:dyDescent="0.35">
      <c r="R24" s="150"/>
    </row>
    <row r="25" spans="1:18" hidden="1" outlineLevel="1" x14ac:dyDescent="0.35"/>
    <row r="26" spans="1:18" hidden="1" outlineLevel="1" x14ac:dyDescent="0.35"/>
    <row r="27" spans="1:18" hidden="1" outlineLevel="1" x14ac:dyDescent="0.35">
      <c r="J27" s="33"/>
      <c r="L27" s="407"/>
      <c r="M27" s="407"/>
    </row>
    <row r="28" spans="1:18" outlineLevel="1" x14ac:dyDescent="0.35"/>
    <row r="29" spans="1:18" s="148" customFormat="1" outlineLevel="1" x14ac:dyDescent="0.35"/>
    <row r="30" spans="1:18" x14ac:dyDescent="0.35">
      <c r="A30" s="407" t="s">
        <v>1028</v>
      </c>
      <c r="B30" s="407"/>
      <c r="D30" s="131"/>
      <c r="E30" s="131"/>
      <c r="F30" s="131"/>
    </row>
    <row r="31" spans="1:18" x14ac:dyDescent="0.35">
      <c r="A31" s="126"/>
      <c r="B31" s="406" t="s">
        <v>968</v>
      </c>
      <c r="C31" s="567">
        <f>K6</f>
        <v>2017</v>
      </c>
      <c r="D31" s="131"/>
      <c r="E31" s="131"/>
      <c r="F31" s="131"/>
    </row>
    <row r="32" spans="1:18" x14ac:dyDescent="0.35">
      <c r="A32" s="126"/>
      <c r="B32" s="406" t="s">
        <v>296</v>
      </c>
      <c r="C32" s="567">
        <f>K3</f>
        <v>2019</v>
      </c>
      <c r="D32" s="131"/>
      <c r="E32" s="131"/>
      <c r="F32" s="131"/>
    </row>
    <row r="33" spans="1:10" x14ac:dyDescent="0.35">
      <c r="A33" s="131"/>
      <c r="B33" s="406" t="s">
        <v>999</v>
      </c>
      <c r="C33" s="567">
        <f>K4</f>
        <v>2020</v>
      </c>
      <c r="D33" t="str">
        <f>L4</f>
        <v>RY1</v>
      </c>
    </row>
    <row r="34" spans="1:10" x14ac:dyDescent="0.35">
      <c r="A34" s="131"/>
      <c r="B34" s="390"/>
      <c r="C34" s="390"/>
    </row>
    <row r="35" spans="1:10" x14ac:dyDescent="0.35">
      <c r="A35" s="131"/>
    </row>
    <row r="36" spans="1:10" x14ac:dyDescent="0.35">
      <c r="A36" s="407" t="s">
        <v>1029</v>
      </c>
      <c r="B36" s="406"/>
      <c r="C36" s="406"/>
      <c r="D36" s="406"/>
      <c r="E36" s="406"/>
      <c r="F36" s="406"/>
      <c r="G36" s="406"/>
    </row>
    <row r="37" spans="1:10" x14ac:dyDescent="0.35">
      <c r="A37" s="407" t="s">
        <v>1030</v>
      </c>
      <c r="B37" s="406"/>
      <c r="C37" s="406"/>
      <c r="D37" s="406"/>
      <c r="E37" s="406"/>
      <c r="F37" s="406"/>
      <c r="G37" s="406"/>
    </row>
    <row r="38" spans="1:10" x14ac:dyDescent="0.35">
      <c r="A38" s="126"/>
      <c r="G38" s="1020" t="s">
        <v>79</v>
      </c>
      <c r="H38" s="1020" t="s">
        <v>78</v>
      </c>
      <c r="I38" s="1020" t="s">
        <v>2021</v>
      </c>
      <c r="J38" s="1020" t="s">
        <v>2022</v>
      </c>
    </row>
    <row r="39" spans="1:10" x14ac:dyDescent="0.35">
      <c r="B39" s="131"/>
      <c r="C39" s="131"/>
      <c r="D39" s="131"/>
      <c r="G39" s="344">
        <f>C32</f>
        <v>2019</v>
      </c>
      <c r="H39" s="1025" t="s">
        <v>761</v>
      </c>
      <c r="J39" s="344">
        <f>C33</f>
        <v>2020</v>
      </c>
    </row>
    <row r="40" spans="1:10" x14ac:dyDescent="0.35">
      <c r="B40" s="41"/>
      <c r="G40" s="135" t="str">
        <f>E7</f>
        <v>Current</v>
      </c>
      <c r="H40" s="135" t="s">
        <v>1006</v>
      </c>
      <c r="I40" s="135" t="s">
        <v>702</v>
      </c>
      <c r="J40" s="135" t="s">
        <v>1007</v>
      </c>
    </row>
    <row r="41" spans="1:10" ht="15" thickBot="1" x14ac:dyDescent="0.4"/>
    <row r="42" spans="1:10" x14ac:dyDescent="0.35">
      <c r="B42" s="556" t="s">
        <v>1031</v>
      </c>
      <c r="G42" s="542">
        <f>E8</f>
        <v>5.32</v>
      </c>
      <c r="H42" s="539">
        <f>K14</f>
        <v>2.4550200000000001E-2</v>
      </c>
      <c r="I42" s="424">
        <f>ROUND(G42*H42,2)</f>
        <v>0.13</v>
      </c>
      <c r="J42" s="543">
        <f>G42+I42</f>
        <v>5.45</v>
      </c>
    </row>
    <row r="43" spans="1:10" x14ac:dyDescent="0.35">
      <c r="G43" s="542"/>
      <c r="H43" s="539"/>
      <c r="I43" s="424"/>
      <c r="J43" s="545"/>
    </row>
    <row r="44" spans="1:10" x14ac:dyDescent="0.35">
      <c r="B44" s="3" t="s">
        <v>989</v>
      </c>
      <c r="C44" s="3"/>
      <c r="D44" s="3"/>
      <c r="G44" s="270">
        <f>E9</f>
        <v>11.45</v>
      </c>
      <c r="H44" s="544">
        <f>H42</f>
        <v>2.4550200000000001E-2</v>
      </c>
      <c r="I44" s="424">
        <f t="shared" ref="I44:I49" si="0">ROUND(G44*H44,2)</f>
        <v>0.28000000000000003</v>
      </c>
      <c r="J44" s="545">
        <f t="shared" ref="J44:J49" si="1">G44+I44</f>
        <v>11.729999999999999</v>
      </c>
    </row>
    <row r="45" spans="1:10" x14ac:dyDescent="0.35">
      <c r="B45" s="3"/>
      <c r="C45" s="3"/>
      <c r="D45" s="3"/>
      <c r="G45" s="270"/>
      <c r="H45" s="544"/>
      <c r="I45" s="424"/>
      <c r="J45" s="545"/>
    </row>
    <row r="46" spans="1:10" x14ac:dyDescent="0.35">
      <c r="B46" t="s">
        <v>1032</v>
      </c>
      <c r="C46" s="3"/>
      <c r="D46" s="3"/>
      <c r="G46" s="270"/>
      <c r="H46" s="544"/>
      <c r="I46" s="424"/>
      <c r="J46" s="545"/>
    </row>
    <row r="47" spans="1:10" x14ac:dyDescent="0.35">
      <c r="B47" t="s">
        <v>1008</v>
      </c>
      <c r="G47" s="270">
        <f>E10</f>
        <v>134.86000000000001</v>
      </c>
      <c r="H47" s="546">
        <f>H42</f>
        <v>2.4550200000000001E-2</v>
      </c>
      <c r="I47" s="424">
        <f t="shared" ref="I47" si="2">ROUND(G47*H47,2)</f>
        <v>3.31</v>
      </c>
      <c r="J47" s="545">
        <f t="shared" ref="J47" si="3">G47+I47</f>
        <v>138.17000000000002</v>
      </c>
    </row>
    <row r="48" spans="1:10" x14ac:dyDescent="0.35">
      <c r="B48" t="s">
        <v>1033</v>
      </c>
      <c r="G48" s="270">
        <f>E11</f>
        <v>9.27</v>
      </c>
      <c r="H48" s="546">
        <f>H42</f>
        <v>2.4550200000000001E-2</v>
      </c>
      <c r="I48" s="424">
        <f t="shared" si="0"/>
        <v>0.23</v>
      </c>
      <c r="J48" s="545">
        <f t="shared" si="1"/>
        <v>9.5</v>
      </c>
    </row>
    <row r="49" spans="2:10" ht="15" thickBot="1" x14ac:dyDescent="0.4">
      <c r="B49" t="s">
        <v>992</v>
      </c>
      <c r="G49" s="270">
        <f>E12</f>
        <v>9.27</v>
      </c>
      <c r="H49" s="546">
        <f>H42</f>
        <v>2.4550200000000001E-2</v>
      </c>
      <c r="I49" s="424">
        <f t="shared" si="0"/>
        <v>0.23</v>
      </c>
      <c r="J49" s="547">
        <f t="shared" si="1"/>
        <v>9.5</v>
      </c>
    </row>
  </sheetData>
  <printOptions horizontalCentered="1"/>
  <pageMargins left="0.95" right="0.95" top="0.5" bottom="0.5" header="0.3" footer="0.3"/>
  <pageSetup scale="66" orientation="landscape" r:id="rId1"/>
  <headerFooter>
    <oddFooter>&amp;C&amp;F (Tab: &amp;A)&amp;RPage &amp;P / &amp;N</oddFooter>
  </headerFooter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59">
    <tabColor theme="5"/>
  </sheetPr>
  <dimension ref="A1"/>
  <sheetViews>
    <sheetView workbookViewId="0">
      <selection activeCell="F11" sqref="F11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0">
    <tabColor rgb="FF0070C0"/>
    <pageSetUpPr fitToPage="1"/>
  </sheetPr>
  <dimension ref="B1:G89"/>
  <sheetViews>
    <sheetView topLeftCell="A7" workbookViewId="0">
      <selection activeCell="E9" sqref="E9"/>
    </sheetView>
  </sheetViews>
  <sheetFormatPr defaultColWidth="8.81640625" defaultRowHeight="14.5" x14ac:dyDescent="0.35"/>
  <cols>
    <col min="1" max="1" width="3.1796875" style="3" customWidth="1"/>
    <col min="2" max="2" width="4.26953125" style="3" customWidth="1"/>
    <col min="3" max="3" width="20" style="3" customWidth="1"/>
    <col min="4" max="4" width="32.26953125" style="3" customWidth="1"/>
    <col min="5" max="7" width="17" style="3" customWidth="1"/>
    <col min="8" max="8" width="8.81640625" style="3"/>
    <col min="9" max="11" width="17.7265625" style="3" customWidth="1"/>
    <col min="12" max="12" width="14.1796875" style="3" customWidth="1"/>
    <col min="13" max="13" width="18.453125" style="3" customWidth="1"/>
    <col min="14" max="14" width="8.81640625" style="3"/>
    <col min="15" max="16" width="18" style="3" customWidth="1"/>
    <col min="17" max="16384" width="8.81640625" style="3"/>
  </cols>
  <sheetData>
    <row r="1" spans="2:6" ht="18.5" x14ac:dyDescent="0.35">
      <c r="C1" s="238" t="s">
        <v>1272</v>
      </c>
      <c r="D1" s="238"/>
    </row>
    <row r="2" spans="2:6" x14ac:dyDescent="0.35">
      <c r="C2" s="372" t="str">
        <f>CONCATENATE('12B.)TODL_RateDesign_SC5_II'!$D$3," $",'12B.)TODL_RateDesign_SC5_II'!$G$3/1000000,"M")</f>
        <v>Proposed Rate Change: $113.251M</v>
      </c>
      <c r="D2"/>
      <c r="E2"/>
    </row>
    <row r="3" spans="2:6" x14ac:dyDescent="0.35">
      <c r="C3" t="s">
        <v>968</v>
      </c>
      <c r="D3" s="916">
        <f>'[1]A1.)RatesInput'!$G$3</f>
        <v>2017</v>
      </c>
      <c r="E3"/>
    </row>
    <row r="4" spans="2:6" x14ac:dyDescent="0.35">
      <c r="C4" t="s">
        <v>1164</v>
      </c>
      <c r="D4" s="916">
        <f>'[1]A1.)RatesInput'!$G$4</f>
        <v>2019</v>
      </c>
      <c r="E4"/>
    </row>
    <row r="5" spans="2:6" x14ac:dyDescent="0.35">
      <c r="C5" t="s">
        <v>969</v>
      </c>
      <c r="D5" s="916">
        <f>'[1]A1.)RatesInput'!$I$3</f>
        <v>2020</v>
      </c>
      <c r="E5" s="1" t="str">
        <f>'[1]A1.)RatesInput'!$I$2</f>
        <v>RY1</v>
      </c>
    </row>
    <row r="8" spans="2:6" ht="18.5" x14ac:dyDescent="0.35">
      <c r="C8" s="238"/>
      <c r="D8" s="298"/>
    </row>
    <row r="9" spans="2:6" ht="15" thickBot="1" x14ac:dyDescent="0.4">
      <c r="D9" s="33" t="s">
        <v>2174</v>
      </c>
      <c r="E9" s="1079">
        <f>'[1]A1.)RatesInput'!$P$98</f>
        <v>0</v>
      </c>
      <c r="F9" s="190"/>
    </row>
    <row r="10" spans="2:6" ht="15" thickBot="1" x14ac:dyDescent="0.4">
      <c r="B10" s="75" t="s">
        <v>533</v>
      </c>
      <c r="C10" s="444" t="s">
        <v>148</v>
      </c>
      <c r="D10" s="190" t="s">
        <v>1296</v>
      </c>
      <c r="E10" s="1067" t="s">
        <v>2149</v>
      </c>
      <c r="F10" s="302" t="str">
        <f>CONCATENATE("Shift of ",E9*100,"%")</f>
        <v>Shift of 0%</v>
      </c>
    </row>
    <row r="11" spans="2:6" ht="15" thickBot="1" x14ac:dyDescent="0.4">
      <c r="E11" s="101" t="s">
        <v>1307</v>
      </c>
      <c r="F11" s="101" t="s">
        <v>330</v>
      </c>
    </row>
    <row r="12" spans="2:6" ht="15" thickTop="1" x14ac:dyDescent="0.35">
      <c r="C12" s="3" t="s">
        <v>318</v>
      </c>
      <c r="E12" s="177">
        <f>IF(ISNUMBER(VLOOKUP($C12,'[1]A1.)RatesInput'!$B$102:$L$190,HLOOKUP(E$10,'[1]A1.)RatesInput'!$D$102:$L$104,3,0),0)),VLOOKUP($C12,'[1]A1.)RatesInput'!$B$102:$L$190,HLOOKUP(E$10,'[1]A1.)RatesInput'!$D$102:$L$104,3,0),0),0)</f>
        <v>3.7900000000000003E-2</v>
      </c>
      <c r="F12" s="578">
        <f>'15B.)MD Shift_RedgnRate_SC5 I '!H8</f>
        <v>3.7900000000000003E-2</v>
      </c>
    </row>
    <row r="13" spans="2:6" x14ac:dyDescent="0.35">
      <c r="C13" s="3" t="s">
        <v>319</v>
      </c>
      <c r="E13" s="169">
        <f>IF(ISNUMBER(VLOOKUP($C13,'[1]A1.)RatesInput'!$B$102:$L$190,HLOOKUP(E$10,'[1]A1.)RatesInput'!$D$102:$L$104,3,0),0)),VLOOKUP($C13,'[1]A1.)RatesInput'!$B$102:$L$190,HLOOKUP(E$10,'[1]A1.)RatesInput'!$D$102:$L$104,3,0),0),0)</f>
        <v>3.7900000000000003E-2</v>
      </c>
      <c r="F13" s="579">
        <f>'15B.)MD Shift_RedgnRate_SC5 I '!H9</f>
        <v>3.7900000000000003E-2</v>
      </c>
    </row>
    <row r="14" spans="2:6" x14ac:dyDescent="0.35">
      <c r="C14" s="3" t="s">
        <v>320</v>
      </c>
      <c r="E14" s="169">
        <f>IF(ISNUMBER(VLOOKUP($C14,'[1]A1.)RatesInput'!$B$102:$L$190,HLOOKUP(E$10,'[1]A1.)RatesInput'!$D$102:$L$104,3,0),0)),VLOOKUP($C14,'[1]A1.)RatesInput'!$B$102:$L$190,HLOOKUP(E$10,'[1]A1.)RatesInput'!$D$102:$L$104,3,0),0),0)</f>
        <v>178.73</v>
      </c>
      <c r="F14" s="579">
        <f>'15B.)MD Shift_RedgnRate_SC5 I '!H10</f>
        <v>178.73</v>
      </c>
    </row>
    <row r="15" spans="2:6" x14ac:dyDescent="0.35">
      <c r="C15" s="3" t="s">
        <v>321</v>
      </c>
      <c r="E15" s="169">
        <f>IF(ISNUMBER(VLOOKUP($C15,'[1]A1.)RatesInput'!$B$102:$L$190,HLOOKUP(E$10,'[1]A1.)RatesInput'!$D$102:$L$104,3,0),0)),VLOOKUP($C15,'[1]A1.)RatesInput'!$B$102:$L$190,HLOOKUP(E$10,'[1]A1.)RatesInput'!$D$102:$L$104,3,0),0),0)</f>
        <v>31.369999999999997</v>
      </c>
      <c r="F15" s="579">
        <f>'15B.)MD Shift_RedgnRate_SC5 I '!H11</f>
        <v>31.369999999999997</v>
      </c>
    </row>
    <row r="16" spans="2:6" x14ac:dyDescent="0.35">
      <c r="C16" s="3" t="s">
        <v>322</v>
      </c>
      <c r="E16" s="169">
        <f>IF(ISNUMBER(VLOOKUP($C16,'[1]A1.)RatesInput'!$B$102:$L$190,HLOOKUP(E$10,'[1]A1.)RatesInput'!$D$102:$L$104,3,0),0)),VLOOKUP($C16,'[1]A1.)RatesInput'!$B$102:$L$190,HLOOKUP(E$10,'[1]A1.)RatesInput'!$D$102:$L$104,3,0),0),0)</f>
        <v>114.67</v>
      </c>
      <c r="F16" s="579">
        <f>'15B.)MD Shift_RedgnRate_SC5 I '!H12</f>
        <v>114.67</v>
      </c>
    </row>
    <row r="17" spans="2:7" x14ac:dyDescent="0.35">
      <c r="C17" s="3" t="s">
        <v>323</v>
      </c>
      <c r="E17" s="169">
        <f>IF(ISNUMBER(VLOOKUP($C17,'[1]A1.)RatesInput'!$B$102:$L$190,HLOOKUP(E$10,'[1]A1.)RatesInput'!$D$102:$L$104,3,0),0)),VLOOKUP($C17,'[1]A1.)RatesInput'!$B$102:$L$190,HLOOKUP(E$10,'[1]A1.)RatesInput'!$D$102:$L$104,3,0),0),0)</f>
        <v>19.97</v>
      </c>
      <c r="F17" s="579">
        <f>'15B.)MD Shift_RedgnRate_SC5 I '!H13</f>
        <v>19.97</v>
      </c>
    </row>
    <row r="18" spans="2:7" x14ac:dyDescent="0.35">
      <c r="C18" s="3" t="s">
        <v>324</v>
      </c>
      <c r="E18" s="169">
        <f>IF(ISNUMBER(VLOOKUP($C18,'[1]A1.)RatesInput'!$B$102:$L$190,HLOOKUP(E$10,'[1]A1.)RatesInput'!$D$102:$L$104,3,0),0)),VLOOKUP($C18,'[1]A1.)RatesInput'!$B$102:$L$190,HLOOKUP(E$10,'[1]A1.)RatesInput'!$D$102:$L$104,3,0),0),0)</f>
        <v>3.7900000000000003E-2</v>
      </c>
      <c r="F18" s="579">
        <f>'15B.)MD Shift_RedgnRate_SC5 I '!H14</f>
        <v>3.7900000000000003E-2</v>
      </c>
    </row>
    <row r="19" spans="2:7" x14ac:dyDescent="0.35">
      <c r="C19" s="3" t="s">
        <v>325</v>
      </c>
      <c r="E19" s="169">
        <f>IF(ISNUMBER(VLOOKUP($C19,'[1]A1.)RatesInput'!$B$102:$L$190,HLOOKUP(E$10,'[1]A1.)RatesInput'!$D$102:$L$104,3,0),0)),VLOOKUP($C19,'[1]A1.)RatesInput'!$B$102:$L$190,HLOOKUP(E$10,'[1]A1.)RatesInput'!$D$102:$L$104,3,0),0),0)</f>
        <v>3.7900000000000003E-2</v>
      </c>
      <c r="F19" s="579">
        <f>'15B.)MD Shift_RedgnRate_SC5 I '!H15</f>
        <v>3.7900000000000003E-2</v>
      </c>
    </row>
    <row r="20" spans="2:7" x14ac:dyDescent="0.35">
      <c r="C20" s="3" t="s">
        <v>326</v>
      </c>
      <c r="E20" s="169">
        <f>IF(ISNUMBER(VLOOKUP($C20,'[1]A1.)RatesInput'!$B$102:$L$190,HLOOKUP(E$10,'[1]A1.)RatesInput'!$D$102:$L$104,3,0),0)),VLOOKUP($C20,'[1]A1.)RatesInput'!$B$102:$L$190,HLOOKUP(E$10,'[1]A1.)RatesInput'!$D$102:$L$104,3,0),0),0)</f>
        <v>136.30000000000001</v>
      </c>
      <c r="F20" s="579">
        <f>'15B.)MD Shift_RedgnRate_SC5 I '!H16</f>
        <v>136.30000000000001</v>
      </c>
    </row>
    <row r="21" spans="2:7" x14ac:dyDescent="0.35">
      <c r="C21" s="3" t="s">
        <v>327</v>
      </c>
      <c r="E21" s="169">
        <f>IF(ISNUMBER(VLOOKUP($C21,'[1]A1.)RatesInput'!$B$102:$L$190,HLOOKUP(E$10,'[1]A1.)RatesInput'!$D$102:$L$104,3,0),0)),VLOOKUP($C21,'[1]A1.)RatesInput'!$B$102:$L$190,HLOOKUP(E$10,'[1]A1.)RatesInput'!$D$102:$L$104,3,0),0),0)</f>
        <v>23.81</v>
      </c>
      <c r="F21" s="579">
        <f>'15B.)MD Shift_RedgnRate_SC5 I '!H17</f>
        <v>23.81</v>
      </c>
    </row>
    <row r="22" spans="2:7" x14ac:dyDescent="0.35">
      <c r="C22" s="3" t="s">
        <v>328</v>
      </c>
      <c r="E22" s="169">
        <f>IF(ISNUMBER(VLOOKUP($C22,'[1]A1.)RatesInput'!$B$102:$L$190,HLOOKUP(E$10,'[1]A1.)RatesInput'!$D$102:$L$104,3,0),0)),VLOOKUP($C22,'[1]A1.)RatesInput'!$B$102:$L$190,HLOOKUP(E$10,'[1]A1.)RatesInput'!$D$102:$L$104,3,0),0),0)</f>
        <v>72.23</v>
      </c>
      <c r="F22" s="579">
        <f>'15B.)MD Shift_RedgnRate_SC5 I '!H18</f>
        <v>72.23</v>
      </c>
    </row>
    <row r="23" spans="2:7" ht="15" thickBot="1" x14ac:dyDescent="0.4">
      <c r="C23" s="3" t="s">
        <v>329</v>
      </c>
      <c r="E23" s="167">
        <f>IF(ISNUMBER(VLOOKUP($C23,'[1]A1.)RatesInput'!$B$102:$L$190,HLOOKUP(E$10,'[1]A1.)RatesInput'!$D$102:$L$104,3,0),0)),VLOOKUP($C23,'[1]A1.)RatesInput'!$B$102:$L$190,HLOOKUP(E$10,'[1]A1.)RatesInput'!$D$102:$L$104,3,0),0),0)</f>
        <v>12.41</v>
      </c>
      <c r="F23" s="580">
        <f>'15B.)MD Shift_RedgnRate_SC5 I '!H19</f>
        <v>12.41</v>
      </c>
    </row>
    <row r="24" spans="2:7" ht="15" thickTop="1" x14ac:dyDescent="0.35"/>
    <row r="25" spans="2:7" x14ac:dyDescent="0.35">
      <c r="C25" s="3" t="s">
        <v>759</v>
      </c>
      <c r="F25" s="103">
        <f>'15B.)MD Shift_RedgnRate_SC5 I '!M240</f>
        <v>68280</v>
      </c>
    </row>
    <row r="26" spans="2:7" ht="15" thickBot="1" x14ac:dyDescent="0.4"/>
    <row r="27" spans="2:7" ht="15.5" thickTop="1" thickBot="1" x14ac:dyDescent="0.4">
      <c r="C27" s="3" t="s">
        <v>752</v>
      </c>
      <c r="E27" s="427">
        <f>'15B.)MD Shift_RedgnRate_SC5 I '!M245</f>
        <v>68283</v>
      </c>
      <c r="F27" s="576">
        <f>F25</f>
        <v>68280</v>
      </c>
      <c r="G27" s="193">
        <f>F27/E27-1</f>
        <v>-4.3934800755707215E-5</v>
      </c>
    </row>
    <row r="28" spans="2:7" ht="15" thickTop="1" x14ac:dyDescent="0.35"/>
    <row r="30" spans="2:7" ht="15" thickBot="1" x14ac:dyDescent="0.4">
      <c r="E30" s="302"/>
    </row>
    <row r="31" spans="2:7" ht="15" thickBot="1" x14ac:dyDescent="0.4">
      <c r="B31" s="75" t="s">
        <v>532</v>
      </c>
      <c r="C31" s="444" t="s">
        <v>151</v>
      </c>
      <c r="D31" s="190" t="s">
        <v>1297</v>
      </c>
      <c r="E31" s="302" t="str">
        <f>$E$10</f>
        <v>Current(RY1)</v>
      </c>
      <c r="F31" s="302" t="str">
        <f>$F$10</f>
        <v>Shift of 0%</v>
      </c>
    </row>
    <row r="32" spans="2:7" ht="15" thickBot="1" x14ac:dyDescent="0.4">
      <c r="E32" s="101" t="str">
        <f>$E$11</f>
        <v>Current (H/L Shift)</v>
      </c>
      <c r="F32" s="101" t="s">
        <v>330</v>
      </c>
    </row>
    <row r="33" spans="3:7" ht="15" thickTop="1" x14ac:dyDescent="0.35">
      <c r="C33" s="3" t="s">
        <v>331</v>
      </c>
      <c r="E33" s="177">
        <f>IF(ISNUMBER(VLOOKUP($C33,'[1]A1.)RatesInput'!$B$102:$L$190,HLOOKUP(E$31,'[1]A1.)RatesInput'!$D$102:$L$104,3,0),0)),VLOOKUP($C33,'[1]A1.)RatesInput'!$B$102:$L$190,HLOOKUP(E$31,'[1]A1.)RatesInput'!$D$102:$L$104,3,0),0),0)</f>
        <v>1.67E-2</v>
      </c>
      <c r="F33" s="578">
        <f>'15C.)MD Shift_RedgnRate_SC8 I '!H8</f>
        <v>1.67E-2</v>
      </c>
    </row>
    <row r="34" spans="3:7" x14ac:dyDescent="0.35">
      <c r="C34" s="3" t="s">
        <v>332</v>
      </c>
      <c r="E34" s="169">
        <f>IF(ISNUMBER(VLOOKUP($C34,'[1]A1.)RatesInput'!$B$102:$L$190,HLOOKUP(E$31,'[1]A1.)RatesInput'!$D$102:$L$104,3,0),0)),VLOOKUP($C34,'[1]A1.)RatesInput'!$B$102:$L$190,HLOOKUP(E$31,'[1]A1.)RatesInput'!$D$102:$L$104,3,0),0),0)</f>
        <v>1.67E-2</v>
      </c>
      <c r="F34" s="579">
        <f>'15C.)MD Shift_RedgnRate_SC8 I '!H9</f>
        <v>1.67E-2</v>
      </c>
    </row>
    <row r="35" spans="3:7" x14ac:dyDescent="0.35">
      <c r="C35" s="3" t="s">
        <v>333</v>
      </c>
      <c r="E35" s="169">
        <f>IF(ISNUMBER(VLOOKUP($C35,'[1]A1.)RatesInput'!$B$102:$L$190,HLOOKUP(E$31,'[1]A1.)RatesInput'!$D$102:$L$104,3,0),0)),VLOOKUP($C35,'[1]A1.)RatesInput'!$B$102:$L$190,HLOOKUP(E$31,'[1]A1.)RatesInput'!$D$102:$L$104,3,0),0),0)</f>
        <v>380.53</v>
      </c>
      <c r="F35" s="579">
        <f>'15C.)MD Shift_RedgnRate_SC8 I '!H10</f>
        <v>380.53</v>
      </c>
    </row>
    <row r="36" spans="3:7" x14ac:dyDescent="0.35">
      <c r="C36" s="3" t="s">
        <v>334</v>
      </c>
      <c r="E36" s="169">
        <f>IF(ISNUMBER(VLOOKUP($C36,'[1]A1.)RatesInput'!$B$102:$L$190,HLOOKUP(E$31,'[1]A1.)RatesInput'!$D$102:$L$104,3,0),0)),VLOOKUP($C36,'[1]A1.)RatesInput'!$B$102:$L$190,HLOOKUP(E$31,'[1]A1.)RatesInput'!$D$102:$L$104,3,0),0),0)</f>
        <v>34.32</v>
      </c>
      <c r="F36" s="579">
        <f>'15C.)MD Shift_RedgnRate_SC8 I '!H11</f>
        <v>34.32</v>
      </c>
    </row>
    <row r="37" spans="3:7" x14ac:dyDescent="0.35">
      <c r="C37" s="3" t="s">
        <v>335</v>
      </c>
      <c r="E37" s="169">
        <f>IF(ISNUMBER(VLOOKUP($C37,'[1]A1.)RatesInput'!$B$102:$L$190,HLOOKUP(E$31,'[1]A1.)RatesInput'!$D$102:$L$104,3,0),0)),VLOOKUP($C37,'[1]A1.)RatesInput'!$B$102:$L$190,HLOOKUP(E$31,'[1]A1.)RatesInput'!$D$102:$L$104,3,0),0),0)</f>
        <v>294.16000000000003</v>
      </c>
      <c r="F37" s="579">
        <f>'15C.)MD Shift_RedgnRate_SC8 I '!H12</f>
        <v>294.16000000000003</v>
      </c>
    </row>
    <row r="38" spans="3:7" x14ac:dyDescent="0.35">
      <c r="C38" s="3" t="s">
        <v>336</v>
      </c>
      <c r="E38" s="169">
        <f>IF(ISNUMBER(VLOOKUP($C38,'[1]A1.)RatesInput'!$B$102:$L$190,HLOOKUP(E$31,'[1]A1.)RatesInput'!$D$102:$L$104,3,0),0)),VLOOKUP($C38,'[1]A1.)RatesInput'!$B$102:$L$190,HLOOKUP(E$31,'[1]A1.)RatesInput'!$D$102:$L$104,3,0),0),0)</f>
        <v>26.51</v>
      </c>
      <c r="F38" s="579">
        <f>'15C.)MD Shift_RedgnRate_SC8 I '!H13</f>
        <v>26.51</v>
      </c>
    </row>
    <row r="39" spans="3:7" x14ac:dyDescent="0.35">
      <c r="C39" s="3" t="s">
        <v>337</v>
      </c>
      <c r="E39" s="169">
        <f>IF(ISNUMBER(VLOOKUP($C39,'[1]A1.)RatesInput'!$B$102:$L$190,HLOOKUP(E$31,'[1]A1.)RatesInput'!$D$102:$L$104,3,0),0)),VLOOKUP($C39,'[1]A1.)RatesInput'!$B$102:$L$190,HLOOKUP(E$31,'[1]A1.)RatesInput'!$D$102:$L$104,3,0),0),0)</f>
        <v>1.67E-2</v>
      </c>
      <c r="F39" s="579">
        <f>'15C.)MD Shift_RedgnRate_SC8 I '!H14</f>
        <v>1.67E-2</v>
      </c>
    </row>
    <row r="40" spans="3:7" x14ac:dyDescent="0.35">
      <c r="C40" s="3" t="s">
        <v>338</v>
      </c>
      <c r="E40" s="169">
        <f>IF(ISNUMBER(VLOOKUP($C40,'[1]A1.)RatesInput'!$B$102:$L$190,HLOOKUP(E$31,'[1]A1.)RatesInput'!$D$102:$L$104,3,0),0)),VLOOKUP($C40,'[1]A1.)RatesInput'!$B$102:$L$190,HLOOKUP(E$31,'[1]A1.)RatesInput'!$D$102:$L$104,3,0),0),0)</f>
        <v>1.67E-2</v>
      </c>
      <c r="F40" s="579">
        <f>'15C.)MD Shift_RedgnRate_SC8 I '!H15</f>
        <v>1.67E-2</v>
      </c>
    </row>
    <row r="41" spans="3:7" x14ac:dyDescent="0.35">
      <c r="C41" s="3" t="s">
        <v>339</v>
      </c>
      <c r="E41" s="169">
        <f>IF(ISNUMBER(VLOOKUP($C41,'[1]A1.)RatesInput'!$B$102:$L$190,HLOOKUP(E$31,'[1]A1.)RatesInput'!$D$102:$L$104,3,0),0)),VLOOKUP($C41,'[1]A1.)RatesInput'!$B$102:$L$190,HLOOKUP(E$31,'[1]A1.)RatesInput'!$D$102:$L$104,3,0),0),0)</f>
        <v>273.87</v>
      </c>
      <c r="F41" s="579">
        <f>'15C.)MD Shift_RedgnRate_SC8 I '!H16</f>
        <v>273.87</v>
      </c>
    </row>
    <row r="42" spans="3:7" x14ac:dyDescent="0.35">
      <c r="C42" s="3" t="s">
        <v>340</v>
      </c>
      <c r="E42" s="169">
        <f>IF(ISNUMBER(VLOOKUP($C42,'[1]A1.)RatesInput'!$B$102:$L$190,HLOOKUP(E$31,'[1]A1.)RatesInput'!$D$102:$L$104,3,0),0)),VLOOKUP($C42,'[1]A1.)RatesInput'!$B$102:$L$190,HLOOKUP(E$31,'[1]A1.)RatesInput'!$D$102:$L$104,3,0),0),0)</f>
        <v>24.69</v>
      </c>
      <c r="F42" s="579">
        <f>'15C.)MD Shift_RedgnRate_SC8 I '!H17</f>
        <v>24.69</v>
      </c>
    </row>
    <row r="43" spans="3:7" x14ac:dyDescent="0.35">
      <c r="C43" s="3" t="s">
        <v>341</v>
      </c>
      <c r="E43" s="169">
        <f>IF(ISNUMBER(VLOOKUP($C43,'[1]A1.)RatesInput'!$B$102:$L$190,HLOOKUP(E$31,'[1]A1.)RatesInput'!$D$102:$L$104,3,0),0)),VLOOKUP($C43,'[1]A1.)RatesInput'!$B$102:$L$190,HLOOKUP(E$31,'[1]A1.)RatesInput'!$D$102:$L$104,3,0),0),0)</f>
        <v>187.5</v>
      </c>
      <c r="F43" s="579">
        <f>'15C.)MD Shift_RedgnRate_SC8 I '!H18</f>
        <v>187.5</v>
      </c>
    </row>
    <row r="44" spans="3:7" ht="15" thickBot="1" x14ac:dyDescent="0.4">
      <c r="C44" s="3" t="s">
        <v>342</v>
      </c>
      <c r="E44" s="167">
        <f>IF(ISNUMBER(VLOOKUP($C44,'[1]A1.)RatesInput'!$B$102:$L$190,HLOOKUP(E$31,'[1]A1.)RatesInput'!$D$102:$L$104,3,0),0)),VLOOKUP($C44,'[1]A1.)RatesInput'!$B$102:$L$190,HLOOKUP(E$31,'[1]A1.)RatesInput'!$D$102:$L$104,3,0),0),0)</f>
        <v>16.860000000000003</v>
      </c>
      <c r="F44" s="580">
        <f>'15C.)MD Shift_RedgnRate_SC8 I '!H19</f>
        <v>16.86</v>
      </c>
    </row>
    <row r="45" spans="3:7" ht="15" thickTop="1" x14ac:dyDescent="0.35"/>
    <row r="46" spans="3:7" x14ac:dyDescent="0.35">
      <c r="C46" s="3" t="s">
        <v>759</v>
      </c>
      <c r="F46" s="103">
        <f>'15C.)MD Shift_RedgnRate_SC8 I '!M240</f>
        <v>134411549</v>
      </c>
    </row>
    <row r="47" spans="3:7" ht="15" thickBot="1" x14ac:dyDescent="0.4"/>
    <row r="48" spans="3:7" ht="15.5" thickTop="1" thickBot="1" x14ac:dyDescent="0.4">
      <c r="C48" s="3" t="s">
        <v>752</v>
      </c>
      <c r="E48" s="427">
        <f>'15C.)MD Shift_RedgnRate_SC8 I '!M245</f>
        <v>134447658</v>
      </c>
      <c r="F48" s="576">
        <f>F46</f>
        <v>134411549</v>
      </c>
      <c r="G48" s="193">
        <f>F48/E48-1</f>
        <v>-2.6857291928428229E-4</v>
      </c>
    </row>
    <row r="49" spans="2:6" ht="15" thickTop="1" x14ac:dyDescent="0.35"/>
    <row r="50" spans="2:6" ht="15" thickBot="1" x14ac:dyDescent="0.4">
      <c r="E50" s="302"/>
    </row>
    <row r="51" spans="2:6" ht="15" thickBot="1" x14ac:dyDescent="0.4">
      <c r="B51" s="75" t="s">
        <v>531</v>
      </c>
      <c r="C51" s="444" t="s">
        <v>149</v>
      </c>
      <c r="D51" s="190" t="s">
        <v>760</v>
      </c>
      <c r="E51" s="302" t="str">
        <f>$E$10</f>
        <v>Current(RY1)</v>
      </c>
      <c r="F51" s="302" t="str">
        <f>$F$10</f>
        <v>Shift of 0%</v>
      </c>
    </row>
    <row r="52" spans="2:6" ht="15" thickBot="1" x14ac:dyDescent="0.4">
      <c r="E52" s="101" t="str">
        <f>$E$11</f>
        <v>Current (H/L Shift)</v>
      </c>
      <c r="F52" s="101" t="s">
        <v>330</v>
      </c>
    </row>
    <row r="53" spans="2:6" ht="15" thickTop="1" x14ac:dyDescent="0.35">
      <c r="C53" s="3" t="s">
        <v>343</v>
      </c>
      <c r="E53" s="177">
        <f>IF(ISNUMBER(VLOOKUP($C53,'[1]A1.)RatesInput'!$B$102:$L$190,HLOOKUP(E$51,'[1]A1.)RatesInput'!$D$102:$L$104,3,0),0)),VLOOKUP($C53,'[1]A1.)RatesInput'!$B$102:$L$190,HLOOKUP(E$51,'[1]A1.)RatesInput'!$D$102:$L$104,3,0),0),0)</f>
        <v>2.1000000000000001E-2</v>
      </c>
      <c r="F53" s="578">
        <f>'15D.)MD Shift_RedgnRate_SC9 I '!H8</f>
        <v>2.1000000000000001E-2</v>
      </c>
    </row>
    <row r="54" spans="2:6" x14ac:dyDescent="0.35">
      <c r="C54" s="3" t="s">
        <v>344</v>
      </c>
      <c r="E54" s="169">
        <f>IF(ISNUMBER(VLOOKUP($C54,'[1]A1.)RatesInput'!$B$102:$L$190,HLOOKUP(E$51,'[1]A1.)RatesInput'!$D$102:$L$104,3,0),0)),VLOOKUP($C54,'[1]A1.)RatesInput'!$B$102:$L$190,HLOOKUP(E$51,'[1]A1.)RatesInput'!$D$102:$L$104,3,0),0),0)</f>
        <v>2.1000000000000001E-2</v>
      </c>
      <c r="F54" s="579">
        <f>'15D.)MD Shift_RedgnRate_SC9 I '!H9</f>
        <v>2.1000000000000001E-2</v>
      </c>
    </row>
    <row r="55" spans="2:6" x14ac:dyDescent="0.35">
      <c r="C55" s="3" t="s">
        <v>345</v>
      </c>
      <c r="E55" s="169">
        <f>IF(ISNUMBER(VLOOKUP($C55,'[1]A1.)RatesInput'!$B$102:$L$190,HLOOKUP(E$51,'[1]A1.)RatesInput'!$D$102:$L$104,3,0),0)),VLOOKUP($C55,'[1]A1.)RatesInput'!$B$102:$L$190,HLOOKUP(E$51,'[1]A1.)RatesInput'!$D$102:$L$104,3,0),0),0)</f>
        <v>176.77</v>
      </c>
      <c r="F55" s="579">
        <f>'15D.)MD Shift_RedgnRate_SC9 I '!H10</f>
        <v>176.77</v>
      </c>
    </row>
    <row r="56" spans="2:6" x14ac:dyDescent="0.35">
      <c r="C56" s="3" t="s">
        <v>346</v>
      </c>
      <c r="E56" s="169">
        <f>IF(ISNUMBER(VLOOKUP($C56,'[1]A1.)RatesInput'!$B$102:$L$190,HLOOKUP(E$51,'[1]A1.)RatesInput'!$D$102:$L$104,3,0),0)),VLOOKUP($C56,'[1]A1.)RatesInput'!$B$102:$L$190,HLOOKUP(E$51,'[1]A1.)RatesInput'!$D$102:$L$104,3,0),0),0)</f>
        <v>25.83</v>
      </c>
      <c r="F56" s="579">
        <f>'15D.)MD Shift_RedgnRate_SC9 I '!H11</f>
        <v>25.83</v>
      </c>
    </row>
    <row r="57" spans="2:6" x14ac:dyDescent="0.35">
      <c r="C57" s="3" t="s">
        <v>347</v>
      </c>
      <c r="E57" s="169">
        <f>IF(ISNUMBER(VLOOKUP($C57,'[1]A1.)RatesInput'!$B$102:$L$190,HLOOKUP(E$51,'[1]A1.)RatesInput'!$D$102:$L$104,3,0),0)),VLOOKUP($C57,'[1]A1.)RatesInput'!$B$102:$L$190,HLOOKUP(E$51,'[1]A1.)RatesInput'!$D$102:$L$104,3,0),0),0)</f>
        <v>141.21</v>
      </c>
      <c r="F57" s="579">
        <f>'15D.)MD Shift_RedgnRate_SC9 I '!H12</f>
        <v>141.21</v>
      </c>
    </row>
    <row r="58" spans="2:6" x14ac:dyDescent="0.35">
      <c r="C58" s="3" t="s">
        <v>348</v>
      </c>
      <c r="E58" s="169">
        <f>IF(ISNUMBER(VLOOKUP($C58,'[1]A1.)RatesInput'!$B$102:$L$190,HLOOKUP(E$51,'[1]A1.)RatesInput'!$D$102:$L$104,3,0),0)),VLOOKUP($C58,'[1]A1.)RatesInput'!$B$102:$L$190,HLOOKUP(E$51,'[1]A1.)RatesInput'!$D$102:$L$104,3,0),0),0)</f>
        <v>20.399999999999999</v>
      </c>
      <c r="F58" s="579">
        <f>'15D.)MD Shift_RedgnRate_SC9 I '!H13</f>
        <v>20.399999999999999</v>
      </c>
    </row>
    <row r="59" spans="2:6" x14ac:dyDescent="0.35">
      <c r="C59" s="3" t="s">
        <v>349</v>
      </c>
      <c r="E59" s="169">
        <f>IF(ISNUMBER(VLOOKUP($C59,'[1]A1.)RatesInput'!$B$102:$L$190,HLOOKUP(E$51,'[1]A1.)RatesInput'!$D$102:$L$104,3,0),0)),VLOOKUP($C59,'[1]A1.)RatesInput'!$B$102:$L$190,HLOOKUP(E$51,'[1]A1.)RatesInput'!$D$102:$L$104,3,0),0),0)</f>
        <v>1.95E-2</v>
      </c>
      <c r="F59" s="579">
        <f>'15D.)MD Shift_RedgnRate_SC9 I '!H14</f>
        <v>1.95E-2</v>
      </c>
    </row>
    <row r="60" spans="2:6" x14ac:dyDescent="0.35">
      <c r="C60" s="3" t="s">
        <v>350</v>
      </c>
      <c r="E60" s="169">
        <f>IF(ISNUMBER(VLOOKUP($C60,'[1]A1.)RatesInput'!$B$102:$L$190,HLOOKUP(E$51,'[1]A1.)RatesInput'!$D$102:$L$104,3,0),0)),VLOOKUP($C60,'[1]A1.)RatesInput'!$B$102:$L$190,HLOOKUP(E$51,'[1]A1.)RatesInput'!$D$102:$L$104,3,0),0),0)</f>
        <v>1.95E-2</v>
      </c>
      <c r="F60" s="579">
        <f>'15D.)MD Shift_RedgnRate_SC9 I '!H15</f>
        <v>1.95E-2</v>
      </c>
    </row>
    <row r="61" spans="2:6" x14ac:dyDescent="0.35">
      <c r="C61" s="3" t="s">
        <v>351</v>
      </c>
      <c r="E61" s="169">
        <f>IF(ISNUMBER(VLOOKUP($C61,'[1]A1.)RatesInput'!$B$102:$L$190,HLOOKUP(E$51,'[1]A1.)RatesInput'!$D$102:$L$104,3,0),0)),VLOOKUP($C61,'[1]A1.)RatesInput'!$B$102:$L$190,HLOOKUP(E$51,'[1]A1.)RatesInput'!$D$102:$L$104,3,0),0),0)</f>
        <v>122.81</v>
      </c>
      <c r="F61" s="579">
        <f>'15D.)MD Shift_RedgnRate_SC9 I '!H16</f>
        <v>122.81</v>
      </c>
    </row>
    <row r="62" spans="2:6" x14ac:dyDescent="0.35">
      <c r="C62" s="3" t="s">
        <v>352</v>
      </c>
      <c r="E62" s="169">
        <f>IF(ISNUMBER(VLOOKUP($C62,'[1]A1.)RatesInput'!$B$102:$L$190,HLOOKUP(E$51,'[1]A1.)RatesInput'!$D$102:$L$104,3,0),0)),VLOOKUP($C62,'[1]A1.)RatesInput'!$B$102:$L$190,HLOOKUP(E$51,'[1]A1.)RatesInput'!$D$102:$L$104,3,0),0),0)</f>
        <v>18.03</v>
      </c>
      <c r="F62" s="579">
        <f>'15D.)MD Shift_RedgnRate_SC9 I '!H17</f>
        <v>18.029999999999998</v>
      </c>
    </row>
    <row r="63" spans="2:6" x14ac:dyDescent="0.35">
      <c r="C63" s="3" t="s">
        <v>353</v>
      </c>
      <c r="E63" s="169">
        <f>IF(ISNUMBER(VLOOKUP($C63,'[1]A1.)RatesInput'!$B$102:$L$190,HLOOKUP(E$51,'[1]A1.)RatesInput'!$D$102:$L$104,3,0),0)),VLOOKUP($C63,'[1]A1.)RatesInput'!$B$102:$L$190,HLOOKUP(E$51,'[1]A1.)RatesInput'!$D$102:$L$104,3,0),0),0)</f>
        <v>87.300000000000011</v>
      </c>
      <c r="F63" s="579">
        <f>'15D.)MD Shift_RedgnRate_SC9 I '!H18</f>
        <v>87.3</v>
      </c>
    </row>
    <row r="64" spans="2:6" ht="15" thickBot="1" x14ac:dyDescent="0.4">
      <c r="C64" s="3" t="s">
        <v>354</v>
      </c>
      <c r="E64" s="167">
        <f>IF(ISNUMBER(VLOOKUP($C64,'[1]A1.)RatesInput'!$B$102:$L$190,HLOOKUP(E$51,'[1]A1.)RatesInput'!$D$102:$L$104,3,0),0)),VLOOKUP($C64,'[1]A1.)RatesInput'!$B$102:$L$190,HLOOKUP(E$51,'[1]A1.)RatesInput'!$D$102:$L$104,3,0),0),0)</f>
        <v>12.579999999999998</v>
      </c>
      <c r="F64" s="580">
        <f>'15D.)MD Shift_RedgnRate_SC9 I '!H19</f>
        <v>12.579999999999998</v>
      </c>
    </row>
    <row r="65" spans="2:7" ht="15" thickTop="1" x14ac:dyDescent="0.35"/>
    <row r="66" spans="2:7" x14ac:dyDescent="0.35">
      <c r="C66" s="3" t="s">
        <v>759</v>
      </c>
      <c r="F66" s="103">
        <f>'15D.)MD Shift_RedgnRate_SC9 I '!M240</f>
        <v>1473094531</v>
      </c>
    </row>
    <row r="67" spans="2:7" ht="15" thickBot="1" x14ac:dyDescent="0.4"/>
    <row r="68" spans="2:7" ht="15.5" thickTop="1" thickBot="1" x14ac:dyDescent="0.4">
      <c r="C68" s="3" t="s">
        <v>752</v>
      </c>
      <c r="E68" s="427">
        <f>'15D.)MD Shift_RedgnRate_SC9 I '!M245</f>
        <v>1473027897</v>
      </c>
      <c r="F68" s="576">
        <f>F66</f>
        <v>1473094531</v>
      </c>
      <c r="G68" s="193">
        <f>F68/E68-1</f>
        <v>4.5236074710963692E-5</v>
      </c>
    </row>
    <row r="69" spans="2:7" ht="15" thickTop="1" x14ac:dyDescent="0.35"/>
    <row r="70" spans="2:7" ht="15" thickBot="1" x14ac:dyDescent="0.4">
      <c r="E70" s="302"/>
    </row>
    <row r="71" spans="2:7" ht="15" thickBot="1" x14ac:dyDescent="0.4">
      <c r="B71" s="75" t="s">
        <v>530</v>
      </c>
      <c r="C71" s="444" t="s">
        <v>157</v>
      </c>
      <c r="D71" s="190" t="s">
        <v>1298</v>
      </c>
      <c r="E71" s="302" t="str">
        <f>$E$10</f>
        <v>Current(RY1)</v>
      </c>
      <c r="F71" s="302" t="str">
        <f>$F$10</f>
        <v>Shift of 0%</v>
      </c>
    </row>
    <row r="72" spans="2:7" ht="15" thickBot="1" x14ac:dyDescent="0.4">
      <c r="E72" s="101" t="str">
        <f>$E$11</f>
        <v>Current (H/L Shift)</v>
      </c>
      <c r="F72" s="101" t="s">
        <v>330</v>
      </c>
    </row>
    <row r="73" spans="2:7" ht="15" thickTop="1" x14ac:dyDescent="0.35">
      <c r="C73" s="3" t="s">
        <v>355</v>
      </c>
      <c r="E73" s="177">
        <f>IF(ISNUMBER(VLOOKUP($C73,'[1]A1.)RatesInput'!$B$102:$L$190,HLOOKUP(E$71,'[1]A1.)RatesInput'!$D$102:$L$104,3,0),0)),VLOOKUP($C73,'[1]A1.)RatesInput'!$B$102:$L$190,HLOOKUP(E$71,'[1]A1.)RatesInput'!$D$102:$L$104,3,0),0),0)</f>
        <v>1.72E-2</v>
      </c>
      <c r="F73" s="578">
        <f>'15E.)MD Shift_RedgnRate_SC12 I '!H8</f>
        <v>1.72E-2</v>
      </c>
    </row>
    <row r="74" spans="2:7" x14ac:dyDescent="0.35">
      <c r="C74" s="3" t="s">
        <v>356</v>
      </c>
      <c r="E74" s="169">
        <f>IF(ISNUMBER(VLOOKUP($C74,'[1]A1.)RatesInput'!$B$102:$L$190,HLOOKUP(E$71,'[1]A1.)RatesInput'!$D$102:$L$104,3,0),0)),VLOOKUP($C74,'[1]A1.)RatesInput'!$B$102:$L$190,HLOOKUP(E$71,'[1]A1.)RatesInput'!$D$102:$L$104,3,0),0),0)</f>
        <v>1.72E-2</v>
      </c>
      <c r="F74" s="579">
        <f>'15E.)MD Shift_RedgnRate_SC12 I '!H9</f>
        <v>1.72E-2</v>
      </c>
    </row>
    <row r="75" spans="2:7" x14ac:dyDescent="0.35">
      <c r="C75" s="3" t="s">
        <v>357</v>
      </c>
      <c r="E75" s="169">
        <f>IF(ISNUMBER(VLOOKUP($C75,'[1]A1.)RatesInput'!$B$102:$L$190,HLOOKUP(E$71,'[1]A1.)RatesInput'!$D$102:$L$104,3,0),0)),VLOOKUP($C75,'[1]A1.)RatesInput'!$B$102:$L$190,HLOOKUP(E$71,'[1]A1.)RatesInput'!$D$102:$L$104,3,0),0),0)</f>
        <v>187.11</v>
      </c>
      <c r="F75" s="579">
        <f>'15E.)MD Shift_RedgnRate_SC12 I '!H10</f>
        <v>187.11</v>
      </c>
    </row>
    <row r="76" spans="2:7" x14ac:dyDescent="0.35">
      <c r="C76" s="3" t="s">
        <v>358</v>
      </c>
      <c r="E76" s="169">
        <f>IF(ISNUMBER(VLOOKUP($C76,'[1]A1.)RatesInput'!$B$102:$L$190,HLOOKUP(E$71,'[1]A1.)RatesInput'!$D$102:$L$104,3,0),0)),VLOOKUP($C76,'[1]A1.)RatesInput'!$B$102:$L$190,HLOOKUP(E$71,'[1]A1.)RatesInput'!$D$102:$L$104,3,0),0),0)</f>
        <v>33.840000000000003</v>
      </c>
      <c r="F76" s="579">
        <f>'15E.)MD Shift_RedgnRate_SC12 I '!H11</f>
        <v>33.840000000000003</v>
      </c>
    </row>
    <row r="77" spans="2:7" x14ac:dyDescent="0.35">
      <c r="C77" s="3" t="s">
        <v>359</v>
      </c>
      <c r="E77" s="169">
        <f>IF(ISNUMBER(VLOOKUP($C77,'[1]A1.)RatesInput'!$B$102:$L$190,HLOOKUP(E$71,'[1]A1.)RatesInput'!$D$102:$L$104,3,0),0)),VLOOKUP($C77,'[1]A1.)RatesInput'!$B$102:$L$190,HLOOKUP(E$71,'[1]A1.)RatesInput'!$D$102:$L$104,3,0),0),0)</f>
        <v>105.06</v>
      </c>
      <c r="F77" s="579">
        <f>'15E.)MD Shift_RedgnRate_SC12 I '!H12</f>
        <v>105.06</v>
      </c>
    </row>
    <row r="78" spans="2:7" x14ac:dyDescent="0.35">
      <c r="C78" s="3" t="s">
        <v>360</v>
      </c>
      <c r="E78" s="169">
        <f>IF(ISNUMBER(VLOOKUP($C78,'[1]A1.)RatesInput'!$B$102:$L$190,HLOOKUP(E$71,'[1]A1.)RatesInput'!$D$102:$L$104,3,0),0)),VLOOKUP($C78,'[1]A1.)RatesInput'!$B$102:$L$190,HLOOKUP(E$71,'[1]A1.)RatesInput'!$D$102:$L$104,3,0),0),0)</f>
        <v>18.98</v>
      </c>
      <c r="F78" s="579">
        <f>'15E.)MD Shift_RedgnRate_SC12 I '!H13</f>
        <v>18.98</v>
      </c>
    </row>
    <row r="79" spans="2:7" x14ac:dyDescent="0.35">
      <c r="C79" s="3" t="s">
        <v>361</v>
      </c>
      <c r="E79" s="169">
        <f>IF(ISNUMBER(VLOOKUP($C79,'[1]A1.)RatesInput'!$B$102:$L$190,HLOOKUP(E$71,'[1]A1.)RatesInput'!$D$102:$L$104,3,0),0)),VLOOKUP($C79,'[1]A1.)RatesInput'!$B$102:$L$190,HLOOKUP(E$71,'[1]A1.)RatesInput'!$D$102:$L$104,3,0),0),0)</f>
        <v>1.72E-2</v>
      </c>
      <c r="F79" s="579">
        <f>'15E.)MD Shift_RedgnRate_SC12 I '!H14</f>
        <v>1.72E-2</v>
      </c>
    </row>
    <row r="80" spans="2:7" x14ac:dyDescent="0.35">
      <c r="C80" s="3" t="s">
        <v>362</v>
      </c>
      <c r="E80" s="169">
        <f>IF(ISNUMBER(VLOOKUP($C80,'[1]A1.)RatesInput'!$B$102:$L$190,HLOOKUP(E$71,'[1]A1.)RatesInput'!$D$102:$L$104,3,0),0)),VLOOKUP($C80,'[1]A1.)RatesInput'!$B$102:$L$190,HLOOKUP(E$71,'[1]A1.)RatesInput'!$D$102:$L$104,3,0),0),0)</f>
        <v>1.72E-2</v>
      </c>
      <c r="F80" s="579">
        <f>'15E.)MD Shift_RedgnRate_SC12 I '!H15</f>
        <v>1.72E-2</v>
      </c>
    </row>
    <row r="81" spans="3:7" x14ac:dyDescent="0.35">
      <c r="C81" s="3" t="s">
        <v>363</v>
      </c>
      <c r="E81" s="169">
        <f>IF(ISNUMBER(VLOOKUP($C81,'[1]A1.)RatesInput'!$B$102:$L$190,HLOOKUP(E$71,'[1]A1.)RatesInput'!$D$102:$L$104,3,0),0)),VLOOKUP($C81,'[1]A1.)RatesInput'!$B$102:$L$190,HLOOKUP(E$71,'[1]A1.)RatesInput'!$D$102:$L$104,3,0),0),0)</f>
        <v>139.91</v>
      </c>
      <c r="F81" s="579">
        <f>'15E.)MD Shift_RedgnRate_SC12 I '!H16</f>
        <v>139.91</v>
      </c>
    </row>
    <row r="82" spans="3:7" x14ac:dyDescent="0.35">
      <c r="C82" s="3" t="s">
        <v>364</v>
      </c>
      <c r="E82" s="169">
        <f>IF(ISNUMBER(VLOOKUP($C82,'[1]A1.)RatesInput'!$B$102:$L$190,HLOOKUP(E$71,'[1]A1.)RatesInput'!$D$102:$L$104,3,0),0)),VLOOKUP($C82,'[1]A1.)RatesInput'!$B$102:$L$190,HLOOKUP(E$71,'[1]A1.)RatesInput'!$D$102:$L$104,3,0),0),0)</f>
        <v>25.29</v>
      </c>
      <c r="F82" s="579">
        <f>'15E.)MD Shift_RedgnRate_SC12 I '!H17</f>
        <v>25.29</v>
      </c>
    </row>
    <row r="83" spans="3:7" x14ac:dyDescent="0.35">
      <c r="C83" s="3" t="s">
        <v>365</v>
      </c>
      <c r="E83" s="169">
        <f>IF(ISNUMBER(VLOOKUP($C83,'[1]A1.)RatesInput'!$B$102:$L$190,HLOOKUP(E$71,'[1]A1.)RatesInput'!$D$102:$L$104,3,0),0)),VLOOKUP($C83,'[1]A1.)RatesInput'!$B$102:$L$190,HLOOKUP(E$71,'[1]A1.)RatesInput'!$D$102:$L$104,3,0),0),0)</f>
        <v>58.02</v>
      </c>
      <c r="F83" s="579">
        <f>'15E.)MD Shift_RedgnRate_SC12 I '!H18</f>
        <v>58.02</v>
      </c>
    </row>
    <row r="84" spans="3:7" ht="15" thickBot="1" x14ac:dyDescent="0.4">
      <c r="C84" s="3" t="s">
        <v>366</v>
      </c>
      <c r="E84" s="167">
        <f>IF(ISNUMBER(VLOOKUP($C84,'[1]A1.)RatesInput'!$B$102:$L$190,HLOOKUP(E$71,'[1]A1.)RatesInput'!$D$102:$L$104,3,0),0)),VLOOKUP($C84,'[1]A1.)RatesInput'!$B$102:$L$190,HLOOKUP(E$71,'[1]A1.)RatesInput'!$D$102:$L$104,3,0),0),0)</f>
        <v>10.450000000000001</v>
      </c>
      <c r="F84" s="580">
        <f>'15E.)MD Shift_RedgnRate_SC12 I '!H19</f>
        <v>10.450000000000001</v>
      </c>
    </row>
    <row r="85" spans="3:7" ht="15" thickTop="1" x14ac:dyDescent="0.35"/>
    <row r="86" spans="3:7" x14ac:dyDescent="0.35">
      <c r="C86" s="3" t="s">
        <v>759</v>
      </c>
      <c r="F86" s="103">
        <f>'15E.)MD Shift_RedgnRate_SC12 I '!M240</f>
        <v>11015909</v>
      </c>
    </row>
    <row r="87" spans="3:7" ht="15" thickBot="1" x14ac:dyDescent="0.4"/>
    <row r="88" spans="3:7" ht="15.5" thickTop="1" thickBot="1" x14ac:dyDescent="0.4">
      <c r="C88" s="3" t="s">
        <v>752</v>
      </c>
      <c r="E88" s="427">
        <f>'15E.)MD Shift_RedgnRate_SC12 I '!M245</f>
        <v>11014263</v>
      </c>
      <c r="F88" s="576">
        <f>F86</f>
        <v>11015909</v>
      </c>
      <c r="G88" s="193">
        <f>F88/E88-1</f>
        <v>1.4944259093874201E-4</v>
      </c>
    </row>
    <row r="89" spans="3:7" ht="15" thickTop="1" x14ac:dyDescent="0.35"/>
  </sheetData>
  <printOptions verticalCentered="1"/>
  <pageMargins left="0.45" right="0.45" top="0.5" bottom="0.5" header="0.3" footer="0.3"/>
  <pageSetup scale="47" orientation="portrait" r:id="rId1"/>
  <headerFooter>
    <oddFooter>&amp;C&amp;Z&amp;F (Tab: &amp;A)&amp;RPage 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1">
    <tabColor rgb="FF0070C0"/>
  </sheetPr>
  <dimension ref="A1:V253"/>
  <sheetViews>
    <sheetView workbookViewId="0">
      <selection activeCell="Q9" sqref="Q9"/>
    </sheetView>
  </sheetViews>
  <sheetFormatPr defaultRowHeight="14.5" outlineLevelRow="1" x14ac:dyDescent="0.35"/>
  <cols>
    <col min="1" max="1" width="7.453125" customWidth="1"/>
    <col min="2" max="2" width="28.7265625" customWidth="1"/>
    <col min="3" max="3" width="17.1796875" customWidth="1"/>
    <col min="4" max="6" width="4.5429687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9.1796875" customWidth="1"/>
    <col min="14" max="14" width="13.81640625" customWidth="1"/>
    <col min="15" max="15" width="16.453125" customWidth="1"/>
    <col min="16" max="16" width="15" style="1" customWidth="1"/>
    <col min="17" max="17" width="9.7265625" style="1" customWidth="1"/>
    <col min="18" max="19" width="9.7265625" customWidth="1"/>
    <col min="20" max="22" width="11" customWidth="1"/>
    <col min="25" max="26" width="11.7265625" customWidth="1"/>
    <col min="27" max="27" width="16.81640625" customWidth="1"/>
  </cols>
  <sheetData>
    <row r="1" spans="1:22" ht="18.5" x14ac:dyDescent="0.45">
      <c r="A1" s="189" t="s">
        <v>1280</v>
      </c>
    </row>
    <row r="3" spans="1:22" outlineLevel="1" x14ac:dyDescent="0.35">
      <c r="A3" s="70" t="s">
        <v>158</v>
      </c>
      <c r="B3" s="70"/>
      <c r="C3" s="3"/>
      <c r="K3" s="33" t="s">
        <v>150</v>
      </c>
      <c r="L3" s="1075">
        <f>'15A.)MD Shift_RedesignRateSum'!$D$4</f>
        <v>2019</v>
      </c>
      <c r="M3" s="3"/>
      <c r="P3" s="192" t="str">
        <f>$A$4</f>
        <v>SC5 Rate I</v>
      </c>
      <c r="Q3" s="2"/>
      <c r="R3" s="3"/>
      <c r="S3" s="3"/>
      <c r="T3" s="3"/>
      <c r="U3" s="3"/>
      <c r="V3" s="3"/>
    </row>
    <row r="4" spans="1:22" outlineLevel="1" x14ac:dyDescent="0.35">
      <c r="A4" s="182" t="s">
        <v>148</v>
      </c>
      <c r="B4" s="182"/>
      <c r="C4" s="3"/>
      <c r="D4" s="3"/>
      <c r="E4" s="3"/>
      <c r="F4" s="3"/>
      <c r="G4" s="3"/>
      <c r="H4" s="3"/>
      <c r="K4" s="33" t="s">
        <v>5</v>
      </c>
      <c r="L4" s="636">
        <f>'15A.)MD Shift_RedesignRateSum'!$D$5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C5" s="3"/>
      <c r="D5" s="3"/>
      <c r="E5" s="3"/>
      <c r="F5" s="3"/>
      <c r="G5" s="3"/>
      <c r="H5" s="3"/>
      <c r="K5" s="33" t="s">
        <v>145</v>
      </c>
      <c r="L5" s="1075" t="str">
        <f>CONCATENATE("Shift of ",$L$8*100,"%")</f>
        <v>Shift of 0%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231" t="str">
        <f>'15A.)MD Shift_RedesignRateSum'!E10</f>
        <v>Current(RY1)</v>
      </c>
      <c r="H6" s="292" t="s">
        <v>309</v>
      </c>
      <c r="K6" t="s">
        <v>1382</v>
      </c>
      <c r="L6" s="567">
        <f>'[1]A1.)RatesInput'!$G$3</f>
        <v>2017</v>
      </c>
      <c r="M6" s="3"/>
      <c r="P6" s="165" t="s">
        <v>114</v>
      </c>
      <c r="Q6" s="164">
        <v>0</v>
      </c>
      <c r="R6" s="163" t="s">
        <v>143</v>
      </c>
      <c r="S6" s="179">
        <f>'[2]4C.)HY_DemandRatePxOut(Rate I)'!$E$7</f>
        <v>5</v>
      </c>
      <c r="T6" s="175">
        <f>'[2]4C.)HY_DemandRatePxOut(Rate I)'!$L$11</f>
        <v>10</v>
      </c>
      <c r="U6" s="175">
        <f>'[2]4C.)HY_DemandRatePxOut(Rate I)'!$N$11</f>
        <v>180</v>
      </c>
      <c r="V6" s="175">
        <f>'[2]4B.)HY_EnergyRatePxOut(Rate I)'!$M$73</f>
        <v>151446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tr">
        <f>'15A.)MD Shift_RedesignRateSum'!E11</f>
        <v>Current (H/L Shift)</v>
      </c>
      <c r="H7" s="101" t="s">
        <v>142</v>
      </c>
      <c r="K7" s="33"/>
      <c r="L7" s="118" t="str">
        <f>A4</f>
        <v>SC5 Rate I</v>
      </c>
      <c r="M7" s="3"/>
      <c r="P7" s="170" t="s">
        <v>114</v>
      </c>
      <c r="Q7" s="159"/>
      <c r="R7" s="158" t="s">
        <v>141</v>
      </c>
      <c r="S7" s="178">
        <f>S6</f>
        <v>5</v>
      </c>
      <c r="T7" s="174">
        <f>'[2]4C.)HY_DemandRatePxOut(Rate I)'!$L$12</f>
        <v>26</v>
      </c>
      <c r="U7" s="174">
        <f>'[2]4C.)HY_DemandRatePxOut(Rate I)'!$N$12</f>
        <v>190</v>
      </c>
      <c r="V7" s="174">
        <f>'[2]4B.)HY_EnergyRatePxOut(Rate I)'!$M$74</f>
        <v>0</v>
      </c>
    </row>
    <row r="8" spans="1:22" ht="15.5" outlineLevel="1" thickTop="1" thickBot="1" x14ac:dyDescent="0.4">
      <c r="A8" s="3" t="s">
        <v>318</v>
      </c>
      <c r="B8" s="3"/>
      <c r="C8" s="3"/>
      <c r="D8" s="3"/>
      <c r="E8" s="3"/>
      <c r="F8" s="3"/>
      <c r="G8" s="309">
        <f>'15A.)MD Shift_RedesignRateSum'!E12</f>
        <v>3.7900000000000003E-2</v>
      </c>
      <c r="H8" s="293">
        <f>I178</f>
        <v>3.7900000000000003E-2</v>
      </c>
      <c r="I8" s="641"/>
      <c r="K8" s="33" t="s">
        <v>1279</v>
      </c>
      <c r="L8" s="491">
        <f>'15A.)MD Shift_RedesignRateSum'!$E$9</f>
        <v>0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319</v>
      </c>
      <c r="B9" s="3"/>
      <c r="C9" s="3"/>
      <c r="D9" s="3"/>
      <c r="E9" s="3"/>
      <c r="F9" s="3"/>
      <c r="G9" s="310">
        <f>'15A.)MD Shift_RedesignRateSum'!E13</f>
        <v>3.7900000000000003E-2</v>
      </c>
      <c r="H9" s="294">
        <f>K178</f>
        <v>3.7900000000000003E-2</v>
      </c>
      <c r="I9" s="641"/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36</v>
      </c>
      <c r="U9" s="151">
        <f>SUM(U6:U8)</f>
        <v>370</v>
      </c>
      <c r="V9" s="151">
        <f>SUM(V6:V8)</f>
        <v>151446</v>
      </c>
    </row>
    <row r="10" spans="1:22" ht="15" outlineLevel="1" thickTop="1" x14ac:dyDescent="0.35">
      <c r="A10" s="3" t="s">
        <v>320</v>
      </c>
      <c r="B10" s="3"/>
      <c r="C10" s="3"/>
      <c r="D10" s="3"/>
      <c r="E10" s="3"/>
      <c r="F10" s="3"/>
      <c r="G10" s="310">
        <f>'15A.)MD Shift_RedesignRateSum'!E14</f>
        <v>178.73</v>
      </c>
      <c r="H10" s="294">
        <f>H120</f>
        <v>178.73</v>
      </c>
      <c r="I10" s="641"/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321</v>
      </c>
      <c r="B11" s="3"/>
      <c r="C11" s="3"/>
      <c r="D11" s="3"/>
      <c r="E11" s="3"/>
      <c r="F11" s="3"/>
      <c r="G11" s="310">
        <f>'15A.)MD Shift_RedesignRateSum'!E15</f>
        <v>31.369999999999997</v>
      </c>
      <c r="H11" s="294">
        <f>H122</f>
        <v>31.369999999999997</v>
      </c>
      <c r="I11" s="641"/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175">
        <f>'[2]4C.)HY_DemandRatePxOut(Rate I)'!$L$7</f>
        <v>14</v>
      </c>
      <c r="U11" s="175">
        <f>'[2]4C.)HY_DemandRatePxOut(Rate I)'!$N$7</f>
        <v>370</v>
      </c>
      <c r="V11" s="175">
        <f>'[2]4B.)HY_EnergyRatePxOut(Rate I)'!$M$68</f>
        <v>530566</v>
      </c>
    </row>
    <row r="12" spans="1:22" outlineLevel="1" x14ac:dyDescent="0.35">
      <c r="A12" s="3" t="s">
        <v>322</v>
      </c>
      <c r="B12" s="3"/>
      <c r="C12" s="3"/>
      <c r="D12" s="3"/>
      <c r="E12" s="3"/>
      <c r="F12" s="3"/>
      <c r="G12" s="310">
        <f>'15A.)MD Shift_RedesignRateSum'!E16</f>
        <v>114.67</v>
      </c>
      <c r="H12" s="294">
        <f>J120</f>
        <v>114.67</v>
      </c>
      <c r="I12" s="641"/>
      <c r="J12" s="1058"/>
      <c r="K12" s="1076" t="s">
        <v>2175</v>
      </c>
      <c r="L12" s="1077">
        <f>'8B.)ED Shift_RedesignRateSum'!$D$5</f>
        <v>0.05</v>
      </c>
      <c r="P12" s="160" t="s">
        <v>113</v>
      </c>
      <c r="Q12" s="159"/>
      <c r="R12" s="158" t="str">
        <f>$R$7</f>
        <v>&gt;</v>
      </c>
      <c r="S12" s="157">
        <f>$S$7</f>
        <v>5</v>
      </c>
      <c r="T12" s="174">
        <f>'[2]4C.)HY_DemandRatePxOut(Rate I)'!$L$8</f>
        <v>59.999999999999993</v>
      </c>
      <c r="U12" s="174">
        <f>'[2]4C.)HY_DemandRatePxOut(Rate I)'!$N$8</f>
        <v>1056</v>
      </c>
      <c r="V12" s="174">
        <f>'[2]4B.)HY_EnergyRatePxOut(Rate I)'!$M$69</f>
        <v>0</v>
      </c>
    </row>
    <row r="13" spans="1:22" ht="15" outlineLevel="1" thickBot="1" x14ac:dyDescent="0.4">
      <c r="A13" s="3" t="s">
        <v>323</v>
      </c>
      <c r="B13" s="3"/>
      <c r="C13" s="3"/>
      <c r="D13" s="3"/>
      <c r="E13" s="3"/>
      <c r="F13" s="3"/>
      <c r="G13" s="310">
        <f>'15A.)MD Shift_RedesignRateSum'!E17</f>
        <v>19.97</v>
      </c>
      <c r="H13" s="294">
        <f>J122</f>
        <v>19.97</v>
      </c>
      <c r="I13" s="641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324</v>
      </c>
      <c r="B14" s="3"/>
      <c r="C14" s="3"/>
      <c r="D14" s="3"/>
      <c r="E14" s="3"/>
      <c r="F14" s="3"/>
      <c r="G14" s="310">
        <f>'15A.)MD Shift_RedesignRateSum'!E18</f>
        <v>3.7900000000000003E-2</v>
      </c>
      <c r="H14" s="294">
        <f>I180</f>
        <v>3.7900000000000003E-2</v>
      </c>
      <c r="I14" s="641"/>
      <c r="K14" s="367"/>
      <c r="P14" s="2"/>
      <c r="Q14" s="2"/>
      <c r="R14" s="3"/>
      <c r="S14" s="3"/>
      <c r="T14" s="151">
        <f>SUM(T11:T13)</f>
        <v>74</v>
      </c>
      <c r="U14" s="151">
        <f>SUM(U11:U13)</f>
        <v>1426</v>
      </c>
      <c r="V14" s="151">
        <f>SUM(V11:V13)</f>
        <v>530566</v>
      </c>
    </row>
    <row r="15" spans="1:22" ht="15" outlineLevel="1" thickTop="1" x14ac:dyDescent="0.35">
      <c r="A15" s="3" t="s">
        <v>325</v>
      </c>
      <c r="B15" s="3"/>
      <c r="C15" s="3"/>
      <c r="D15" s="3"/>
      <c r="E15" s="3"/>
      <c r="F15" s="3"/>
      <c r="G15" s="310">
        <f>'15A.)MD Shift_RedesignRateSum'!E19</f>
        <v>3.7900000000000003E-2</v>
      </c>
      <c r="H15" s="294">
        <f>K180</f>
        <v>3.7900000000000003E-2</v>
      </c>
      <c r="I15" s="641"/>
      <c r="K15" s="33" t="s">
        <v>131</v>
      </c>
      <c r="L15" s="166">
        <f>'8A.)HY_ED RevShifting'!$E$9</f>
        <v>41070</v>
      </c>
      <c r="M15" s="166">
        <f>'8A.)HY_ED RevShifting'!$D$9</f>
        <v>40621</v>
      </c>
      <c r="N15" s="134">
        <v>41070</v>
      </c>
    </row>
    <row r="16" spans="1:22" outlineLevel="1" x14ac:dyDescent="0.35">
      <c r="A16" s="3" t="s">
        <v>326</v>
      </c>
      <c r="B16" s="3"/>
      <c r="C16" s="3"/>
      <c r="D16" s="3"/>
      <c r="E16" s="3"/>
      <c r="F16" s="3"/>
      <c r="G16" s="310">
        <f>'15A.)MD Shift_RedesignRateSum'!E20</f>
        <v>136.30000000000001</v>
      </c>
      <c r="H16" s="294">
        <f>H124</f>
        <v>136.30000000000001</v>
      </c>
      <c r="I16" s="641"/>
      <c r="K16" s="33" t="s">
        <v>129</v>
      </c>
      <c r="L16" s="166">
        <f>'8A.)HY_ED RevShifting'!$E$13</f>
        <v>27213</v>
      </c>
      <c r="M16" s="166">
        <f>'8A.)HY_ED RevShifting'!$D$13</f>
        <v>27213</v>
      </c>
      <c r="N16" s="134">
        <v>27213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3" t="s">
        <v>327</v>
      </c>
      <c r="B17" s="3"/>
      <c r="C17" s="3"/>
      <c r="D17" s="3"/>
      <c r="E17" s="3"/>
      <c r="F17" s="3"/>
      <c r="G17" s="310">
        <f>'15A.)MD Shift_RedesignRateSum'!E21</f>
        <v>23.81</v>
      </c>
      <c r="H17" s="294">
        <f>H126</f>
        <v>23.81</v>
      </c>
      <c r="I17" s="641"/>
      <c r="K17" s="33" t="s">
        <v>130</v>
      </c>
      <c r="L17" s="1078">
        <f>HLOOKUP($L$12,'8A.)HY_ED RevShifting'!$B$6:$M$43,'8A.)HY_ED RevShifting'!$B$10,0)</f>
        <v>1361</v>
      </c>
      <c r="M17" s="134">
        <f>ROUND(L17/$L$9,0)</f>
        <v>1346</v>
      </c>
      <c r="N17" s="134">
        <v>1361</v>
      </c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3" t="s">
        <v>328</v>
      </c>
      <c r="B18" s="3"/>
      <c r="C18" s="3"/>
      <c r="D18" s="3"/>
      <c r="E18" s="3"/>
      <c r="F18" s="3"/>
      <c r="G18" s="310">
        <f>'15A.)MD Shift_RedesignRateSum'!E22</f>
        <v>72.23</v>
      </c>
      <c r="H18" s="294">
        <f>J124</f>
        <v>72.23</v>
      </c>
      <c r="I18" s="641"/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329</v>
      </c>
      <c r="B19" s="3"/>
      <c r="C19" s="3"/>
      <c r="D19" s="3"/>
      <c r="E19" s="3"/>
      <c r="F19" s="3"/>
      <c r="G19" s="311">
        <f>'15A.)MD Shift_RedesignRateSum'!E23</f>
        <v>12.41</v>
      </c>
      <c r="H19" s="295">
        <f>J126</f>
        <v>12.41</v>
      </c>
      <c r="I19" s="641"/>
      <c r="K19" s="33" t="str">
        <f>CONCATENATE(A4," - T&amp;D Target:")</f>
        <v>SC5 Rate I - T&amp;D Target:</v>
      </c>
      <c r="L19" s="308">
        <f>L15+L16</f>
        <v>68283</v>
      </c>
      <c r="M19" s="143" t="s">
        <v>316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>
      <c r="I20" s="641"/>
      <c r="K20" s="33" t="s">
        <v>125</v>
      </c>
      <c r="L20" s="276"/>
      <c r="M20" t="s">
        <v>124</v>
      </c>
    </row>
    <row r="21" spans="1:22" outlineLevel="1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126" t="s">
        <v>122</v>
      </c>
      <c r="B28" s="147"/>
      <c r="G28" s="131"/>
      <c r="H28" s="33" t="s">
        <v>150</v>
      </c>
      <c r="I28" s="1074">
        <f>$L$3</f>
        <v>2019</v>
      </c>
    </row>
    <row r="29" spans="1:22" x14ac:dyDescent="0.35">
      <c r="A29" s="131"/>
      <c r="B29" s="131"/>
      <c r="G29" s="131"/>
      <c r="H29" s="33" t="s">
        <v>5</v>
      </c>
      <c r="I29" s="1074">
        <f>$L$4</f>
        <v>2020</v>
      </c>
      <c r="P29"/>
    </row>
    <row r="30" spans="1:22" x14ac:dyDescent="0.35">
      <c r="B30" s="41" t="str">
        <f>$A$4</f>
        <v>SC5 Rate I</v>
      </c>
      <c r="C30" s="133" t="s">
        <v>121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130">
        <f>M15</f>
        <v>40621</v>
      </c>
      <c r="J32" s="136" t="s">
        <v>79</v>
      </c>
      <c r="P32"/>
      <c r="Q32" s="142"/>
    </row>
    <row r="33" spans="1:17" x14ac:dyDescent="0.35">
      <c r="C33" t="s">
        <v>88</v>
      </c>
      <c r="I33" s="130">
        <f>M17</f>
        <v>1346</v>
      </c>
      <c r="J33" s="136" t="s">
        <v>78</v>
      </c>
      <c r="P33"/>
      <c r="Q33" s="142"/>
    </row>
    <row r="34" spans="1:17" x14ac:dyDescent="0.35">
      <c r="C34" s="75" t="s">
        <v>117</v>
      </c>
      <c r="D34" s="75"/>
      <c r="E34" s="75"/>
      <c r="F34" s="75"/>
      <c r="I34" s="638">
        <f>$L$8</f>
        <v>0</v>
      </c>
      <c r="J34" s="136" t="s">
        <v>1089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SC5 Rate I</v>
      </c>
      <c r="C37" t="s">
        <v>114</v>
      </c>
      <c r="G37" s="515">
        <f>$T$9</f>
        <v>36</v>
      </c>
      <c r="H37" s="516">
        <f>G10</f>
        <v>178.73</v>
      </c>
      <c r="I37" s="134">
        <f>ROUND(G37*H37,0)</f>
        <v>6434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74</v>
      </c>
      <c r="H38" s="516">
        <f>G12</f>
        <v>114.67</v>
      </c>
      <c r="I38" s="134">
        <f>ROUND(G38*H38,0)</f>
        <v>8486</v>
      </c>
      <c r="J38" s="136" t="s">
        <v>1086</v>
      </c>
      <c r="L38" s="381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136.30000000000001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72.23</v>
      </c>
      <c r="I40" s="134">
        <f>ROUND(G40*H40,0)</f>
        <v>0</v>
      </c>
      <c r="J40" s="136" t="s">
        <v>1088</v>
      </c>
      <c r="L40" s="633" t="s">
        <v>135</v>
      </c>
    </row>
    <row r="41" spans="1:17" x14ac:dyDescent="0.35">
      <c r="C41" t="s">
        <v>110</v>
      </c>
      <c r="I41" s="140">
        <f>SUM(I37:I40)</f>
        <v>14920</v>
      </c>
      <c r="J41" s="136" t="s">
        <v>1084</v>
      </c>
      <c r="L41" s="541">
        <f>ROUND(I41*$L$38,0)</f>
        <v>15085</v>
      </c>
      <c r="M41" s="136" t="s">
        <v>1265</v>
      </c>
    </row>
    <row r="42" spans="1:17" ht="15" thickBot="1" x14ac:dyDescent="0.4">
      <c r="I42" s="517"/>
      <c r="J42" s="136"/>
      <c r="L42" s="1"/>
    </row>
    <row r="43" spans="1:17" ht="15.5" thickTop="1" thickBot="1" x14ac:dyDescent="0.4">
      <c r="C43" t="s">
        <v>304</v>
      </c>
      <c r="I43" s="518">
        <f>ROUND(I41*(1+I42),0)</f>
        <v>14920</v>
      </c>
      <c r="J43" s="136" t="s">
        <v>1110</v>
      </c>
      <c r="L43" s="541">
        <f>ROUND(I43*$L$38,0)</f>
        <v>15085</v>
      </c>
      <c r="M43" s="136" t="s">
        <v>1266</v>
      </c>
    </row>
    <row r="44" spans="1:17" ht="15.5" thickTop="1" thickBot="1" x14ac:dyDescent="0.4">
      <c r="C44" t="s">
        <v>1301</v>
      </c>
      <c r="I44" s="640">
        <f>ROUND(I43*I34,0)</f>
        <v>0</v>
      </c>
      <c r="J44" s="596" t="s">
        <v>1299</v>
      </c>
      <c r="L44" s="1"/>
    </row>
    <row r="45" spans="1:17" ht="15.5" thickTop="1" thickBot="1" x14ac:dyDescent="0.4">
      <c r="C45" t="s">
        <v>305</v>
      </c>
      <c r="I45" s="519">
        <f>I43+I44</f>
        <v>14920</v>
      </c>
      <c r="J45" s="136" t="s">
        <v>1300</v>
      </c>
      <c r="L45" s="634">
        <f>ROUND(I45*$L$38,0)</f>
        <v>15085</v>
      </c>
      <c r="M45" s="136" t="s">
        <v>1267</v>
      </c>
    </row>
    <row r="46" spans="1:17" ht="15" thickTop="1" x14ac:dyDescent="0.35"/>
    <row r="48" spans="1:17" x14ac:dyDescent="0.35">
      <c r="A48" s="126" t="s">
        <v>104</v>
      </c>
    </row>
    <row r="50" spans="1:17" x14ac:dyDescent="0.35">
      <c r="B50" s="41" t="str">
        <f>$A$4</f>
        <v>SC5 Rate I</v>
      </c>
      <c r="C50" s="133" t="s">
        <v>1278</v>
      </c>
      <c r="D50" s="133"/>
      <c r="E50" s="133"/>
      <c r="F50" s="133"/>
      <c r="L50" s="135" t="s">
        <v>1277</v>
      </c>
      <c r="N50" s="135" t="s">
        <v>1276</v>
      </c>
      <c r="P50"/>
      <c r="Q50"/>
    </row>
    <row r="51" spans="1:17" x14ac:dyDescent="0.35">
      <c r="C51" t="s">
        <v>1275</v>
      </c>
      <c r="D51" s="1"/>
      <c r="E51" s="1"/>
      <c r="F51" s="1"/>
      <c r="G51" s="1"/>
      <c r="H51" s="1"/>
      <c r="I51" s="1"/>
      <c r="J51" s="1"/>
      <c r="K51" s="1"/>
      <c r="L51" s="541">
        <f>I32</f>
        <v>40621</v>
      </c>
      <c r="M51" s="61" t="s">
        <v>79</v>
      </c>
      <c r="N51" s="370">
        <f>L51</f>
        <v>40621</v>
      </c>
      <c r="O51" s="61" t="s">
        <v>79</v>
      </c>
      <c r="P51"/>
      <c r="Q51"/>
    </row>
    <row r="52" spans="1:17" x14ac:dyDescent="0.35">
      <c r="C52" t="s">
        <v>88</v>
      </c>
      <c r="D52" s="1"/>
      <c r="E52" s="1"/>
      <c r="F52" s="1"/>
      <c r="G52" s="1"/>
      <c r="H52" s="1"/>
      <c r="I52" s="1"/>
      <c r="J52" s="1"/>
      <c r="K52" s="1"/>
      <c r="L52" s="370">
        <f>I33</f>
        <v>1346</v>
      </c>
      <c r="M52" s="61" t="s">
        <v>78</v>
      </c>
      <c r="N52" s="370">
        <f>L52</f>
        <v>1346</v>
      </c>
      <c r="O52" s="61" t="s">
        <v>78</v>
      </c>
      <c r="P52"/>
      <c r="Q52"/>
    </row>
    <row r="53" spans="1:17" ht="15" thickBot="1" x14ac:dyDescent="0.4">
      <c r="C53" t="s">
        <v>1274</v>
      </c>
      <c r="D53" s="1"/>
      <c r="E53" s="1"/>
      <c r="F53" s="1"/>
      <c r="G53" s="1"/>
      <c r="H53" s="1"/>
      <c r="I53" s="1"/>
      <c r="J53" s="1"/>
      <c r="K53" s="1"/>
      <c r="L53" s="370">
        <f>I45</f>
        <v>14920</v>
      </c>
      <c r="M53" s="61" t="s">
        <v>1302</v>
      </c>
      <c r="N53" s="370">
        <f>I43</f>
        <v>14920</v>
      </c>
      <c r="O53" s="61" t="s">
        <v>1304</v>
      </c>
      <c r="P53"/>
      <c r="Q53"/>
    </row>
    <row r="54" spans="1:17" ht="15.5" thickTop="1" thickBot="1" x14ac:dyDescent="0.4">
      <c r="C54" s="181" t="s">
        <v>1273</v>
      </c>
      <c r="D54" s="181"/>
      <c r="E54" s="181"/>
      <c r="F54" s="181"/>
      <c r="G54" s="1"/>
      <c r="H54" s="1"/>
      <c r="I54" s="1"/>
      <c r="J54" s="1"/>
      <c r="K54" s="1"/>
      <c r="L54" s="635">
        <f>L51+L52-L53</f>
        <v>27047</v>
      </c>
      <c r="M54" s="61" t="s">
        <v>1303</v>
      </c>
      <c r="N54" s="635">
        <f>N51+N52-N53</f>
        <v>27047</v>
      </c>
      <c r="O54" s="61" t="s">
        <v>1305</v>
      </c>
      <c r="P54"/>
      <c r="Q54"/>
    </row>
    <row r="55" spans="1:17" ht="15" thickTop="1" x14ac:dyDescent="0.35">
      <c r="L55" s="286"/>
      <c r="P55"/>
      <c r="Q55"/>
    </row>
    <row r="56" spans="1:17" x14ac:dyDescent="0.35">
      <c r="C56" s="75" t="s">
        <v>84</v>
      </c>
      <c r="D56" s="75"/>
      <c r="E56" s="75"/>
      <c r="F56" s="75"/>
      <c r="L56" s="637">
        <f>ROUND(L54/N54-1,8)</f>
        <v>0</v>
      </c>
      <c r="M56" s="594" t="s">
        <v>1306</v>
      </c>
      <c r="P56"/>
      <c r="Q56"/>
    </row>
    <row r="59" spans="1:17" x14ac:dyDescent="0.35">
      <c r="A59" s="126" t="s">
        <v>83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SC5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567">
        <f>Q6</f>
        <v>0</v>
      </c>
      <c r="E63" s="123" t="str">
        <f>R6</f>
        <v>-</v>
      </c>
      <c r="F63" s="567">
        <f>S6</f>
        <v>5</v>
      </c>
      <c r="G63" s="123"/>
      <c r="H63" s="35">
        <f>G10</f>
        <v>178.73</v>
      </c>
      <c r="I63" s="136" t="s">
        <v>165</v>
      </c>
      <c r="J63" s="35">
        <f>G12</f>
        <v>114.67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G64" s="36"/>
      <c r="H64" s="35"/>
      <c r="I64" s="136"/>
      <c r="J64" s="35"/>
      <c r="K64" s="136"/>
      <c r="L64" s="3"/>
      <c r="M64" s="17"/>
      <c r="N64" s="3"/>
      <c r="P64"/>
      <c r="Q64"/>
    </row>
    <row r="65" spans="2:15" customFormat="1" x14ac:dyDescent="0.35">
      <c r="B65" s="3"/>
      <c r="C65" s="3"/>
      <c r="D65" s="3"/>
      <c r="E65" s="123" t="str">
        <f>R7</f>
        <v>&gt;</v>
      </c>
      <c r="F65" s="567">
        <f>S7</f>
        <v>5</v>
      </c>
      <c r="G65" s="36"/>
      <c r="H65" s="120">
        <f>G11</f>
        <v>31.369999999999997</v>
      </c>
      <c r="I65" s="136" t="s">
        <v>166</v>
      </c>
      <c r="J65" s="124">
        <f>G13</f>
        <v>19.97</v>
      </c>
      <c r="K65" s="136" t="s">
        <v>229</v>
      </c>
      <c r="L65" s="27">
        <f>H65-J$65</f>
        <v>11.399999999999999</v>
      </c>
      <c r="M65" s="61" t="s">
        <v>1092</v>
      </c>
      <c r="N65" s="112"/>
      <c r="O65" s="61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136.30000000000001</v>
      </c>
      <c r="I67" s="136" t="s">
        <v>138</v>
      </c>
      <c r="J67" s="35">
        <f>G18</f>
        <v>72.23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G68" s="36"/>
      <c r="H68" s="35"/>
      <c r="I68" s="136"/>
      <c r="J68" s="35"/>
      <c r="K68" s="136"/>
      <c r="L68" s="3"/>
      <c r="M68" s="17"/>
      <c r="N68" s="3"/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5</v>
      </c>
      <c r="G69" s="36"/>
      <c r="H69" s="120">
        <f>G17</f>
        <v>23.81</v>
      </c>
      <c r="I69" s="136" t="s">
        <v>101</v>
      </c>
      <c r="J69" s="120">
        <f>G19</f>
        <v>12.41</v>
      </c>
      <c r="K69" s="136" t="s">
        <v>1091</v>
      </c>
      <c r="L69" s="27">
        <f>H69-J$65</f>
        <v>3.84</v>
      </c>
      <c r="M69" s="61" t="s">
        <v>1093</v>
      </c>
      <c r="N69" s="27">
        <f>J69-J$65</f>
        <v>-7.5599999999999987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/>
      <c r="G74" s="117"/>
      <c r="H74" s="116"/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75</v>
      </c>
      <c r="G75" s="114" t="str">
        <f>CONCATENATE("X + ",L76)</f>
        <v>X + 11.4</v>
      </c>
      <c r="H75" s="115" t="s">
        <v>32</v>
      </c>
      <c r="L75" s="3"/>
      <c r="M75" s="17"/>
      <c r="N75" s="3"/>
    </row>
    <row r="76" spans="2:15" customFormat="1" x14ac:dyDescent="0.35">
      <c r="B76" s="3"/>
      <c r="G76" s="114"/>
      <c r="H76" s="113"/>
      <c r="L76" s="27">
        <f>ROUND(L65*(1+$L$56),2)</f>
        <v>11.4</v>
      </c>
      <c r="M76" s="61" t="s">
        <v>1096</v>
      </c>
      <c r="N76" s="112"/>
      <c r="O76" s="61" t="s">
        <v>1095</v>
      </c>
    </row>
    <row r="77" spans="2:15" customFormat="1" ht="15" thickBot="1" x14ac:dyDescent="0.4">
      <c r="B77" s="3" t="s">
        <v>73</v>
      </c>
      <c r="G77" s="111" t="str">
        <f>CONCATENATE("X + ",L80)</f>
        <v>X + 3.84</v>
      </c>
      <c r="H77" s="110" t="str">
        <f>CONCATENATE("X + ",N80)</f>
        <v>X + -7.56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3"/>
      <c r="M79" s="17"/>
      <c r="N79" s="3"/>
    </row>
    <row r="80" spans="2:15" customFormat="1" x14ac:dyDescent="0.35">
      <c r="L80" s="27">
        <f>ROUND(L69*(1+$L$56),2)</f>
        <v>3.84</v>
      </c>
      <c r="M80" s="61" t="s">
        <v>1097</v>
      </c>
      <c r="N80" s="27">
        <f>ROUND(N69*(1+$L$56),2)</f>
        <v>-7.56</v>
      </c>
      <c r="O80" s="61" t="s">
        <v>1099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42" t="s">
        <v>70</v>
      </c>
    </row>
    <row r="83" spans="2:15" customFormat="1" x14ac:dyDescent="0.35">
      <c r="B83" s="41" t="str">
        <f>$A$4</f>
        <v>SC5 Rate I</v>
      </c>
    </row>
    <row r="84" spans="2:15" customFormat="1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/>
      <c r="C85" s="70"/>
      <c r="D85" s="70"/>
      <c r="E85" s="3"/>
      <c r="F85" s="3"/>
      <c r="G85" s="108"/>
      <c r="I85" s="72"/>
      <c r="J85" s="36"/>
      <c r="K85" s="74"/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&gt;5 kW</v>
      </c>
      <c r="I86" s="72">
        <f>U7</f>
        <v>190</v>
      </c>
      <c r="J86" s="36" t="s">
        <v>39</v>
      </c>
      <c r="K86" s="107" t="str">
        <f>CONCATENATE("[",G75,"]")</f>
        <v>[X + 11.4]</v>
      </c>
      <c r="L86" s="61" t="s">
        <v>1114</v>
      </c>
    </row>
    <row r="87" spans="2:15" customFormat="1" x14ac:dyDescent="0.35">
      <c r="B87" s="3"/>
      <c r="C87" s="3"/>
      <c r="D87" s="3"/>
      <c r="E87" s="3"/>
      <c r="F87" s="3"/>
      <c r="G87" s="3"/>
      <c r="I87" s="72"/>
      <c r="J87" s="36"/>
      <c r="K87" s="73"/>
      <c r="L87" s="61"/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&gt;5 kW</v>
      </c>
      <c r="I88" s="72">
        <f>U12</f>
        <v>1056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&gt;5 kW</v>
      </c>
      <c r="I90" s="72">
        <f>U17</f>
        <v>0</v>
      </c>
      <c r="J90" s="36" t="s">
        <v>39</v>
      </c>
      <c r="K90" s="73" t="str">
        <f>CONCATENATE("[",G77,"]")</f>
        <v>[X + 3.84]</v>
      </c>
      <c r="L90" s="61" t="s">
        <v>1115</v>
      </c>
    </row>
    <row r="91" spans="2:15" customFormat="1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&gt;5 kW</v>
      </c>
      <c r="I92" s="72">
        <f>U22</f>
        <v>0</v>
      </c>
      <c r="J92" s="36" t="s">
        <v>39</v>
      </c>
      <c r="K92" s="71" t="str">
        <f>CONCATENATE("[",H77,"]")</f>
        <v>[X + -7.56]</v>
      </c>
      <c r="L92" s="61" t="s">
        <v>1116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SC5 Rate I</v>
      </c>
      <c r="F96" s="3"/>
      <c r="G96" s="3"/>
      <c r="H96" s="3"/>
      <c r="I96" s="69" t="s">
        <v>25</v>
      </c>
      <c r="J96" s="3"/>
      <c r="K96" s="566" t="s">
        <v>68</v>
      </c>
      <c r="L96" s="3"/>
      <c r="M96" s="3"/>
      <c r="N96" s="17"/>
    </row>
    <row r="97" spans="2:14" customFormat="1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</row>
    <row r="98" spans="2:14" customFormat="1" x14ac:dyDescent="0.35">
      <c r="B98" s="3" t="s">
        <v>37</v>
      </c>
      <c r="C98" s="3"/>
      <c r="F98" s="3"/>
      <c r="G98" s="3"/>
      <c r="H98" s="3"/>
      <c r="I98" s="105">
        <f t="shared" ref="I98:I104" si="0">I86</f>
        <v>190</v>
      </c>
      <c r="J98" s="65" t="s">
        <v>63</v>
      </c>
      <c r="K98" s="34">
        <f>ROUND(I98*L76,0)</f>
        <v>2166</v>
      </c>
      <c r="L98" s="3" t="s">
        <v>62</v>
      </c>
      <c r="M98" s="61" t="s">
        <v>1100</v>
      </c>
      <c r="N98" s="17"/>
    </row>
    <row r="99" spans="2:14" customFormat="1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</row>
    <row r="100" spans="2:14" customFormat="1" x14ac:dyDescent="0.35">
      <c r="B100" s="3" t="s">
        <v>36</v>
      </c>
      <c r="C100" s="3"/>
      <c r="F100" s="3"/>
      <c r="G100" s="3"/>
      <c r="H100" s="3"/>
      <c r="I100" s="105">
        <f t="shared" si="0"/>
        <v>1056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</row>
    <row r="102" spans="2:14" customFormat="1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</row>
    <row r="103" spans="2:14" customFormat="1" x14ac:dyDescent="0.35">
      <c r="B103" s="3"/>
      <c r="C103" s="3"/>
      <c r="F103" s="3"/>
      <c r="G103" s="3"/>
      <c r="H103" s="3"/>
      <c r="I103" s="105"/>
      <c r="J103" s="104"/>
      <c r="K103" s="34"/>
      <c r="L103" s="44"/>
      <c r="M103" s="17"/>
      <c r="N103" s="17"/>
    </row>
    <row r="104" spans="2:14" customFormat="1" x14ac:dyDescent="0.35">
      <c r="B104" s="3" t="s">
        <v>34</v>
      </c>
      <c r="C104" s="3"/>
      <c r="F104" s="3"/>
      <c r="G104" s="3"/>
      <c r="H104" s="3"/>
      <c r="I104" s="351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33</v>
      </c>
      <c r="C105" s="3"/>
      <c r="F105" s="66"/>
      <c r="G105" s="66">
        <f>L54</f>
        <v>27047</v>
      </c>
      <c r="H105" s="63" t="s">
        <v>31</v>
      </c>
      <c r="I105" s="28">
        <f>SUM(I97:I104)</f>
        <v>1246</v>
      </c>
      <c r="J105" s="65" t="s">
        <v>63</v>
      </c>
      <c r="K105" s="103">
        <f>SUM(K97:K104)</f>
        <v>2166</v>
      </c>
      <c r="L105" s="3" t="s">
        <v>62</v>
      </c>
      <c r="M105" s="61" t="s">
        <v>1104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1105</v>
      </c>
      <c r="N106" s="17"/>
    </row>
    <row r="107" spans="2:14" customFormat="1" x14ac:dyDescent="0.35">
      <c r="F107" s="34"/>
      <c r="G107" s="34">
        <f>G105-K105</f>
        <v>24881</v>
      </c>
      <c r="H107" s="63" t="s">
        <v>31</v>
      </c>
      <c r="I107" s="28">
        <f>I105</f>
        <v>1246</v>
      </c>
      <c r="J107" s="65" t="s">
        <v>32</v>
      </c>
      <c r="K107" s="3"/>
      <c r="L107" s="3"/>
      <c r="M107" s="61" t="s">
        <v>1106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19.97</v>
      </c>
      <c r="J109" s="61" t="s">
        <v>1108</v>
      </c>
      <c r="K109" s="3"/>
      <c r="L109" s="3"/>
      <c r="M109" s="61" t="s">
        <v>1107</v>
      </c>
      <c r="N109" s="17"/>
    </row>
    <row r="110" spans="2:14" customFormat="1" ht="15" thickTop="1" x14ac:dyDescent="0.35"/>
    <row r="111" spans="2:14" customFormat="1" ht="15" thickBot="1" x14ac:dyDescent="0.4">
      <c r="B111" s="42" t="str">
        <f>CONCATENATE($A$4," at Proposed Demand Rates")</f>
        <v>SC5 Rate I at Proposed Demand Rates</v>
      </c>
    </row>
    <row r="112" spans="2:14" customFormat="1" ht="15.5" thickTop="1" thickBot="1" x14ac:dyDescent="0.4">
      <c r="C112" s="3" t="s">
        <v>5</v>
      </c>
      <c r="D112" s="1306">
        <f>$L$4</f>
        <v>2020</v>
      </c>
      <c r="E112" s="1306"/>
      <c r="F112" s="1306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178.73</v>
      </c>
      <c r="I114" s="61" t="s">
        <v>165</v>
      </c>
      <c r="J114" s="35">
        <f>J63</f>
        <v>114.67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136.30000000000001</v>
      </c>
      <c r="I115" s="61" t="s">
        <v>138</v>
      </c>
      <c r="J115" s="35">
        <f>J67</f>
        <v>72.23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56" t="s">
        <v>58</v>
      </c>
      <c r="I118" s="1357"/>
      <c r="J118" s="1358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5</v>
      </c>
      <c r="G120" s="44"/>
      <c r="H120" s="97">
        <f>ROUND(H114*(1+$I$34),2)</f>
        <v>178.73</v>
      </c>
      <c r="I120" s="54" t="s">
        <v>1118</v>
      </c>
      <c r="J120" s="97">
        <f>ROUND(J114*(1+$I$34),2)</f>
        <v>114.67</v>
      </c>
      <c r="K120" s="54" t="s">
        <v>1120</v>
      </c>
      <c r="L120" s="94"/>
      <c r="M120" s="81">
        <f>ROUND(H120/H63-1,4)</f>
        <v>0</v>
      </c>
      <c r="N120" s="81">
        <f>ROUND(J120/J63-1,4)</f>
        <v>0</v>
      </c>
    </row>
    <row r="121" spans="3:14" customFormat="1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5</v>
      </c>
      <c r="G122" s="44"/>
      <c r="H122" s="95">
        <f>$I$109+L76</f>
        <v>31.369999999999997</v>
      </c>
      <c r="I122" s="54" t="s">
        <v>1121</v>
      </c>
      <c r="J122" s="95">
        <f>$I$109+N76</f>
        <v>19.97</v>
      </c>
      <c r="K122" s="54" t="s">
        <v>1108</v>
      </c>
      <c r="L122" s="94"/>
      <c r="M122" s="81">
        <f>ROUND(H122/H65-1,4)</f>
        <v>0</v>
      </c>
      <c r="N122" s="81">
        <f>ROUND(J122/J65-1,4)</f>
        <v>0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5</v>
      </c>
      <c r="G124" s="44"/>
      <c r="H124" s="97">
        <f>ROUND(H115*(1+$I$34),2)</f>
        <v>136.30000000000001</v>
      </c>
      <c r="I124" s="54" t="s">
        <v>1119</v>
      </c>
      <c r="J124" s="97">
        <f>ROUND(J115*(1+$I$34),2)</f>
        <v>72.23</v>
      </c>
      <c r="K124" s="54" t="s">
        <v>1123</v>
      </c>
      <c r="L124" s="94"/>
      <c r="M124" s="81">
        <f>ROUND(H124/H67-1,4)</f>
        <v>0</v>
      </c>
      <c r="N124" s="81">
        <f>ROUND(J124/J67-1,4)</f>
        <v>0</v>
      </c>
    </row>
    <row r="125" spans="3:14" customFormat="1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5</v>
      </c>
      <c r="G126" s="44"/>
      <c r="H126" s="95">
        <f>$I$109+L80</f>
        <v>23.81</v>
      </c>
      <c r="I126" s="54" t="s">
        <v>1122</v>
      </c>
      <c r="J126" s="95">
        <f>$I$109+N80</f>
        <v>12.41</v>
      </c>
      <c r="K126" s="54" t="s">
        <v>1124</v>
      </c>
      <c r="L126" s="94"/>
      <c r="M126" s="81">
        <f>ROUND(H126/H69-1,4)</f>
        <v>0</v>
      </c>
      <c r="N126" s="81">
        <f>ROUND(J126/J69-1,4)</f>
        <v>0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42" t="s">
        <v>56</v>
      </c>
      <c r="B130" s="3"/>
      <c r="C130" s="3"/>
      <c r="D130" s="3"/>
      <c r="E130" s="3"/>
      <c r="F130" s="3"/>
      <c r="G130" s="3"/>
      <c r="H130" s="3"/>
      <c r="I130" s="3"/>
    </row>
    <row r="131" spans="1:15" customFormat="1" x14ac:dyDescent="0.35">
      <c r="A131" s="42"/>
      <c r="B131" s="3"/>
      <c r="C131" s="3"/>
      <c r="D131" s="3"/>
      <c r="E131" s="3"/>
      <c r="F131" s="3"/>
      <c r="G131" s="3"/>
      <c r="H131" s="3"/>
      <c r="I131" s="3"/>
    </row>
    <row r="132" spans="1:15" customFormat="1" x14ac:dyDescent="0.35">
      <c r="A132" s="42"/>
      <c r="B132" s="42" t="s">
        <v>55</v>
      </c>
      <c r="C132" s="3"/>
      <c r="D132" s="3"/>
      <c r="E132" s="3"/>
      <c r="F132" s="3"/>
      <c r="G132" s="3"/>
      <c r="H132" s="3"/>
      <c r="I132" s="3"/>
    </row>
    <row r="133" spans="1:15" customFormat="1" x14ac:dyDescent="0.35">
      <c r="A133" s="42"/>
      <c r="B133" s="41" t="str">
        <f>$A$4</f>
        <v>SC5 Rate I</v>
      </c>
      <c r="C133" s="3"/>
      <c r="D133" s="3"/>
      <c r="E133" s="3"/>
      <c r="F133" s="3"/>
      <c r="G133" s="3"/>
      <c r="H133" s="3"/>
      <c r="I133" s="3"/>
    </row>
    <row r="134" spans="1:15" customFormat="1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27213</v>
      </c>
      <c r="J134" s="61" t="s">
        <v>50</v>
      </c>
      <c r="L134" s="3"/>
    </row>
    <row r="135" spans="1:15" customFormat="1" x14ac:dyDescent="0.35">
      <c r="A135" s="42"/>
      <c r="B135" s="3" t="str">
        <f>CONCATENATE("Less: ",$L$5," Energy Revenues to Demand at Current Rates Level")</f>
        <v>Less: Shift of 0%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1361</v>
      </c>
      <c r="J135" s="61" t="s">
        <v>1125</v>
      </c>
      <c r="L135" s="3"/>
    </row>
    <row r="136" spans="1:15" customFormat="1" x14ac:dyDescent="0.35">
      <c r="A136" s="42"/>
      <c r="J136" s="3"/>
      <c r="L136" s="3"/>
    </row>
    <row r="137" spans="1:15" customFormat="1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42"/>
      <c r="B138" s="89" t="s">
        <v>52</v>
      </c>
      <c r="C138" s="3"/>
      <c r="D138" s="3"/>
      <c r="E138" s="3"/>
      <c r="F138" s="3"/>
      <c r="G138" s="3"/>
      <c r="H138" s="3"/>
      <c r="I138" s="32">
        <f>I134-I135</f>
        <v>25852</v>
      </c>
      <c r="J138" s="61" t="s">
        <v>1126</v>
      </c>
      <c r="L138" s="3"/>
    </row>
    <row r="139" spans="1:15" customFormat="1" x14ac:dyDescent="0.35">
      <c r="A139" s="42"/>
      <c r="B139" s="3"/>
      <c r="C139" s="3"/>
      <c r="D139" s="3"/>
      <c r="E139" s="3"/>
      <c r="F139" s="3"/>
      <c r="G139" s="3"/>
      <c r="H139" s="3"/>
    </row>
    <row r="140" spans="1:15" customFormat="1" x14ac:dyDescent="0.35">
      <c r="A140" s="42"/>
      <c r="B140" s="3"/>
      <c r="C140" s="3"/>
      <c r="D140" s="3"/>
      <c r="E140" s="3"/>
      <c r="F140" s="3"/>
      <c r="G140" s="3"/>
      <c r="H140" s="3"/>
      <c r="I140" s="3"/>
    </row>
    <row r="141" spans="1:15" customFormat="1" ht="15" thickBot="1" x14ac:dyDescent="0.4"/>
    <row r="142" spans="1:15" customFormat="1" ht="15.5" thickTop="1" thickBot="1" x14ac:dyDescent="0.4">
      <c r="B142" s="41" t="str">
        <f>$A$4</f>
        <v>SC5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C144" s="3" t="s">
        <v>9</v>
      </c>
      <c r="H144" s="521">
        <f>G8</f>
        <v>3.7900000000000003E-2</v>
      </c>
      <c r="I144" s="61" t="s">
        <v>47</v>
      </c>
      <c r="J144" s="521">
        <f>G9</f>
        <v>3.7900000000000003E-2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</row>
    <row r="145" spans="2:15" customFormat="1" x14ac:dyDescent="0.35">
      <c r="C145" s="3"/>
      <c r="D145" s="3"/>
      <c r="E145" s="3"/>
      <c r="F145" s="3"/>
      <c r="H145" s="3"/>
      <c r="I145" s="61"/>
      <c r="J145" s="3"/>
      <c r="K145" s="61"/>
      <c r="L145" s="82"/>
      <c r="M145" s="61"/>
      <c r="N145" s="82"/>
    </row>
    <row r="146" spans="2:15" customFormat="1" x14ac:dyDescent="0.35">
      <c r="C146" s="3" t="s">
        <v>8</v>
      </c>
      <c r="H146" s="521">
        <f>G14</f>
        <v>3.7900000000000003E-2</v>
      </c>
      <c r="I146" s="61" t="s">
        <v>53</v>
      </c>
      <c r="J146" s="521">
        <f>G15</f>
        <v>3.7900000000000003E-2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</row>
    <row r="147" spans="2:15" customFormat="1" x14ac:dyDescent="0.35"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</row>
    <row r="148" spans="2:15" customFormat="1" x14ac:dyDescent="0.35">
      <c r="C148" s="3" t="s">
        <v>9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</row>
    <row r="149" spans="2:15" customFormat="1" x14ac:dyDescent="0.35"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</row>
    <row r="150" spans="2:15" customFormat="1" x14ac:dyDescent="0.35">
      <c r="C150" s="3" t="s">
        <v>8</v>
      </c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</row>
    <row r="151" spans="2:15" customFormat="1" x14ac:dyDescent="0.35">
      <c r="H151" s="3"/>
      <c r="I151" s="3"/>
      <c r="J151" s="3"/>
      <c r="K151" s="3"/>
      <c r="L151" s="3"/>
      <c r="M151" s="3"/>
      <c r="N151" s="3"/>
    </row>
    <row r="152" spans="2:15" customFormat="1" x14ac:dyDescent="0.35">
      <c r="H152" s="3"/>
      <c r="I152" s="3"/>
      <c r="J152" s="3"/>
      <c r="K152" s="3"/>
      <c r="L152" s="3"/>
      <c r="M152" s="3"/>
      <c r="N152" s="3"/>
    </row>
    <row r="153" spans="2:15" customFormat="1" x14ac:dyDescent="0.35">
      <c r="B153" s="42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5" customFormat="1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5" customFormat="1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2:15" customFormat="1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151446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2:15" customFormat="1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530566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2:15" customFormat="1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</row>
    <row r="159" spans="2:15" customFormat="1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</row>
    <row r="162" spans="1:12" customFormat="1" x14ac:dyDescent="0.35">
      <c r="A162" s="42"/>
      <c r="B162" s="70" t="s">
        <v>38</v>
      </c>
      <c r="C162" s="3"/>
      <c r="D162" s="3"/>
      <c r="E162" s="3"/>
      <c r="F162" s="3"/>
      <c r="G162" s="3"/>
      <c r="H162" s="3"/>
    </row>
    <row r="163" spans="1:12" customFormat="1" x14ac:dyDescent="0.35">
      <c r="A163" s="42"/>
      <c r="B163" s="41" t="str">
        <f>$A$4</f>
        <v>SC5 Rate I</v>
      </c>
      <c r="C163" s="3"/>
      <c r="D163" s="3"/>
      <c r="E163" s="3"/>
      <c r="F163" s="3"/>
      <c r="G163" s="3"/>
      <c r="I163" s="69" t="s">
        <v>44</v>
      </c>
    </row>
    <row r="164" spans="1:12" customFormat="1" x14ac:dyDescent="0.35">
      <c r="A164" s="42"/>
      <c r="B164" s="3" t="s">
        <v>37</v>
      </c>
      <c r="C164" s="3"/>
      <c r="D164" s="3"/>
      <c r="E164" s="3"/>
      <c r="F164" s="3"/>
      <c r="G164" s="3"/>
      <c r="I164" s="68">
        <f>I156</f>
        <v>151446</v>
      </c>
      <c r="J164" s="65" t="s">
        <v>32</v>
      </c>
      <c r="K164" s="61" t="s">
        <v>1134</v>
      </c>
    </row>
    <row r="165" spans="1:12" customFormat="1" x14ac:dyDescent="0.35">
      <c r="A165" s="42"/>
      <c r="B165" s="3" t="s">
        <v>36</v>
      </c>
      <c r="C165" s="3"/>
      <c r="D165" s="3"/>
      <c r="E165" s="3"/>
      <c r="F165" s="3"/>
      <c r="G165" s="3"/>
      <c r="I165" s="68">
        <f>I157</f>
        <v>530566</v>
      </c>
      <c r="J165" s="65" t="s">
        <v>32</v>
      </c>
      <c r="K165" s="61" t="s">
        <v>1135</v>
      </c>
    </row>
    <row r="166" spans="1:12" customFormat="1" x14ac:dyDescent="0.35">
      <c r="A166" s="42"/>
      <c r="B166" s="3" t="s">
        <v>35</v>
      </c>
      <c r="C166" s="3"/>
      <c r="D166" s="3"/>
      <c r="E166" s="3"/>
      <c r="F166" s="3"/>
      <c r="G166" s="3"/>
      <c r="I166" s="68">
        <f>I158</f>
        <v>0</v>
      </c>
      <c r="J166" s="65" t="s">
        <v>32</v>
      </c>
      <c r="K166" s="61" t="s">
        <v>1136</v>
      </c>
    </row>
    <row r="167" spans="1:12" customFormat="1" x14ac:dyDescent="0.35">
      <c r="A167" s="42"/>
      <c r="B167" s="3" t="s">
        <v>34</v>
      </c>
      <c r="C167" s="3"/>
      <c r="D167" s="3"/>
      <c r="E167" s="3"/>
      <c r="F167" s="3"/>
      <c r="G167" s="3"/>
      <c r="I167" s="67">
        <f>I159</f>
        <v>0</v>
      </c>
      <c r="J167" s="65" t="s">
        <v>32</v>
      </c>
      <c r="K167" s="61" t="s">
        <v>1137</v>
      </c>
    </row>
    <row r="168" spans="1:12" customFormat="1" x14ac:dyDescent="0.35">
      <c r="A168" s="42"/>
      <c r="B168" s="3" t="s">
        <v>33</v>
      </c>
      <c r="C168" s="3"/>
      <c r="D168" s="3"/>
      <c r="E168" s="3"/>
      <c r="G168" s="66">
        <f>I138</f>
        <v>25852</v>
      </c>
      <c r="H168" s="63" t="s">
        <v>31</v>
      </c>
      <c r="I168" s="28">
        <f>SUM(I164:I167)</f>
        <v>682012</v>
      </c>
      <c r="J168" s="65" t="s">
        <v>32</v>
      </c>
      <c r="K168" s="61" t="s">
        <v>1139</v>
      </c>
    </row>
    <row r="169" spans="1:12" customFormat="1" x14ac:dyDescent="0.35">
      <c r="A169" s="42"/>
      <c r="B169" s="3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3"/>
      <c r="C170" s="3"/>
      <c r="D170" s="3"/>
      <c r="E170" s="3"/>
      <c r="G170" s="34">
        <f>G168</f>
        <v>25852</v>
      </c>
      <c r="H170" s="63" t="s">
        <v>31</v>
      </c>
      <c r="I170" s="28">
        <f>I168</f>
        <v>682012</v>
      </c>
      <c r="J170" s="65" t="s">
        <v>32</v>
      </c>
      <c r="K170" s="61" t="s">
        <v>1138</v>
      </c>
    </row>
    <row r="171" spans="1:12" customFormat="1" ht="15" thickBot="1" x14ac:dyDescent="0.4">
      <c r="A171" s="42"/>
      <c r="B171" s="3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62">
        <f>ROUND(G170/I170,4)</f>
        <v>3.7900000000000003E-2</v>
      </c>
      <c r="J172" s="61" t="s">
        <v>1141</v>
      </c>
      <c r="K172" s="597" t="s">
        <v>1140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56" t="s">
        <v>29</v>
      </c>
      <c r="J175" s="1357"/>
      <c r="K175" s="1358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/>
      <c r="I178" s="522">
        <f>ROUND($I$172*L144,4)</f>
        <v>3.7900000000000003E-2</v>
      </c>
      <c r="J178" s="54" t="s">
        <v>1143</v>
      </c>
      <c r="K178" s="523">
        <f>I172</f>
        <v>3.7900000000000003E-2</v>
      </c>
      <c r="L178" s="598" t="s">
        <v>1141</v>
      </c>
    </row>
    <row r="179" spans="1:17" x14ac:dyDescent="0.35">
      <c r="F179" s="50"/>
      <c r="G179" s="44"/>
      <c r="H179" s="44"/>
      <c r="I179" s="522"/>
      <c r="J179" s="52"/>
      <c r="K179" s="51"/>
      <c r="L179" s="48"/>
    </row>
    <row r="180" spans="1:17" x14ac:dyDescent="0.35">
      <c r="F180" s="50"/>
      <c r="G180" s="44" t="s">
        <v>8</v>
      </c>
      <c r="H180" s="44"/>
      <c r="I180" s="522">
        <f>ROUND($I$172*L146,4)</f>
        <v>3.7900000000000003E-2</v>
      </c>
      <c r="J180" s="54" t="s">
        <v>1144</v>
      </c>
      <c r="K180" s="522">
        <f>ROUND($I$172*N146,4)</f>
        <v>3.7900000000000003E-2</v>
      </c>
      <c r="L180" s="598" t="s">
        <v>1145</v>
      </c>
    </row>
    <row r="181" spans="1:17" ht="15" thickBot="1" x14ac:dyDescent="0.4">
      <c r="F181" s="47"/>
      <c r="G181" s="46"/>
      <c r="H181" s="46"/>
      <c r="I181" s="46"/>
      <c r="J181" s="46"/>
      <c r="K181" s="4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42" t="s">
        <v>28</v>
      </c>
    </row>
    <row r="184" spans="1:17" x14ac:dyDescent="0.35">
      <c r="A184" s="42"/>
    </row>
    <row r="185" spans="1:17" x14ac:dyDescent="0.35">
      <c r="A185" s="42"/>
      <c r="B185" s="41" t="str">
        <f>$A$4</f>
        <v>SC5 Rate I</v>
      </c>
    </row>
    <row r="186" spans="1:17" x14ac:dyDescent="0.35">
      <c r="A186" s="3"/>
      <c r="B186" s="41" t="s">
        <v>5</v>
      </c>
      <c r="D186" s="1345">
        <f>L4</f>
        <v>2020</v>
      </c>
      <c r="E186" s="1345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31" t="s">
        <v>27</v>
      </c>
      <c r="D189" s="3"/>
      <c r="E189" s="3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3" t="s">
        <v>9</v>
      </c>
      <c r="D190" s="36">
        <f>D63</f>
        <v>0</v>
      </c>
      <c r="E190" s="36" t="str">
        <f>E63</f>
        <v>-</v>
      </c>
      <c r="F190" s="36">
        <f>F63</f>
        <v>5</v>
      </c>
      <c r="G190" s="29">
        <f>T6</f>
        <v>10</v>
      </c>
      <c r="H190" s="3"/>
      <c r="I190" s="29">
        <f>U6</f>
        <v>180</v>
      </c>
      <c r="J190" s="3"/>
      <c r="K190" s="35">
        <f>H120</f>
        <v>178.73</v>
      </c>
      <c r="L190" s="3"/>
      <c r="M190" s="524">
        <f>ROUND(K190*(I190/F190),0)</f>
        <v>6434</v>
      </c>
      <c r="N190" s="3"/>
      <c r="O190" s="3"/>
      <c r="P190" s="2"/>
      <c r="Q190" s="2"/>
    </row>
    <row r="191" spans="1:17" x14ac:dyDescent="0.35">
      <c r="B191" s="3"/>
      <c r="C191" s="3"/>
      <c r="D191" s="36"/>
      <c r="E191" s="36" t="str">
        <f>E$65</f>
        <v>&gt;</v>
      </c>
      <c r="F191" s="36">
        <f>F$65</f>
        <v>5</v>
      </c>
      <c r="G191" s="29">
        <f>T7</f>
        <v>26</v>
      </c>
      <c r="H191" s="3"/>
      <c r="I191" s="29">
        <f>U7</f>
        <v>190</v>
      </c>
      <c r="J191" s="3"/>
      <c r="K191" s="35">
        <f>H122</f>
        <v>31.369999999999997</v>
      </c>
      <c r="L191" s="3"/>
      <c r="M191" s="26">
        <f>ROUND(K191*I191,0)</f>
        <v>5960</v>
      </c>
      <c r="N191" s="3"/>
      <c r="O191" s="3"/>
      <c r="P191" s="2"/>
      <c r="Q191" s="2"/>
    </row>
    <row r="192" spans="1:17" x14ac:dyDescent="0.35">
      <c r="B192" s="3"/>
      <c r="C192" s="3"/>
      <c r="D192" s="36"/>
      <c r="E192" s="36"/>
      <c r="F192" s="36"/>
      <c r="G192" s="38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3"/>
      <c r="D193" s="36"/>
      <c r="E193" s="36"/>
      <c r="F193" s="36"/>
      <c r="G193" s="28">
        <f>G190+G191+G192</f>
        <v>36</v>
      </c>
      <c r="H193" s="3"/>
      <c r="I193" s="28">
        <f>I190+I191+I192</f>
        <v>370</v>
      </c>
      <c r="J193" s="3"/>
      <c r="K193" s="35"/>
      <c r="L193" s="3"/>
      <c r="M193" s="34">
        <f>M190+M191+M192</f>
        <v>12394</v>
      </c>
      <c r="N193" s="34"/>
      <c r="O193" s="36" t="s">
        <v>10</v>
      </c>
      <c r="P193" s="2"/>
      <c r="Q193" s="2"/>
    </row>
    <row r="194" spans="2:17" x14ac:dyDescent="0.35">
      <c r="B194" s="3"/>
      <c r="C194" s="3"/>
      <c r="D194" s="36"/>
      <c r="E194" s="36"/>
      <c r="F194" s="36"/>
      <c r="G194" s="28"/>
      <c r="H194" s="3"/>
      <c r="I194" s="28"/>
      <c r="J194" s="3"/>
      <c r="K194" s="35"/>
      <c r="L194" s="33" t="s">
        <v>22</v>
      </c>
      <c r="M194" s="34">
        <f>ROUND(M193*(O194-1),0)</f>
        <v>148</v>
      </c>
      <c r="N194" s="33" t="s">
        <v>23</v>
      </c>
      <c r="O194" s="40">
        <f>L10</f>
        <v>1.0119199999999999</v>
      </c>
      <c r="P194" s="2"/>
      <c r="Q194" s="2"/>
    </row>
    <row r="195" spans="2:17" x14ac:dyDescent="0.35">
      <c r="B195" s="3"/>
      <c r="C195" s="3"/>
      <c r="D195" s="36"/>
      <c r="E195" s="36"/>
      <c r="F195" s="36"/>
      <c r="G195" s="28"/>
      <c r="H195" s="3"/>
      <c r="I195" s="28"/>
      <c r="J195" s="3"/>
      <c r="K195" s="35"/>
      <c r="L195" s="33" t="s">
        <v>21</v>
      </c>
      <c r="M195" s="32">
        <f>M193+M194</f>
        <v>12542</v>
      </c>
      <c r="N195" s="8"/>
      <c r="O195" s="3"/>
      <c r="P195" s="2"/>
      <c r="Q195" s="2"/>
    </row>
    <row r="196" spans="2:17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3" t="s">
        <v>8</v>
      </c>
      <c r="D197" s="36">
        <f>D190</f>
        <v>0</v>
      </c>
      <c r="E197" s="36" t="str">
        <f>E190</f>
        <v>-</v>
      </c>
      <c r="F197" s="36">
        <f>F190</f>
        <v>5</v>
      </c>
      <c r="G197" s="29">
        <f>T16</f>
        <v>0</v>
      </c>
      <c r="H197" s="3"/>
      <c r="I197" s="29">
        <f>U16</f>
        <v>0</v>
      </c>
      <c r="J197" s="3"/>
      <c r="K197" s="35">
        <f>H124</f>
        <v>136.30000000000001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3"/>
      <c r="D198" s="36"/>
      <c r="E198" s="36" t="str">
        <f>E191</f>
        <v>&gt;</v>
      </c>
      <c r="F198" s="36">
        <f>F191</f>
        <v>5</v>
      </c>
      <c r="G198" s="29">
        <f>T17</f>
        <v>0</v>
      </c>
      <c r="H198" s="3"/>
      <c r="I198" s="29">
        <f>U17</f>
        <v>0</v>
      </c>
      <c r="J198" s="3"/>
      <c r="K198" s="35">
        <f>H126</f>
        <v>23.81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3"/>
      <c r="D199" s="36"/>
      <c r="E199" s="36"/>
      <c r="F199" s="36"/>
      <c r="G199" s="38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3"/>
      <c r="D200" s="36"/>
      <c r="E200" s="36"/>
      <c r="F200" s="36"/>
      <c r="G200" s="28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3"/>
      <c r="D201" s="36"/>
      <c r="E201" s="36"/>
      <c r="F201" s="36"/>
      <c r="G201" s="28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3"/>
      <c r="D202" s="36"/>
      <c r="E202" s="36"/>
      <c r="F202" s="36"/>
      <c r="G202" s="28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31" t="s">
        <v>24</v>
      </c>
      <c r="D207" s="3"/>
      <c r="E207" s="3"/>
      <c r="F207" s="3"/>
      <c r="G207" s="3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3" t="s">
        <v>9</v>
      </c>
      <c r="D208" s="36">
        <f>D190</f>
        <v>0</v>
      </c>
      <c r="E208" s="36" t="str">
        <f>E190</f>
        <v>-</v>
      </c>
      <c r="F208" s="36">
        <f>F190</f>
        <v>5</v>
      </c>
      <c r="G208" s="29">
        <f>T11</f>
        <v>14</v>
      </c>
      <c r="H208" s="3"/>
      <c r="I208" s="29">
        <f>U11</f>
        <v>370</v>
      </c>
      <c r="J208" s="3"/>
      <c r="K208" s="35">
        <f>J120</f>
        <v>114.67</v>
      </c>
      <c r="L208" s="3"/>
      <c r="M208" s="524">
        <f>ROUND(K208*(I208/F208),0)</f>
        <v>8486</v>
      </c>
      <c r="N208" s="17"/>
      <c r="O208" s="3"/>
      <c r="P208" s="2"/>
      <c r="Q208" s="2"/>
    </row>
    <row r="209" spans="2:17" x14ac:dyDescent="0.35">
      <c r="B209" s="3"/>
      <c r="C209" s="3"/>
      <c r="D209" s="36"/>
      <c r="E209" s="36" t="str">
        <f>E191</f>
        <v>&gt;</v>
      </c>
      <c r="F209" s="36">
        <f>F191</f>
        <v>5</v>
      </c>
      <c r="G209" s="29">
        <f>T12</f>
        <v>59.999999999999993</v>
      </c>
      <c r="H209" s="3"/>
      <c r="I209" s="29">
        <f>U12</f>
        <v>1056</v>
      </c>
      <c r="J209" s="3"/>
      <c r="K209" s="35">
        <f>J122</f>
        <v>19.97</v>
      </c>
      <c r="L209" s="3"/>
      <c r="M209" s="26">
        <f>ROUND(K209*I209,0)</f>
        <v>21088</v>
      </c>
      <c r="N209" s="17"/>
      <c r="O209" s="3"/>
      <c r="P209" s="2"/>
      <c r="Q209" s="2"/>
    </row>
    <row r="210" spans="2:17" x14ac:dyDescent="0.35">
      <c r="B210" s="3"/>
      <c r="C210" s="3"/>
      <c r="D210" s="36"/>
      <c r="E210" s="36"/>
      <c r="F210" s="36"/>
      <c r="G210" s="38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3"/>
      <c r="D211" s="36"/>
      <c r="E211" s="36"/>
      <c r="F211" s="36"/>
      <c r="G211" s="28">
        <f>G208+G209+G210</f>
        <v>74</v>
      </c>
      <c r="H211" s="3"/>
      <c r="I211" s="28">
        <f>I208+I209+I210</f>
        <v>1426</v>
      </c>
      <c r="J211" s="3"/>
      <c r="K211" s="35"/>
      <c r="L211" s="3"/>
      <c r="M211" s="34">
        <f>M208+M209+M210</f>
        <v>29574</v>
      </c>
      <c r="N211" s="3"/>
      <c r="O211" s="36" t="s">
        <v>7</v>
      </c>
      <c r="P211" s="2"/>
      <c r="Q211" s="2"/>
    </row>
    <row r="212" spans="2:17" x14ac:dyDescent="0.35">
      <c r="B212" s="3"/>
      <c r="C212" s="3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34">
        <f>ROUND(M211*(O212-1),0)</f>
        <v>316</v>
      </c>
      <c r="N212" s="33" t="s">
        <v>23</v>
      </c>
      <c r="O212" s="40">
        <f>L11</f>
        <v>1.01067</v>
      </c>
      <c r="P212" s="2"/>
      <c r="Q212" s="2"/>
    </row>
    <row r="213" spans="2:17" x14ac:dyDescent="0.35">
      <c r="B213" s="3"/>
      <c r="C213" s="3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32">
        <f>M211+M212</f>
        <v>29890</v>
      </c>
      <c r="N213" s="8"/>
      <c r="O213" s="3"/>
      <c r="P213" s="2"/>
      <c r="Q213" s="2"/>
    </row>
    <row r="214" spans="2:1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3" t="s">
        <v>8</v>
      </c>
      <c r="D215" s="36">
        <f>D190</f>
        <v>0</v>
      </c>
      <c r="E215" s="36" t="str">
        <f>E190</f>
        <v>-</v>
      </c>
      <c r="F215" s="36">
        <f>F190</f>
        <v>5</v>
      </c>
      <c r="G215" s="29">
        <f>T21</f>
        <v>0</v>
      </c>
      <c r="H215" s="3"/>
      <c r="I215" s="29">
        <f>U21</f>
        <v>0</v>
      </c>
      <c r="J215" s="3"/>
      <c r="K215" s="35">
        <f>J124</f>
        <v>72.23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3"/>
      <c r="D216" s="36"/>
      <c r="E216" s="36" t="str">
        <f>E191</f>
        <v>&gt;</v>
      </c>
      <c r="F216" s="36">
        <f>F191</f>
        <v>5</v>
      </c>
      <c r="G216" s="29">
        <f>T22</f>
        <v>0</v>
      </c>
      <c r="H216" s="3"/>
      <c r="I216" s="29">
        <f>U22</f>
        <v>0</v>
      </c>
      <c r="J216" s="3"/>
      <c r="K216" s="35">
        <f>J126</f>
        <v>12.41</v>
      </c>
      <c r="L216" s="3"/>
      <c r="M216" s="26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3"/>
      <c r="D217" s="36"/>
      <c r="E217" s="36"/>
      <c r="F217" s="36"/>
      <c r="G217" s="38">
        <f>T23</f>
        <v>0</v>
      </c>
      <c r="H217" s="3"/>
      <c r="I217" s="38">
        <f>U23</f>
        <v>0</v>
      </c>
      <c r="J217" s="3"/>
      <c r="K217" s="35"/>
      <c r="L217" s="3"/>
      <c r="M217" s="37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3"/>
      <c r="D218" s="36"/>
      <c r="E218" s="36"/>
      <c r="F218" s="36"/>
      <c r="G218" s="28">
        <f>G215+G216+G217</f>
        <v>0</v>
      </c>
      <c r="H218" s="3"/>
      <c r="I218" s="28">
        <f>I215+I216+I217</f>
        <v>0</v>
      </c>
      <c r="J218" s="3"/>
      <c r="K218" s="35"/>
      <c r="L218" s="3"/>
      <c r="M218" s="34">
        <f>M215+M216+M217</f>
        <v>0</v>
      </c>
      <c r="N218" s="17"/>
      <c r="O218" s="3"/>
      <c r="P218" s="2"/>
      <c r="Q218" s="2"/>
    </row>
    <row r="219" spans="2:1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34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32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2"/>
      <c r="Q221" s="2"/>
    </row>
    <row r="222" spans="2:17" ht="15.5" thickTop="1" thickBot="1" x14ac:dyDescent="0.4">
      <c r="B222" s="3"/>
      <c r="C222" s="25" t="str">
        <f>CONCATENATE($A$4," - Total Annual Demand Charge Incl EDB:")</f>
        <v>SC5 Rate I - Total Annual Demand Charge Incl EDB:</v>
      </c>
      <c r="D222" s="3"/>
      <c r="E222" s="3"/>
      <c r="F222" s="3"/>
      <c r="G222" s="3"/>
      <c r="H222" s="3"/>
      <c r="I222" s="3"/>
      <c r="J222" s="3"/>
      <c r="K222" s="3"/>
      <c r="L222" s="3"/>
      <c r="M222" s="519">
        <f>M195+M202+M213+M220</f>
        <v>42432</v>
      </c>
      <c r="N222" s="17"/>
      <c r="O222" s="3"/>
      <c r="P222" s="2"/>
      <c r="Q222" s="2"/>
    </row>
    <row r="223" spans="2:17" ht="15" thickTop="1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7"/>
      <c r="O223" s="3"/>
      <c r="P223" s="2"/>
      <c r="Q223" s="2"/>
    </row>
    <row r="224" spans="2:17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0" t="s">
        <v>15</v>
      </c>
      <c r="L224" s="3"/>
      <c r="M224" s="30" t="s">
        <v>14</v>
      </c>
      <c r="N224" s="17"/>
      <c r="O224" s="3"/>
      <c r="P224" s="2"/>
      <c r="Q224" s="2"/>
    </row>
    <row r="225" spans="2:17" x14ac:dyDescent="0.35">
      <c r="B225" s="3"/>
      <c r="C225" s="31" t="s">
        <v>13</v>
      </c>
      <c r="D225" s="3"/>
      <c r="E225" s="3"/>
      <c r="F225" s="3"/>
      <c r="G225" s="3"/>
      <c r="H225" s="3"/>
      <c r="I225" s="30" t="s">
        <v>12</v>
      </c>
      <c r="J225" s="3"/>
      <c r="K225" s="30" t="s">
        <v>11</v>
      </c>
      <c r="L225" s="3"/>
      <c r="M225" s="30" t="s">
        <v>6</v>
      </c>
      <c r="N225" s="17"/>
      <c r="O225" s="3"/>
      <c r="P225" s="2"/>
      <c r="Q225" s="2"/>
    </row>
    <row r="226" spans="2:17" x14ac:dyDescent="0.35">
      <c r="B226" s="3"/>
      <c r="C226" s="3" t="s">
        <v>9</v>
      </c>
      <c r="D226" s="3" t="s">
        <v>10</v>
      </c>
      <c r="E226" s="3"/>
      <c r="F226" s="3"/>
      <c r="G226" s="3"/>
      <c r="H226" s="3"/>
      <c r="I226" s="29">
        <f>V6</f>
        <v>151446</v>
      </c>
      <c r="J226" s="3"/>
      <c r="K226" s="27">
        <f>I178</f>
        <v>3.7900000000000003E-2</v>
      </c>
      <c r="L226" s="3"/>
      <c r="M226" s="26">
        <f>ROUND(I226*K226,0)</f>
        <v>5740</v>
      </c>
      <c r="N226" s="17"/>
      <c r="O226" s="3"/>
      <c r="P226" s="2"/>
      <c r="Q226" s="2"/>
    </row>
    <row r="227" spans="2:17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  <c r="Q227" s="2"/>
    </row>
    <row r="228" spans="2:17" x14ac:dyDescent="0.35">
      <c r="B228" s="3"/>
      <c r="C228" s="3" t="s">
        <v>8</v>
      </c>
      <c r="D228" s="3" t="s">
        <v>10</v>
      </c>
      <c r="E228" s="3"/>
      <c r="F228" s="3"/>
      <c r="G228" s="3"/>
      <c r="H228" s="3"/>
      <c r="I228" s="28">
        <f>V16</f>
        <v>0</v>
      </c>
      <c r="J228" s="3"/>
      <c r="K228" s="27">
        <f>I180</f>
        <v>3.7900000000000003E-2</v>
      </c>
      <c r="L228" s="3"/>
      <c r="M228" s="26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  <c r="Q229" s="2"/>
    </row>
    <row r="230" spans="2:17" x14ac:dyDescent="0.35">
      <c r="B230" s="3"/>
      <c r="C230" s="3" t="s">
        <v>9</v>
      </c>
      <c r="D230" s="3" t="s">
        <v>7</v>
      </c>
      <c r="E230" s="3"/>
      <c r="F230" s="3"/>
      <c r="G230" s="3"/>
      <c r="H230" s="3"/>
      <c r="I230" s="28">
        <f>V11</f>
        <v>530566</v>
      </c>
      <c r="J230" s="3"/>
      <c r="K230" s="27">
        <f>K178</f>
        <v>3.7900000000000003E-2</v>
      </c>
      <c r="L230" s="3"/>
      <c r="M230" s="26">
        <f>ROUND(I230*K230,0)</f>
        <v>20108</v>
      </c>
      <c r="N230" s="17"/>
      <c r="O230" s="3"/>
      <c r="P230" s="2"/>
      <c r="Q230" s="2"/>
    </row>
    <row r="231" spans="2:17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</row>
    <row r="232" spans="2:17" x14ac:dyDescent="0.35">
      <c r="B232" s="3"/>
      <c r="C232" s="3" t="s">
        <v>8</v>
      </c>
      <c r="D232" s="3" t="s">
        <v>7</v>
      </c>
      <c r="E232" s="3"/>
      <c r="F232" s="3"/>
      <c r="G232" s="3"/>
      <c r="H232" s="3"/>
      <c r="I232" s="28">
        <f>V21</f>
        <v>0</v>
      </c>
      <c r="J232" s="3"/>
      <c r="K232" s="27">
        <f>K180</f>
        <v>3.7900000000000003E-2</v>
      </c>
      <c r="L232" s="3"/>
      <c r="M232" s="26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3"/>
      <c r="P233" s="2"/>
      <c r="Q233" s="2"/>
    </row>
    <row r="234" spans="2:17" ht="15.5" thickTop="1" thickBot="1" x14ac:dyDescent="0.4">
      <c r="B234" s="3"/>
      <c r="C234" s="25" t="str">
        <f>CONCATENATE($A$4," - Total Annual Energy Charge:")</f>
        <v>SC5 Rate I - Total Annual Energy Charge:</v>
      </c>
      <c r="D234" s="3"/>
      <c r="E234" s="3"/>
      <c r="F234" s="3"/>
      <c r="G234" s="3"/>
      <c r="H234" s="3"/>
      <c r="I234" s="3"/>
      <c r="J234" s="3"/>
      <c r="K234" s="3"/>
      <c r="L234" s="3"/>
      <c r="M234" s="519">
        <f>M226+M228+M230+M232</f>
        <v>25848</v>
      </c>
      <c r="N234" s="17"/>
      <c r="O234" s="3"/>
      <c r="P234" s="2"/>
      <c r="Q234" s="2"/>
    </row>
    <row r="235" spans="2:17" ht="15.5" thickTop="1" thickBot="1" x14ac:dyDescent="0.4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7"/>
      <c r="O235" s="3"/>
      <c r="P235" s="2"/>
      <c r="Q235" s="2"/>
    </row>
    <row r="236" spans="2:17" ht="15.5" thickTop="1" thickBot="1" x14ac:dyDescent="0.4">
      <c r="B236" s="3"/>
      <c r="C236" s="25" t="str">
        <f>CONCATENATE($A$4," - Total Charge Price-Out at Proposed Rates:")</f>
        <v>SC5 Rate I - Total Charge Price-Out at Proposed Rates:</v>
      </c>
      <c r="D236" s="3"/>
      <c r="E236" s="3"/>
      <c r="F236" s="3"/>
      <c r="G236" s="3"/>
      <c r="H236" s="3"/>
      <c r="I236" s="3"/>
      <c r="J236" s="3"/>
      <c r="K236" s="3"/>
      <c r="L236" s="3"/>
      <c r="M236" s="519">
        <f>M222+M234</f>
        <v>68280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23" t="str">
        <f>$A$4</f>
        <v>SC5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50">
        <f>L4</f>
        <v>2020</v>
      </c>
      <c r="E239" s="1350"/>
      <c r="F239" s="1350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20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68280</v>
      </c>
      <c r="N240" s="559"/>
      <c r="O240" s="2"/>
      <c r="P240" s="2"/>
      <c r="Q240" s="2"/>
    </row>
    <row r="241" spans="1:17" x14ac:dyDescent="0.35">
      <c r="B241" s="3"/>
      <c r="C241" s="20"/>
      <c r="D241" s="19"/>
      <c r="E241" s="19"/>
      <c r="F241" s="19"/>
      <c r="G241" s="10"/>
      <c r="H241" s="10"/>
      <c r="I241" s="10"/>
      <c r="J241" s="10"/>
      <c r="K241" s="10"/>
      <c r="L241" s="10"/>
      <c r="M241" s="18"/>
      <c r="N241" s="558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88"/>
      <c r="N242" s="559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68280</v>
      </c>
      <c r="N243" s="559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9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525">
        <f>L19</f>
        <v>68283</v>
      </c>
      <c r="N245" s="559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-3</v>
      </c>
      <c r="N246" s="559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-4.3934800755707215E-5</v>
      </c>
      <c r="N247" s="559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5" header="0.3" footer="0.3"/>
  <pageSetup scale="45" orientation="landscape" r:id="rId1"/>
  <headerFooter>
    <oddFooter>&amp;C&amp;Z&amp;F (Tab: &amp;A)&amp;RPage &amp;P / &amp;N</oddFooter>
  </headerFooter>
  <rowBreaks count="3" manualBreakCount="3">
    <brk id="80" max="16383" man="1"/>
    <brk id="161" max="16383" man="1"/>
    <brk id="237" max="16383" man="1"/>
  </rowBreaks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2">
    <tabColor rgb="FF0070C0"/>
  </sheetPr>
  <dimension ref="A1:V253"/>
  <sheetViews>
    <sheetView workbookViewId="0">
      <selection activeCell="Q9" sqref="Q9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6.1796875" customWidth="1"/>
    <col min="14" max="14" width="15.81640625" customWidth="1"/>
    <col min="15" max="15" width="16.453125" customWidth="1"/>
    <col min="16" max="16" width="15" style="1" customWidth="1"/>
    <col min="17" max="17" width="8.7265625" style="1" customWidth="1"/>
    <col min="18" max="19" width="8.7265625" customWidth="1"/>
    <col min="20" max="22" width="15.54296875" customWidth="1"/>
    <col min="25" max="26" width="11.7265625" customWidth="1"/>
    <col min="27" max="27" width="16.81640625" customWidth="1"/>
  </cols>
  <sheetData>
    <row r="1" spans="1:22" ht="18.5" x14ac:dyDescent="0.45">
      <c r="A1" s="189" t="s">
        <v>1281</v>
      </c>
    </row>
    <row r="3" spans="1:22" outlineLevel="1" x14ac:dyDescent="0.35">
      <c r="A3" s="70" t="s">
        <v>158</v>
      </c>
      <c r="B3" s="70"/>
      <c r="C3" s="3"/>
      <c r="D3" s="3"/>
      <c r="E3" s="3"/>
      <c r="F3" s="3"/>
      <c r="G3" s="3"/>
      <c r="H3" s="3"/>
      <c r="K3" s="33" t="s">
        <v>150</v>
      </c>
      <c r="L3" s="1075">
        <f>'15A.)MD Shift_RedesignRateSum'!$D$4</f>
        <v>2019</v>
      </c>
      <c r="M3" s="3"/>
      <c r="P3" s="192" t="str">
        <f>$A$4</f>
        <v>SC8 Rate I</v>
      </c>
      <c r="Q3" s="2"/>
      <c r="R3" s="3"/>
      <c r="S3" s="3"/>
      <c r="T3" s="3"/>
      <c r="U3" s="3"/>
      <c r="V3" s="3"/>
    </row>
    <row r="4" spans="1:22" outlineLevel="1" x14ac:dyDescent="0.35">
      <c r="A4" s="182" t="s">
        <v>151</v>
      </c>
      <c r="B4" s="182"/>
      <c r="C4" s="3"/>
      <c r="D4" s="3"/>
      <c r="E4" s="3"/>
      <c r="F4" s="3"/>
      <c r="G4" s="3"/>
      <c r="H4" s="3"/>
      <c r="K4" s="33" t="s">
        <v>5</v>
      </c>
      <c r="L4" s="1075">
        <f>'15A.)MD Shift_RedesignRateSum'!$D$5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3"/>
      <c r="B5" s="3"/>
      <c r="C5" s="3"/>
      <c r="D5" s="3"/>
      <c r="E5" s="3"/>
      <c r="F5" s="3"/>
      <c r="G5" s="3"/>
      <c r="H5" s="3"/>
      <c r="K5" s="33" t="s">
        <v>145</v>
      </c>
      <c r="L5" s="1075" t="str">
        <f>CONCATENATE("Shift of ",$L$8*100,"%")</f>
        <v>Shift of 0%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231" t="str">
        <f>'15A.)MD Shift_RedesignRateSum'!E31</f>
        <v>Current(RY1)</v>
      </c>
      <c r="H6" s="292" t="s">
        <v>309</v>
      </c>
      <c r="K6" t="s">
        <v>1382</v>
      </c>
      <c r="L6" s="56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79">
        <f>'[2]4C.)HY_DemandRatePxOut(Rate I)'!$E$41</f>
        <v>10</v>
      </c>
      <c r="T6" s="175">
        <f>'[2]4C.)HY_DemandRatePxOut(Rate I)'!$L$45</f>
        <v>74</v>
      </c>
      <c r="U6" s="175">
        <f>'[2]4C.)HY_DemandRatePxOut(Rate I)'!$N$45</f>
        <v>69190</v>
      </c>
      <c r="V6" s="175">
        <f>'[2]4B.)HY_EnergyRatePxOut(Rate I)'!$M$131</f>
        <v>602294876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tr">
        <f>'15A.)MD Shift_RedesignRateSum'!E32</f>
        <v>Current (H/L Shift)</v>
      </c>
      <c r="H7" s="101" t="s">
        <v>142</v>
      </c>
      <c r="K7" s="33"/>
      <c r="L7" s="118" t="str">
        <f>A4</f>
        <v>SC8 Rate I</v>
      </c>
      <c r="M7" s="3"/>
      <c r="P7" s="170" t="s">
        <v>114</v>
      </c>
      <c r="Q7" s="159"/>
      <c r="R7" s="158" t="s">
        <v>141</v>
      </c>
      <c r="S7" s="178">
        <f>S6</f>
        <v>10</v>
      </c>
      <c r="T7" s="174">
        <f>'[2]4C.)HY_DemandRatePxOut(Rate I)'!$L$46</f>
        <v>6845</v>
      </c>
      <c r="U7" s="174">
        <f>'[2]4C.)HY_DemandRatePxOut(Rate I)'!$N$46</f>
        <v>1446294</v>
      </c>
      <c r="V7" s="174">
        <f>'[2]4B.)HY_EnergyRatePxOut(Rate I)'!$M$132</f>
        <v>0</v>
      </c>
    </row>
    <row r="8" spans="1:22" ht="15.5" outlineLevel="1" thickTop="1" thickBot="1" x14ac:dyDescent="0.4">
      <c r="A8" s="3" t="s">
        <v>331</v>
      </c>
      <c r="B8" s="3"/>
      <c r="C8" s="3"/>
      <c r="D8" s="3"/>
      <c r="E8" s="3"/>
      <c r="F8" s="3"/>
      <c r="G8" s="309">
        <f>'15A.)MD Shift_RedesignRateSum'!E33</f>
        <v>1.67E-2</v>
      </c>
      <c r="H8" s="293">
        <f>I178</f>
        <v>1.67E-2</v>
      </c>
      <c r="I8" s="365"/>
      <c r="K8" s="33" t="s">
        <v>1279</v>
      </c>
      <c r="L8" s="491">
        <f>'15A.)MD Shift_RedesignRateSum'!$E$9</f>
        <v>0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332</v>
      </c>
      <c r="B9" s="3"/>
      <c r="C9" s="3"/>
      <c r="D9" s="3"/>
      <c r="E9" s="3"/>
      <c r="F9" s="3"/>
      <c r="G9" s="310">
        <f>'15A.)MD Shift_RedesignRateSum'!E34</f>
        <v>1.67E-2</v>
      </c>
      <c r="H9" s="294">
        <f>K178</f>
        <v>1.67E-2</v>
      </c>
      <c r="I9" s="365"/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6919</v>
      </c>
      <c r="U9" s="151">
        <f>SUM(U6:U8)</f>
        <v>1515484</v>
      </c>
      <c r="V9" s="151">
        <f>SUM(V6:V8)</f>
        <v>602294876</v>
      </c>
    </row>
    <row r="10" spans="1:22" ht="15" outlineLevel="1" thickTop="1" x14ac:dyDescent="0.35">
      <c r="A10" s="3" t="s">
        <v>333</v>
      </c>
      <c r="B10" s="3"/>
      <c r="C10" s="3"/>
      <c r="D10" s="3"/>
      <c r="E10" s="3"/>
      <c r="F10" s="3"/>
      <c r="G10" s="310">
        <f>'15A.)MD Shift_RedesignRateSum'!E35</f>
        <v>380.53</v>
      </c>
      <c r="H10" s="294">
        <f>H120</f>
        <v>380.53</v>
      </c>
      <c r="I10" s="365"/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334</v>
      </c>
      <c r="B11" s="3"/>
      <c r="C11" s="3"/>
      <c r="D11" s="3"/>
      <c r="E11" s="3"/>
      <c r="F11" s="3"/>
      <c r="G11" s="310">
        <f>'15A.)MD Shift_RedesignRateSum'!E36</f>
        <v>34.32</v>
      </c>
      <c r="H11" s="294">
        <f>H122</f>
        <v>34.32</v>
      </c>
      <c r="I11" s="365"/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10</v>
      </c>
      <c r="T11" s="175">
        <f>'[2]4C.)HY_DemandRatePxOut(Rate I)'!$L$41</f>
        <v>243.00000000000003</v>
      </c>
      <c r="U11" s="175">
        <f>'[2]4C.)HY_DemandRatePxOut(Rate I)'!$N$41</f>
        <v>138280</v>
      </c>
      <c r="V11" s="175">
        <f>'[2]4B.)HY_EnergyRatePxOut(Rate I)'!$M$126</f>
        <v>911800979</v>
      </c>
    </row>
    <row r="12" spans="1:22" outlineLevel="1" x14ac:dyDescent="0.35">
      <c r="A12" s="3" t="s">
        <v>335</v>
      </c>
      <c r="B12" s="3"/>
      <c r="C12" s="3"/>
      <c r="D12" s="3"/>
      <c r="E12" s="3"/>
      <c r="F12" s="3"/>
      <c r="G12" s="310">
        <f>'15A.)MD Shift_RedesignRateSum'!E37</f>
        <v>294.16000000000003</v>
      </c>
      <c r="H12" s="294">
        <f>J120</f>
        <v>294.16000000000003</v>
      </c>
      <c r="I12" s="365"/>
      <c r="J12" s="1058"/>
      <c r="K12" s="1076" t="s">
        <v>2175</v>
      </c>
      <c r="L12" s="1077">
        <f>'8B.)ED Shift_RedesignRateSum'!$D$5</f>
        <v>0.05</v>
      </c>
      <c r="P12" s="160" t="s">
        <v>113</v>
      </c>
      <c r="Q12" s="159"/>
      <c r="R12" s="158" t="str">
        <f>$R$7</f>
        <v>&gt;</v>
      </c>
      <c r="S12" s="157">
        <f>$S$7</f>
        <v>10</v>
      </c>
      <c r="T12" s="174">
        <f>'[2]4C.)HY_DemandRatePxOut(Rate I)'!$L$42</f>
        <v>13585</v>
      </c>
      <c r="U12" s="174">
        <f>'[2]4C.)HY_DemandRatePxOut(Rate I)'!$N$42</f>
        <v>1945382</v>
      </c>
      <c r="V12" s="174">
        <f>'[2]4B.)HY_EnergyRatePxOut(Rate I)'!$M$127</f>
        <v>0</v>
      </c>
    </row>
    <row r="13" spans="1:22" ht="15" outlineLevel="1" thickBot="1" x14ac:dyDescent="0.4">
      <c r="A13" s="3" t="s">
        <v>336</v>
      </c>
      <c r="B13" s="3"/>
      <c r="C13" s="3"/>
      <c r="D13" s="3"/>
      <c r="E13" s="3"/>
      <c r="F13" s="3"/>
      <c r="G13" s="310">
        <f>'15A.)MD Shift_RedesignRateSum'!E38</f>
        <v>26.51</v>
      </c>
      <c r="H13" s="294">
        <f>J122</f>
        <v>26.51</v>
      </c>
      <c r="I13" s="365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337</v>
      </c>
      <c r="B14" s="3"/>
      <c r="C14" s="3"/>
      <c r="D14" s="3"/>
      <c r="E14" s="3"/>
      <c r="F14" s="3"/>
      <c r="G14" s="310">
        <f>'15A.)MD Shift_RedesignRateSum'!E39</f>
        <v>1.67E-2</v>
      </c>
      <c r="H14" s="294">
        <f>I180</f>
        <v>1.67E-2</v>
      </c>
      <c r="I14" s="365"/>
      <c r="K14" s="367"/>
      <c r="P14" s="2"/>
      <c r="Q14" s="2"/>
      <c r="R14" s="3"/>
      <c r="S14" s="3"/>
      <c r="T14" s="151">
        <f>SUM(T11:T13)</f>
        <v>13828</v>
      </c>
      <c r="U14" s="151">
        <f>SUM(U11:U13)</f>
        <v>2083662</v>
      </c>
      <c r="V14" s="151">
        <f>SUM(V11:V13)</f>
        <v>911800979</v>
      </c>
    </row>
    <row r="15" spans="1:22" ht="15" outlineLevel="1" thickTop="1" x14ac:dyDescent="0.35">
      <c r="A15" s="3" t="s">
        <v>338</v>
      </c>
      <c r="B15" s="3"/>
      <c r="C15" s="3"/>
      <c r="D15" s="3"/>
      <c r="E15" s="3"/>
      <c r="F15" s="3"/>
      <c r="G15" s="310">
        <f>'15A.)MD Shift_RedesignRateSum'!E40</f>
        <v>1.67E-2</v>
      </c>
      <c r="H15" s="294">
        <f>K180</f>
        <v>1.67E-2</v>
      </c>
      <c r="I15" s="365"/>
      <c r="K15" s="33" t="s">
        <v>131</v>
      </c>
      <c r="L15" s="166">
        <f>'8A.)HY_ED RevShifting'!$E$18</f>
        <v>107799571</v>
      </c>
      <c r="M15" s="166">
        <f>'8A.)HY_ED RevShifting'!$D$18</f>
        <v>106597638</v>
      </c>
    </row>
    <row r="16" spans="1:22" outlineLevel="1" x14ac:dyDescent="0.35">
      <c r="A16" s="3" t="s">
        <v>339</v>
      </c>
      <c r="B16" s="3"/>
      <c r="C16" s="3"/>
      <c r="D16" s="3"/>
      <c r="E16" s="3"/>
      <c r="F16" s="3"/>
      <c r="G16" s="310">
        <f>'15A.)MD Shift_RedesignRateSum'!E41</f>
        <v>273.87</v>
      </c>
      <c r="H16" s="294">
        <f>H124</f>
        <v>273.87</v>
      </c>
      <c r="I16" s="365"/>
      <c r="K16" s="33" t="s">
        <v>129</v>
      </c>
      <c r="L16" s="166">
        <f>'8A.)HY_ED RevShifting'!$E$22</f>
        <v>26648087</v>
      </c>
      <c r="M16" s="166">
        <f>'8A.)HY_ED RevShifting'!$D$22</f>
        <v>26648087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10</v>
      </c>
      <c r="T16" s="161"/>
      <c r="U16" s="161"/>
      <c r="V16" s="161"/>
    </row>
    <row r="17" spans="1:22" outlineLevel="1" x14ac:dyDescent="0.35">
      <c r="A17" s="3" t="s">
        <v>340</v>
      </c>
      <c r="B17" s="3"/>
      <c r="C17" s="3"/>
      <c r="D17" s="3"/>
      <c r="E17" s="3"/>
      <c r="F17" s="3"/>
      <c r="G17" s="310">
        <f>'15A.)MD Shift_RedesignRateSum'!E42</f>
        <v>24.69</v>
      </c>
      <c r="H17" s="294">
        <f>H126</f>
        <v>24.69</v>
      </c>
      <c r="I17" s="365"/>
      <c r="K17" s="33" t="s">
        <v>130</v>
      </c>
      <c r="L17" s="1078">
        <f>HLOOKUP($L$12,'8A.)HY_ED RevShifting'!$B$6:$M$43,'8A.)HY_ED RevShifting'!$B$19,0)</f>
        <v>1332404</v>
      </c>
      <c r="M17" s="134">
        <f>ROUND(L17/$L$9,0)</f>
        <v>1317803</v>
      </c>
      <c r="P17" s="170" t="s">
        <v>112</v>
      </c>
      <c r="Q17" s="159"/>
      <c r="R17" s="158" t="str">
        <f>$R$7</f>
        <v>&gt;</v>
      </c>
      <c r="S17" s="157">
        <f>$S$7</f>
        <v>10</v>
      </c>
      <c r="T17" s="156"/>
      <c r="U17" s="156"/>
      <c r="V17" s="156"/>
    </row>
    <row r="18" spans="1:22" ht="15" outlineLevel="1" thickBot="1" x14ac:dyDescent="0.4">
      <c r="A18" s="3" t="s">
        <v>341</v>
      </c>
      <c r="B18" s="3"/>
      <c r="C18" s="3"/>
      <c r="D18" s="3"/>
      <c r="E18" s="3"/>
      <c r="F18" s="3"/>
      <c r="G18" s="310">
        <f>'15A.)MD Shift_RedesignRateSum'!E43</f>
        <v>187.5</v>
      </c>
      <c r="H18" s="294">
        <f>J124</f>
        <v>187.5</v>
      </c>
      <c r="I18" s="365"/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342</v>
      </c>
      <c r="B19" s="3"/>
      <c r="C19" s="3"/>
      <c r="D19" s="3"/>
      <c r="E19" s="3"/>
      <c r="F19" s="3"/>
      <c r="G19" s="311">
        <f>'15A.)MD Shift_RedesignRateSum'!E44</f>
        <v>16.860000000000003</v>
      </c>
      <c r="H19" s="295">
        <f>J126</f>
        <v>16.86</v>
      </c>
      <c r="I19" s="365"/>
      <c r="K19" s="33" t="str">
        <f>CONCATENATE(A4," - T&amp;D Target:")</f>
        <v>SC8 Rate I - T&amp;D Target:</v>
      </c>
      <c r="L19" s="308">
        <f>L15+L16</f>
        <v>134447658</v>
      </c>
      <c r="M19" s="143" t="s">
        <v>316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/>
    <row r="21" spans="1:22" outlineLevel="1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10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10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126" t="s">
        <v>122</v>
      </c>
      <c r="B28" s="147"/>
      <c r="C28" s="131"/>
      <c r="D28" s="131"/>
      <c r="E28" s="131"/>
      <c r="F28" s="131"/>
      <c r="H28" s="33" t="s">
        <v>150</v>
      </c>
      <c r="I28" s="1074">
        <f>$L$3</f>
        <v>2019</v>
      </c>
    </row>
    <row r="29" spans="1:22" x14ac:dyDescent="0.35">
      <c r="A29" s="131"/>
      <c r="B29" s="131"/>
      <c r="C29" s="131"/>
      <c r="D29" s="131"/>
      <c r="E29" s="131"/>
      <c r="F29" s="131"/>
      <c r="H29" s="33" t="s">
        <v>5</v>
      </c>
      <c r="I29" s="1074">
        <f>$L$4</f>
        <v>2020</v>
      </c>
      <c r="P29"/>
    </row>
    <row r="30" spans="1:22" x14ac:dyDescent="0.35">
      <c r="B30" s="41" t="str">
        <f>$A$4</f>
        <v>SC8 Rate I</v>
      </c>
      <c r="C30" s="133" t="s">
        <v>121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130">
        <f>M15</f>
        <v>106597638</v>
      </c>
      <c r="J32" s="136" t="s">
        <v>79</v>
      </c>
      <c r="P32"/>
      <c r="Q32" s="142"/>
    </row>
    <row r="33" spans="1:17" x14ac:dyDescent="0.35">
      <c r="C33" t="s">
        <v>88</v>
      </c>
      <c r="I33" s="130">
        <f>M17</f>
        <v>1317803</v>
      </c>
      <c r="J33" s="136" t="s">
        <v>78</v>
      </c>
      <c r="P33"/>
      <c r="Q33" s="142"/>
    </row>
    <row r="34" spans="1:17" x14ac:dyDescent="0.35">
      <c r="C34" s="75" t="s">
        <v>117</v>
      </c>
      <c r="D34" s="75"/>
      <c r="E34" s="75"/>
      <c r="F34" s="75"/>
      <c r="I34" s="638">
        <f>$L$8</f>
        <v>0</v>
      </c>
      <c r="J34" s="136" t="s">
        <v>1089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SC8 Rate I</v>
      </c>
      <c r="C37" t="s">
        <v>114</v>
      </c>
      <c r="G37" s="515">
        <f>$T$9</f>
        <v>6919</v>
      </c>
      <c r="H37" s="516">
        <f>G10</f>
        <v>380.53</v>
      </c>
      <c r="I37" s="134">
        <f>ROUND(G37*H37,0)</f>
        <v>2632887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13828</v>
      </c>
      <c r="H38" s="516">
        <f>G12</f>
        <v>294.16000000000003</v>
      </c>
      <c r="I38" s="134">
        <f>ROUND(G38*H38,0)</f>
        <v>4067644</v>
      </c>
      <c r="J38" s="136" t="s">
        <v>1086</v>
      </c>
      <c r="L38" s="381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273.87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187.5</v>
      </c>
      <c r="I40" s="134">
        <f>ROUND(G40*H40,0)</f>
        <v>0</v>
      </c>
      <c r="J40" s="136" t="s">
        <v>1088</v>
      </c>
      <c r="L40" s="633" t="s">
        <v>135</v>
      </c>
    </row>
    <row r="41" spans="1:17" x14ac:dyDescent="0.35">
      <c r="C41" t="s">
        <v>110</v>
      </c>
      <c r="I41" s="140">
        <f>SUM(I37:I40)</f>
        <v>6700531</v>
      </c>
      <c r="J41" s="136" t="s">
        <v>1084</v>
      </c>
      <c r="L41" s="541">
        <f>ROUND(I41*$L$38,0)</f>
        <v>6774773</v>
      </c>
      <c r="M41" s="136" t="s">
        <v>1265</v>
      </c>
    </row>
    <row r="42" spans="1:17" ht="15" thickBot="1" x14ac:dyDescent="0.4">
      <c r="I42" s="517"/>
      <c r="J42" s="136"/>
      <c r="L42" s="1"/>
    </row>
    <row r="43" spans="1:17" ht="15.5" thickTop="1" thickBot="1" x14ac:dyDescent="0.4">
      <c r="C43" t="s">
        <v>304</v>
      </c>
      <c r="I43" s="518">
        <f>ROUND(I41*(1+I42),0)</f>
        <v>6700531</v>
      </c>
      <c r="J43" s="136" t="s">
        <v>1110</v>
      </c>
      <c r="L43" s="541">
        <f>ROUND(I43*$L$38,0)</f>
        <v>6774773</v>
      </c>
      <c r="M43" s="136" t="s">
        <v>1266</v>
      </c>
    </row>
    <row r="44" spans="1:17" ht="15.5" thickTop="1" thickBot="1" x14ac:dyDescent="0.4">
      <c r="C44" t="s">
        <v>1301</v>
      </c>
      <c r="I44" s="640">
        <f>ROUND(I43*I34,0)</f>
        <v>0</v>
      </c>
      <c r="J44" s="596" t="s">
        <v>1299</v>
      </c>
      <c r="L44" s="1"/>
    </row>
    <row r="45" spans="1:17" ht="15.5" thickTop="1" thickBot="1" x14ac:dyDescent="0.4">
      <c r="C45" t="s">
        <v>305</v>
      </c>
      <c r="I45" s="519">
        <f>I43+I44</f>
        <v>6700531</v>
      </c>
      <c r="J45" s="136" t="s">
        <v>1300</v>
      </c>
      <c r="L45" s="634">
        <f>ROUND(I45*$L$38,0)</f>
        <v>6774773</v>
      </c>
      <c r="M45" s="136" t="s">
        <v>1267</v>
      </c>
    </row>
    <row r="46" spans="1:17" ht="15" thickTop="1" x14ac:dyDescent="0.35"/>
    <row r="48" spans="1:17" x14ac:dyDescent="0.35">
      <c r="A48" s="126" t="s">
        <v>104</v>
      </c>
    </row>
    <row r="50" spans="1:15" customFormat="1" x14ac:dyDescent="0.35">
      <c r="B50" s="41" t="str">
        <f>$A$4</f>
        <v>SC8 Rate I</v>
      </c>
      <c r="C50" s="133" t="s">
        <v>1278</v>
      </c>
      <c r="D50" s="133"/>
      <c r="E50" s="133"/>
      <c r="F50" s="133"/>
      <c r="L50" s="135" t="s">
        <v>1277</v>
      </c>
      <c r="N50" s="135" t="s">
        <v>1276</v>
      </c>
    </row>
    <row r="51" spans="1:15" customFormat="1" x14ac:dyDescent="0.35">
      <c r="C51" t="s">
        <v>1275</v>
      </c>
      <c r="D51" s="1"/>
      <c r="E51" s="1"/>
      <c r="F51" s="1"/>
      <c r="G51" s="1"/>
      <c r="H51" s="1"/>
      <c r="I51" s="1"/>
      <c r="J51" s="1"/>
      <c r="K51" s="1"/>
      <c r="L51" s="541">
        <f>I32</f>
        <v>106597638</v>
      </c>
      <c r="M51" s="61" t="s">
        <v>79</v>
      </c>
      <c r="N51" s="370">
        <f>L51</f>
        <v>106597638</v>
      </c>
      <c r="O51" s="61" t="s">
        <v>79</v>
      </c>
    </row>
    <row r="52" spans="1:15" customFormat="1" x14ac:dyDescent="0.35">
      <c r="C52" t="s">
        <v>88</v>
      </c>
      <c r="D52" s="1"/>
      <c r="E52" s="1"/>
      <c r="F52" s="1"/>
      <c r="G52" s="1"/>
      <c r="H52" s="1"/>
      <c r="I52" s="1"/>
      <c r="J52" s="1"/>
      <c r="K52" s="1"/>
      <c r="L52" s="370">
        <f>I33</f>
        <v>1317803</v>
      </c>
      <c r="M52" s="61" t="s">
        <v>78</v>
      </c>
      <c r="N52" s="370">
        <f>L52</f>
        <v>1317803</v>
      </c>
      <c r="O52" s="61" t="s">
        <v>78</v>
      </c>
    </row>
    <row r="53" spans="1:15" customFormat="1" ht="15" thickBot="1" x14ac:dyDescent="0.4">
      <c r="C53" t="s">
        <v>1274</v>
      </c>
      <c r="D53" s="1"/>
      <c r="E53" s="1"/>
      <c r="F53" s="1"/>
      <c r="G53" s="1"/>
      <c r="H53" s="1"/>
      <c r="I53" s="1"/>
      <c r="J53" s="1"/>
      <c r="K53" s="1"/>
      <c r="L53" s="370">
        <f>I45</f>
        <v>6700531</v>
      </c>
      <c r="M53" s="61" t="s">
        <v>1302</v>
      </c>
      <c r="N53" s="370">
        <f>I43</f>
        <v>6700531</v>
      </c>
      <c r="O53" s="61" t="s">
        <v>1304</v>
      </c>
    </row>
    <row r="54" spans="1:15" customFormat="1" ht="15.5" thickTop="1" thickBot="1" x14ac:dyDescent="0.4">
      <c r="C54" s="181" t="s">
        <v>1273</v>
      </c>
      <c r="D54" s="181"/>
      <c r="E54" s="181"/>
      <c r="F54" s="181"/>
      <c r="G54" s="1"/>
      <c r="H54" s="1"/>
      <c r="I54" s="1"/>
      <c r="J54" s="1"/>
      <c r="K54" s="1"/>
      <c r="L54" s="635">
        <f>L51+L52-L53</f>
        <v>101214910</v>
      </c>
      <c r="M54" s="61" t="s">
        <v>1303</v>
      </c>
      <c r="N54" s="635">
        <f>N51+N52-N53</f>
        <v>101214910</v>
      </c>
      <c r="O54" s="61" t="s">
        <v>1305</v>
      </c>
    </row>
    <row r="55" spans="1:15" customFormat="1" ht="15" thickTop="1" x14ac:dyDescent="0.35">
      <c r="L55" s="286"/>
    </row>
    <row r="56" spans="1:15" customFormat="1" x14ac:dyDescent="0.35">
      <c r="C56" s="75" t="s">
        <v>84</v>
      </c>
      <c r="D56" s="75"/>
      <c r="E56" s="75"/>
      <c r="F56" s="75"/>
      <c r="L56" s="637">
        <f>ROUND(L54/N54-1,8)</f>
        <v>0</v>
      </c>
      <c r="M56" s="594" t="s">
        <v>1306</v>
      </c>
      <c r="O56" s="594"/>
    </row>
    <row r="59" spans="1:15" customFormat="1" x14ac:dyDescent="0.35">
      <c r="A59" s="126" t="s">
        <v>83</v>
      </c>
    </row>
    <row r="60" spans="1:15" customFormat="1" ht="15" thickBot="1" x14ac:dyDescent="0.4">
      <c r="A60" s="126"/>
    </row>
    <row r="61" spans="1:15" customFormat="1" ht="15.5" thickTop="1" thickBot="1" x14ac:dyDescent="0.4">
      <c r="B61" s="41" t="str">
        <f>$A$4</f>
        <v>SC8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</row>
    <row r="62" spans="1:15" customFormat="1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</row>
    <row r="63" spans="1:15" customFormat="1" x14ac:dyDescent="0.35">
      <c r="B63" s="3" t="s">
        <v>43</v>
      </c>
      <c r="C63" s="3"/>
      <c r="D63" s="567">
        <f>Q6</f>
        <v>0</v>
      </c>
      <c r="E63" s="123" t="str">
        <f>R6</f>
        <v>-</v>
      </c>
      <c r="F63" s="567">
        <f>S6</f>
        <v>10</v>
      </c>
      <c r="G63" s="123"/>
      <c r="H63" s="35">
        <f>G10</f>
        <v>380.53</v>
      </c>
      <c r="I63" s="136" t="s">
        <v>165</v>
      </c>
      <c r="J63" s="35">
        <f>G12</f>
        <v>294.16000000000003</v>
      </c>
      <c r="K63" s="136" t="s">
        <v>100</v>
      </c>
      <c r="L63" s="3"/>
      <c r="M63" s="17"/>
      <c r="N63" s="3"/>
    </row>
    <row r="64" spans="1:15" customFormat="1" x14ac:dyDescent="0.35">
      <c r="B64" s="3"/>
      <c r="C64" s="3"/>
      <c r="G64" s="36"/>
      <c r="H64" s="35"/>
      <c r="I64" s="136"/>
      <c r="J64" s="35"/>
      <c r="K64" s="136"/>
      <c r="L64" s="3"/>
      <c r="M64" s="3"/>
      <c r="N64" s="3"/>
      <c r="O64" s="3"/>
    </row>
    <row r="65" spans="2:15" customFormat="1" x14ac:dyDescent="0.35">
      <c r="B65" s="3"/>
      <c r="C65" s="3"/>
      <c r="D65" s="3"/>
      <c r="E65" s="123" t="str">
        <f>R7</f>
        <v>&gt;</v>
      </c>
      <c r="F65" s="567">
        <f>S7</f>
        <v>10</v>
      </c>
      <c r="G65" s="36"/>
      <c r="H65" s="120">
        <f>G11</f>
        <v>34.32</v>
      </c>
      <c r="I65" s="136" t="s">
        <v>166</v>
      </c>
      <c r="J65" s="124">
        <f>G13</f>
        <v>26.51</v>
      </c>
      <c r="K65" s="136" t="s">
        <v>229</v>
      </c>
      <c r="L65" s="27">
        <f>H65-J$65</f>
        <v>7.8099999999999987</v>
      </c>
      <c r="M65" s="61" t="s">
        <v>1092</v>
      </c>
      <c r="N65" s="112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10</v>
      </c>
      <c r="G67" s="123"/>
      <c r="H67" s="35">
        <f>G16</f>
        <v>273.87</v>
      </c>
      <c r="I67" s="136" t="s">
        <v>138</v>
      </c>
      <c r="J67" s="35">
        <f>G18</f>
        <v>187.5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D68" s="121"/>
      <c r="E68" s="122"/>
      <c r="F68" s="121"/>
      <c r="G68" s="36"/>
      <c r="H68" s="35"/>
      <c r="I68" s="136"/>
      <c r="J68" s="35"/>
      <c r="K68" s="136"/>
      <c r="L68" s="3"/>
      <c r="M68" s="17"/>
      <c r="N68" s="3"/>
      <c r="O68" s="3"/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10</v>
      </c>
      <c r="G69" s="36"/>
      <c r="H69" s="120">
        <f>G17</f>
        <v>24.69</v>
      </c>
      <c r="I69" s="136" t="s">
        <v>101</v>
      </c>
      <c r="J69" s="120">
        <f>G19</f>
        <v>16.860000000000003</v>
      </c>
      <c r="K69" s="136" t="s">
        <v>1091</v>
      </c>
      <c r="L69" s="27">
        <f>H69-J$65</f>
        <v>-1.8200000000000003</v>
      </c>
      <c r="M69" s="61" t="s">
        <v>1093</v>
      </c>
      <c r="N69" s="27">
        <f>J69-J$65</f>
        <v>-9.6499999999999986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/>
      <c r="G74" s="117"/>
      <c r="H74" s="116"/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75</v>
      </c>
      <c r="G75" s="114" t="str">
        <f>CONCATENATE("X + ",L76)</f>
        <v>X + 7.81</v>
      </c>
      <c r="H75" s="115" t="s">
        <v>32</v>
      </c>
      <c r="L75" s="27"/>
      <c r="M75" s="17"/>
      <c r="N75" s="27"/>
    </row>
    <row r="76" spans="2:15" customFormat="1" x14ac:dyDescent="0.35">
      <c r="B76" s="3"/>
      <c r="G76" s="114"/>
      <c r="H76" s="113"/>
      <c r="L76" s="27">
        <f>ROUND(L65*(1+$L$56),2)</f>
        <v>7.81</v>
      </c>
      <c r="M76" s="61" t="s">
        <v>74</v>
      </c>
      <c r="N76" s="112"/>
    </row>
    <row r="77" spans="2:15" customFormat="1" ht="15" thickBot="1" x14ac:dyDescent="0.4">
      <c r="B77" s="3" t="s">
        <v>73</v>
      </c>
      <c r="G77" s="111" t="str">
        <f>CONCATENATE("X + ",L80)</f>
        <v>X + -1.82</v>
      </c>
      <c r="H77" s="110" t="str">
        <f>CONCATENATE("X + ",N80)</f>
        <v>X + -9.65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27"/>
      <c r="N79" s="27"/>
    </row>
    <row r="80" spans="2:15" customFormat="1" x14ac:dyDescent="0.35">
      <c r="L80" s="27">
        <f>ROUND(L69*(1+$L$56),2)</f>
        <v>-1.82</v>
      </c>
      <c r="M80" s="61" t="s">
        <v>72</v>
      </c>
      <c r="N80" s="27">
        <f>ROUND(N69*(1+$L$56),2)</f>
        <v>-9.65</v>
      </c>
      <c r="O80" s="61" t="s">
        <v>71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42" t="s">
        <v>70</v>
      </c>
    </row>
    <row r="83" spans="2:15" customFormat="1" x14ac:dyDescent="0.35">
      <c r="B83" s="41" t="str">
        <f>$A$4</f>
        <v>SC8 Rate I</v>
      </c>
    </row>
    <row r="84" spans="2:15" customFormat="1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/>
      <c r="C85" s="70"/>
      <c r="D85" s="70"/>
      <c r="E85" s="3"/>
      <c r="F85" s="3"/>
      <c r="G85" s="108"/>
      <c r="I85" s="72"/>
      <c r="J85" s="36"/>
      <c r="K85" s="74"/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&gt;10 kW</v>
      </c>
      <c r="I86" s="72">
        <f>U7</f>
        <v>1446294</v>
      </c>
      <c r="J86" s="36" t="s">
        <v>39</v>
      </c>
      <c r="K86" s="107" t="str">
        <f>CONCATENATE("[",G75,"]")</f>
        <v>[X + 7.81]</v>
      </c>
      <c r="L86" s="61" t="s">
        <v>1114</v>
      </c>
    </row>
    <row r="87" spans="2:15" customFormat="1" x14ac:dyDescent="0.35">
      <c r="B87" s="3" t="s">
        <v>43</v>
      </c>
      <c r="C87" s="3"/>
      <c r="D87" s="3"/>
      <c r="E87" s="3"/>
      <c r="F87" s="3"/>
      <c r="G87" s="3"/>
      <c r="I87" s="72"/>
      <c r="J87" s="36"/>
      <c r="K87" s="73"/>
      <c r="L87" s="61"/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&gt;10 kW</v>
      </c>
      <c r="I88" s="72">
        <f>U12</f>
        <v>1945382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&gt;10 kW</v>
      </c>
      <c r="I90" s="72">
        <f>U17</f>
        <v>0</v>
      </c>
      <c r="J90" s="36" t="s">
        <v>39</v>
      </c>
      <c r="K90" s="73" t="str">
        <f>CONCATENATE("[",G77,"]")</f>
        <v>[X + -1.82]</v>
      </c>
      <c r="L90" s="61" t="s">
        <v>1115</v>
      </c>
    </row>
    <row r="91" spans="2:15" customFormat="1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&gt;10 kW</v>
      </c>
      <c r="I92" s="72">
        <f>U22</f>
        <v>0</v>
      </c>
      <c r="J92" s="36" t="s">
        <v>39</v>
      </c>
      <c r="K92" s="71" t="str">
        <f>CONCATENATE("[",H77,"]")</f>
        <v>[X + -9.65]</v>
      </c>
      <c r="L92" s="61" t="s">
        <v>1116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SC8 Rate I</v>
      </c>
      <c r="F96" s="3"/>
      <c r="G96" s="3"/>
      <c r="H96" s="3"/>
      <c r="I96" s="69" t="s">
        <v>25</v>
      </c>
      <c r="J96" s="3"/>
      <c r="K96" s="566" t="s">
        <v>68</v>
      </c>
      <c r="L96" s="3"/>
      <c r="M96" s="3"/>
      <c r="N96" s="17"/>
    </row>
    <row r="97" spans="2:14" customFormat="1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</row>
    <row r="98" spans="2:14" customFormat="1" x14ac:dyDescent="0.35">
      <c r="B98" s="3" t="s">
        <v>37</v>
      </c>
      <c r="C98" s="3"/>
      <c r="F98" s="3"/>
      <c r="G98" s="3"/>
      <c r="H98" s="3"/>
      <c r="I98" s="105">
        <f t="shared" ref="I98:I104" si="0">I86</f>
        <v>1446294</v>
      </c>
      <c r="J98" s="65" t="s">
        <v>63</v>
      </c>
      <c r="K98" s="34">
        <f>ROUND(I98*L76,0)</f>
        <v>11295556</v>
      </c>
      <c r="L98" s="3" t="s">
        <v>62</v>
      </c>
      <c r="M98" s="61" t="s">
        <v>1100</v>
      </c>
      <c r="N98" s="17"/>
    </row>
    <row r="99" spans="2:14" customFormat="1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</row>
    <row r="100" spans="2:14" customFormat="1" x14ac:dyDescent="0.35">
      <c r="B100" s="3" t="s">
        <v>36</v>
      </c>
      <c r="C100" s="3"/>
      <c r="F100" s="3"/>
      <c r="G100" s="3"/>
      <c r="H100" s="3"/>
      <c r="I100" s="105">
        <f t="shared" si="0"/>
        <v>1945382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</row>
    <row r="102" spans="2:14" customFormat="1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</row>
    <row r="103" spans="2:14" customFormat="1" x14ac:dyDescent="0.35">
      <c r="B103" s="3"/>
      <c r="C103" s="3"/>
      <c r="F103" s="3"/>
      <c r="G103" s="3"/>
      <c r="H103" s="3"/>
      <c r="I103" s="105"/>
      <c r="J103" s="104"/>
      <c r="K103" s="34"/>
      <c r="L103" s="44"/>
      <c r="M103" s="17"/>
      <c r="N103" s="17"/>
    </row>
    <row r="104" spans="2:14" customFormat="1" x14ac:dyDescent="0.35">
      <c r="B104" s="3" t="s">
        <v>34</v>
      </c>
      <c r="C104" s="3"/>
      <c r="F104" s="3"/>
      <c r="G104" s="3"/>
      <c r="H104" s="3"/>
      <c r="I104" s="105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33</v>
      </c>
      <c r="C105" s="3"/>
      <c r="F105" s="66"/>
      <c r="G105" s="66">
        <f>L54</f>
        <v>101214910</v>
      </c>
      <c r="H105" s="63" t="s">
        <v>31</v>
      </c>
      <c r="I105" s="28">
        <f>SUM(I97:I104)</f>
        <v>3391676</v>
      </c>
      <c r="J105" s="65" t="s">
        <v>63</v>
      </c>
      <c r="K105" s="103">
        <f>SUM(K97:K104)</f>
        <v>11295556</v>
      </c>
      <c r="L105" s="3" t="s">
        <v>62</v>
      </c>
      <c r="M105" s="61" t="s">
        <v>1104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1105</v>
      </c>
      <c r="N106" s="17"/>
    </row>
    <row r="107" spans="2:14" customFormat="1" x14ac:dyDescent="0.35">
      <c r="F107" s="34"/>
      <c r="G107" s="34">
        <f>G105-K105</f>
        <v>89919354</v>
      </c>
      <c r="H107" s="63" t="s">
        <v>31</v>
      </c>
      <c r="I107" s="28">
        <f>I105</f>
        <v>3391676</v>
      </c>
      <c r="J107" s="65" t="s">
        <v>32</v>
      </c>
      <c r="K107" s="3"/>
      <c r="L107" s="3"/>
      <c r="M107" s="61" t="s">
        <v>1106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26.51</v>
      </c>
      <c r="J109" s="61" t="s">
        <v>1108</v>
      </c>
      <c r="K109" s="3"/>
      <c r="L109" s="3"/>
      <c r="M109" s="61" t="s">
        <v>1107</v>
      </c>
      <c r="N109" s="17"/>
    </row>
    <row r="110" spans="2:14" customFormat="1" ht="15" thickTop="1" x14ac:dyDescent="0.35"/>
    <row r="111" spans="2:14" customFormat="1" ht="15" thickBot="1" x14ac:dyDescent="0.4">
      <c r="B111" s="42" t="str">
        <f>CONCATENATE($A$4," at Proposed Demand Rates")</f>
        <v>SC8 Rate I at Proposed Demand Rates</v>
      </c>
    </row>
    <row r="112" spans="2:14" customFormat="1" ht="15.5" thickTop="1" thickBot="1" x14ac:dyDescent="0.4">
      <c r="C112" s="3" t="s">
        <v>5</v>
      </c>
      <c r="D112" s="1359">
        <f>$L$4</f>
        <v>2020</v>
      </c>
      <c r="E112" s="1359"/>
      <c r="F112" s="1359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10</v>
      </c>
      <c r="G114" s="3"/>
      <c r="H114" s="35">
        <f>H63</f>
        <v>380.53</v>
      </c>
      <c r="I114" s="61" t="s">
        <v>165</v>
      </c>
      <c r="J114" s="35">
        <f>J63</f>
        <v>294.16000000000003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10</v>
      </c>
      <c r="G115" s="3"/>
      <c r="H115" s="35">
        <f>H67</f>
        <v>273.87</v>
      </c>
      <c r="I115" s="61" t="s">
        <v>138</v>
      </c>
      <c r="J115" s="35">
        <f>J67</f>
        <v>187.5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56" t="s">
        <v>58</v>
      </c>
      <c r="I118" s="1357"/>
      <c r="J118" s="1358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10</v>
      </c>
      <c r="G120" s="44"/>
      <c r="H120" s="97">
        <f>ROUND(H114*(1+$I$34),2)</f>
        <v>380.53</v>
      </c>
      <c r="I120" s="54" t="s">
        <v>1118</v>
      </c>
      <c r="J120" s="97">
        <f>ROUND(J114*(1+$I$34),2)</f>
        <v>294.16000000000003</v>
      </c>
      <c r="K120" s="54" t="s">
        <v>1120</v>
      </c>
      <c r="L120" s="94"/>
      <c r="M120" s="81">
        <f>ROUND(H120/H63-1,4)</f>
        <v>0</v>
      </c>
      <c r="N120" s="81">
        <f>ROUND(J120/J63-1,4)</f>
        <v>0</v>
      </c>
    </row>
    <row r="121" spans="3:14" customFormat="1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10</v>
      </c>
      <c r="G122" s="44"/>
      <c r="H122" s="95">
        <f>$I$109+L76</f>
        <v>34.32</v>
      </c>
      <c r="I122" s="54" t="s">
        <v>1121</v>
      </c>
      <c r="J122" s="95">
        <f>$I$109+N76</f>
        <v>26.51</v>
      </c>
      <c r="K122" s="54" t="s">
        <v>1108</v>
      </c>
      <c r="L122" s="94"/>
      <c r="M122" s="81">
        <f>ROUND(H122/H65-1,4)</f>
        <v>0</v>
      </c>
      <c r="N122" s="81">
        <f>ROUND(J122/J65-1,4)</f>
        <v>0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10</v>
      </c>
      <c r="G124" s="44"/>
      <c r="H124" s="97">
        <f>ROUND(H115*(1+$I$34),2)</f>
        <v>273.87</v>
      </c>
      <c r="I124" s="54" t="s">
        <v>1119</v>
      </c>
      <c r="J124" s="97">
        <f>ROUND(J115*(1+$I$34),2)</f>
        <v>187.5</v>
      </c>
      <c r="K124" s="54" t="s">
        <v>1123</v>
      </c>
      <c r="L124" s="94"/>
      <c r="M124" s="81">
        <f>ROUND(H124/H67-1,4)</f>
        <v>0</v>
      </c>
      <c r="N124" s="81">
        <f>ROUND(J124/J67-1,4)</f>
        <v>0</v>
      </c>
    </row>
    <row r="125" spans="3:14" customFormat="1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10</v>
      </c>
      <c r="G126" s="44"/>
      <c r="H126" s="95">
        <f>$I$109+L80</f>
        <v>24.69</v>
      </c>
      <c r="I126" s="54" t="s">
        <v>1122</v>
      </c>
      <c r="J126" s="95">
        <f>$I$109+N80</f>
        <v>16.86</v>
      </c>
      <c r="K126" s="54" t="s">
        <v>1124</v>
      </c>
      <c r="L126" s="94"/>
      <c r="M126" s="81">
        <f>ROUND(H126/H69-1,4)</f>
        <v>0</v>
      </c>
      <c r="N126" s="81">
        <f>ROUND(J126/J69-1,4)</f>
        <v>0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42" t="s">
        <v>56</v>
      </c>
      <c r="B130" s="3"/>
      <c r="C130" s="3"/>
      <c r="D130" s="3"/>
      <c r="E130" s="3"/>
      <c r="F130" s="3"/>
      <c r="G130" s="3"/>
      <c r="H130" s="3"/>
      <c r="I130" s="3"/>
    </row>
    <row r="131" spans="1:15" customFormat="1" x14ac:dyDescent="0.35">
      <c r="A131" s="42"/>
      <c r="B131" s="3"/>
      <c r="C131" s="3"/>
      <c r="D131" s="3"/>
      <c r="E131" s="3"/>
      <c r="F131" s="3"/>
      <c r="G131" s="3"/>
      <c r="H131" s="3"/>
      <c r="I131" s="3"/>
    </row>
    <row r="132" spans="1:15" customFormat="1" x14ac:dyDescent="0.35">
      <c r="A132" s="42"/>
      <c r="B132" s="42" t="s">
        <v>55</v>
      </c>
      <c r="C132" s="3"/>
      <c r="D132" s="3"/>
      <c r="E132" s="3"/>
      <c r="F132" s="3"/>
      <c r="G132" s="3"/>
      <c r="H132" s="3"/>
      <c r="I132" s="3"/>
    </row>
    <row r="133" spans="1:15" customFormat="1" x14ac:dyDescent="0.35">
      <c r="A133" s="42"/>
      <c r="B133" s="41" t="str">
        <f>$A$4</f>
        <v>SC8 Rate I</v>
      </c>
      <c r="C133" s="3"/>
      <c r="D133" s="3"/>
      <c r="E133" s="3"/>
      <c r="F133" s="3"/>
      <c r="G133" s="3"/>
      <c r="H133" s="3"/>
      <c r="I133" s="3"/>
    </row>
    <row r="134" spans="1:15" customFormat="1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26648087</v>
      </c>
      <c r="J134" s="61" t="s">
        <v>50</v>
      </c>
      <c r="L134" s="3"/>
    </row>
    <row r="135" spans="1:15" customFormat="1" x14ac:dyDescent="0.35">
      <c r="A135" s="42"/>
      <c r="B135" s="3" t="str">
        <f>CONCATENATE("Less: ",$L$5," Energy Revenues to Demand at Current Rates Level")</f>
        <v>Less: Shift of 0%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1332404</v>
      </c>
      <c r="J135" s="61" t="s">
        <v>1125</v>
      </c>
      <c r="L135" s="3"/>
    </row>
    <row r="136" spans="1:15" customFormat="1" x14ac:dyDescent="0.35">
      <c r="A136" s="42"/>
      <c r="B136" s="3"/>
      <c r="C136" s="3"/>
      <c r="D136" s="3"/>
      <c r="E136" s="3"/>
      <c r="F136" s="3"/>
      <c r="G136" s="3"/>
      <c r="H136" s="3"/>
      <c r="I136" s="3"/>
      <c r="J136" s="3"/>
      <c r="L136" s="3"/>
    </row>
    <row r="137" spans="1:15" customFormat="1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42"/>
      <c r="B138" s="89" t="s">
        <v>52</v>
      </c>
      <c r="C138" s="3"/>
      <c r="D138" s="3"/>
      <c r="E138" s="3"/>
      <c r="F138" s="3"/>
      <c r="G138" s="3"/>
      <c r="H138" s="3"/>
      <c r="I138" s="32">
        <f>I134-I135</f>
        <v>25315683</v>
      </c>
      <c r="J138" s="61" t="s">
        <v>1126</v>
      </c>
      <c r="L138" s="3"/>
    </row>
    <row r="139" spans="1:15" customFormat="1" x14ac:dyDescent="0.35">
      <c r="A139" s="42"/>
      <c r="B139" s="3"/>
      <c r="C139" s="3"/>
      <c r="D139" s="3"/>
      <c r="E139" s="3"/>
      <c r="F139" s="3"/>
      <c r="G139" s="3"/>
      <c r="H139" s="3"/>
    </row>
    <row r="140" spans="1:15" customFormat="1" x14ac:dyDescent="0.35">
      <c r="A140" s="42"/>
      <c r="B140" s="3"/>
      <c r="C140" s="3"/>
      <c r="D140" s="3"/>
      <c r="E140" s="3"/>
      <c r="F140" s="3"/>
      <c r="G140" s="3"/>
      <c r="H140" s="3"/>
      <c r="I140" s="3"/>
    </row>
    <row r="141" spans="1:15" customFormat="1" ht="15" thickBot="1" x14ac:dyDescent="0.4">
      <c r="H141" s="3"/>
      <c r="I141" s="3"/>
    </row>
    <row r="142" spans="1:15" customFormat="1" ht="15.5" thickTop="1" thickBot="1" x14ac:dyDescent="0.4">
      <c r="B142" s="41" t="str">
        <f>$A$4</f>
        <v>SC8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C144" s="3" t="s">
        <v>9</v>
      </c>
      <c r="H144" s="521">
        <f>G8</f>
        <v>1.67E-2</v>
      </c>
      <c r="I144" s="61" t="s">
        <v>47</v>
      </c>
      <c r="J144" s="521">
        <f>G9</f>
        <v>1.67E-2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</row>
    <row r="145" spans="2:15" customFormat="1" x14ac:dyDescent="0.35">
      <c r="C145" s="3"/>
      <c r="H145" s="3"/>
      <c r="I145" s="61"/>
      <c r="J145" s="3"/>
      <c r="K145" s="61"/>
      <c r="L145" s="82"/>
      <c r="M145" s="61"/>
      <c r="N145" s="82"/>
    </row>
    <row r="146" spans="2:15" customFormat="1" x14ac:dyDescent="0.35">
      <c r="C146" s="3" t="s">
        <v>8</v>
      </c>
      <c r="H146" s="521">
        <f>G14</f>
        <v>1.67E-2</v>
      </c>
      <c r="I146" s="61" t="s">
        <v>53</v>
      </c>
      <c r="J146" s="521">
        <f>G15</f>
        <v>1.67E-2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</row>
    <row r="147" spans="2:15" customFormat="1" x14ac:dyDescent="0.35">
      <c r="C147" s="3"/>
      <c r="H147" s="3"/>
      <c r="I147" s="3"/>
      <c r="J147" s="3"/>
      <c r="K147" s="3"/>
      <c r="L147" s="3"/>
      <c r="M147" s="3"/>
      <c r="N147" s="3"/>
    </row>
    <row r="148" spans="2:15" customFormat="1" x14ac:dyDescent="0.35">
      <c r="C148" s="3" t="s">
        <v>9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</row>
    <row r="149" spans="2:15" customFormat="1" x14ac:dyDescent="0.35">
      <c r="C149" s="3"/>
      <c r="H149" s="3"/>
      <c r="I149" s="3"/>
      <c r="J149" s="3"/>
      <c r="K149" s="3"/>
      <c r="L149" s="3"/>
      <c r="M149" s="3"/>
      <c r="N149" s="3"/>
    </row>
    <row r="150" spans="2:15" customFormat="1" x14ac:dyDescent="0.35">
      <c r="C150" s="3" t="s">
        <v>8</v>
      </c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</row>
    <row r="151" spans="2:15" customFormat="1" x14ac:dyDescent="0.35">
      <c r="H151" s="3"/>
      <c r="I151" s="3"/>
      <c r="J151" s="3"/>
      <c r="K151" s="3"/>
      <c r="L151" s="3"/>
      <c r="M151" s="3"/>
      <c r="N151" s="3"/>
    </row>
    <row r="152" spans="2:15" customFormat="1" x14ac:dyDescent="0.35">
      <c r="H152" s="3"/>
      <c r="I152" s="3"/>
      <c r="J152" s="3"/>
      <c r="K152" s="3"/>
      <c r="L152" s="3"/>
      <c r="M152" s="3"/>
      <c r="N152" s="3"/>
    </row>
    <row r="153" spans="2:15" customFormat="1" x14ac:dyDescent="0.35">
      <c r="B153" s="42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5" customFormat="1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5" customFormat="1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2:15" customFormat="1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602294876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2:15" customFormat="1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911800979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2:15" customFormat="1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</row>
    <row r="159" spans="2:15" customFormat="1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</row>
    <row r="162" spans="1:12" customFormat="1" x14ac:dyDescent="0.35">
      <c r="A162" s="42"/>
      <c r="B162" s="70" t="s">
        <v>38</v>
      </c>
      <c r="C162" s="3"/>
      <c r="D162" s="3"/>
      <c r="E162" s="3"/>
      <c r="F162" s="3"/>
      <c r="G162" s="3"/>
      <c r="H162" s="3"/>
    </row>
    <row r="163" spans="1:12" customFormat="1" x14ac:dyDescent="0.35">
      <c r="A163" s="42"/>
      <c r="B163" s="41" t="str">
        <f>$A$4</f>
        <v>SC8 Rate I</v>
      </c>
      <c r="C163" s="3"/>
      <c r="D163" s="3"/>
      <c r="E163" s="3"/>
      <c r="F163" s="3"/>
      <c r="G163" s="3"/>
      <c r="I163" s="69" t="s">
        <v>25</v>
      </c>
    </row>
    <row r="164" spans="1:12" customFormat="1" x14ac:dyDescent="0.35">
      <c r="A164" s="42"/>
      <c r="B164" s="3" t="s">
        <v>37</v>
      </c>
      <c r="C164" s="3"/>
      <c r="D164" s="3"/>
      <c r="E164" s="3"/>
      <c r="F164" s="3"/>
      <c r="G164" s="3"/>
      <c r="I164" s="68">
        <f>$V$6</f>
        <v>602294876</v>
      </c>
      <c r="J164" s="65" t="s">
        <v>32</v>
      </c>
      <c r="K164" s="61" t="s">
        <v>1134</v>
      </c>
    </row>
    <row r="165" spans="1:12" customFormat="1" x14ac:dyDescent="0.35">
      <c r="A165" s="42"/>
      <c r="B165" s="3" t="s">
        <v>36</v>
      </c>
      <c r="C165" s="3"/>
      <c r="D165" s="3"/>
      <c r="E165" s="3"/>
      <c r="F165" s="3"/>
      <c r="G165" s="3"/>
      <c r="I165" s="68">
        <f>$V$11</f>
        <v>911800979</v>
      </c>
      <c r="J165" s="65" t="s">
        <v>32</v>
      </c>
      <c r="K165" s="61" t="s">
        <v>1135</v>
      </c>
    </row>
    <row r="166" spans="1:12" customFormat="1" x14ac:dyDescent="0.35">
      <c r="A166" s="42"/>
      <c r="B166" s="3" t="s">
        <v>35</v>
      </c>
      <c r="C166" s="3"/>
      <c r="D166" s="3"/>
      <c r="E166" s="3"/>
      <c r="F166" s="3"/>
      <c r="G166" s="3"/>
      <c r="I166" s="68">
        <f>$V$16</f>
        <v>0</v>
      </c>
      <c r="J166" s="65" t="s">
        <v>32</v>
      </c>
      <c r="K166" s="61" t="s">
        <v>1136</v>
      </c>
    </row>
    <row r="167" spans="1:12" customFormat="1" x14ac:dyDescent="0.35">
      <c r="A167" s="42"/>
      <c r="B167" s="3" t="s">
        <v>34</v>
      </c>
      <c r="C167" s="3"/>
      <c r="D167" s="3"/>
      <c r="E167" s="3"/>
      <c r="F167" s="3"/>
      <c r="G167" s="3"/>
      <c r="I167" s="67">
        <f>$V$21</f>
        <v>0</v>
      </c>
      <c r="J167" s="65" t="s">
        <v>32</v>
      </c>
      <c r="K167" s="61" t="s">
        <v>1137</v>
      </c>
    </row>
    <row r="168" spans="1:12" customFormat="1" x14ac:dyDescent="0.35">
      <c r="A168" s="42"/>
      <c r="B168" s="3" t="s">
        <v>33</v>
      </c>
      <c r="C168" s="3"/>
      <c r="D168" s="3"/>
      <c r="E168" s="3"/>
      <c r="G168" s="66">
        <f>I138</f>
        <v>25315683</v>
      </c>
      <c r="H168" s="63" t="s">
        <v>31</v>
      </c>
      <c r="I168" s="28">
        <f>SUM(I164:I167)</f>
        <v>1514095855</v>
      </c>
      <c r="J168" s="65" t="s">
        <v>32</v>
      </c>
      <c r="K168" s="61" t="s">
        <v>1139</v>
      </c>
    </row>
    <row r="169" spans="1:12" customFormat="1" x14ac:dyDescent="0.35">
      <c r="A169" s="42"/>
      <c r="B169" s="3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3"/>
      <c r="C170" s="3"/>
      <c r="D170" s="3"/>
      <c r="E170" s="3"/>
      <c r="G170" s="34">
        <f>G168</f>
        <v>25315683</v>
      </c>
      <c r="H170" s="63" t="s">
        <v>31</v>
      </c>
      <c r="I170" s="28">
        <f>I168</f>
        <v>1514095855</v>
      </c>
      <c r="J170" s="65" t="s">
        <v>32</v>
      </c>
      <c r="K170" s="61" t="s">
        <v>1138</v>
      </c>
    </row>
    <row r="171" spans="1:12" customFormat="1" ht="15" thickBot="1" x14ac:dyDescent="0.4">
      <c r="A171" s="42"/>
      <c r="B171" s="3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62">
        <f>ROUND(G170/I170,4)</f>
        <v>1.67E-2</v>
      </c>
      <c r="J172" s="61" t="s">
        <v>1141</v>
      </c>
      <c r="K172" s="597" t="s">
        <v>1140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56" t="s">
        <v>29</v>
      </c>
      <c r="J175" s="1357"/>
      <c r="K175" s="1358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/>
      <c r="I178" s="49">
        <f>ROUND($I$172*L144,4)</f>
        <v>1.67E-2</v>
      </c>
      <c r="J178" s="54" t="s">
        <v>1143</v>
      </c>
      <c r="K178" s="55">
        <f>I172</f>
        <v>1.67E-2</v>
      </c>
      <c r="L178" s="598" t="s">
        <v>1141</v>
      </c>
    </row>
    <row r="179" spans="1:17" x14ac:dyDescent="0.35">
      <c r="F179" s="50"/>
      <c r="G179" s="44"/>
      <c r="H179" s="44"/>
      <c r="I179" s="51"/>
      <c r="J179" s="52"/>
      <c r="K179" s="51"/>
      <c r="L179" s="48"/>
    </row>
    <row r="180" spans="1:17" x14ac:dyDescent="0.35">
      <c r="F180" s="50"/>
      <c r="G180" s="44" t="s">
        <v>8</v>
      </c>
      <c r="H180" s="44"/>
      <c r="I180" s="49">
        <f>ROUND($I$172*L146,4)</f>
        <v>1.67E-2</v>
      </c>
      <c r="J180" s="54" t="s">
        <v>1144</v>
      </c>
      <c r="K180" s="49">
        <f>ROUND($I$172*N146,4)</f>
        <v>1.67E-2</v>
      </c>
      <c r="L180" s="598" t="s">
        <v>1145</v>
      </c>
    </row>
    <row r="181" spans="1:17" ht="15" thickBot="1" x14ac:dyDescent="0.4">
      <c r="F181" s="47"/>
      <c r="G181" s="46"/>
      <c r="H181" s="46"/>
      <c r="I181" s="46"/>
      <c r="J181" s="46"/>
      <c r="K181" s="4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42" t="s">
        <v>28</v>
      </c>
    </row>
    <row r="184" spans="1:17" x14ac:dyDescent="0.35">
      <c r="A184" s="42"/>
    </row>
    <row r="185" spans="1:17" x14ac:dyDescent="0.35">
      <c r="A185" s="42"/>
      <c r="B185" s="41" t="str">
        <f>$A$4</f>
        <v>SC8 Rate I</v>
      </c>
    </row>
    <row r="186" spans="1:17" x14ac:dyDescent="0.35">
      <c r="A186" s="3"/>
      <c r="B186" s="41" t="s">
        <v>5</v>
      </c>
      <c r="D186" s="1345">
        <f>L4</f>
        <v>2020</v>
      </c>
      <c r="E186" s="1345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31" t="s">
        <v>27</v>
      </c>
      <c r="D189" s="3"/>
      <c r="E189" s="3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3" t="s">
        <v>9</v>
      </c>
      <c r="D190" s="36">
        <f>D63</f>
        <v>0</v>
      </c>
      <c r="E190" s="36" t="str">
        <f>E63</f>
        <v>-</v>
      </c>
      <c r="F190" s="36">
        <f>F63</f>
        <v>10</v>
      </c>
      <c r="G190" s="29">
        <f>T6</f>
        <v>74</v>
      </c>
      <c r="H190" s="3"/>
      <c r="I190" s="29">
        <f>U6</f>
        <v>69190</v>
      </c>
      <c r="J190" s="3"/>
      <c r="K190" s="35">
        <f>H120</f>
        <v>380.53</v>
      </c>
      <c r="L190" s="3"/>
      <c r="M190" s="524">
        <f>ROUND(K190*(I190/F190),0)</f>
        <v>2632887</v>
      </c>
      <c r="N190" s="3"/>
      <c r="O190" s="3"/>
      <c r="P190" s="2"/>
      <c r="Q190" s="2"/>
    </row>
    <row r="191" spans="1:17" x14ac:dyDescent="0.35">
      <c r="B191" s="3"/>
      <c r="C191" s="3"/>
      <c r="D191" s="36"/>
      <c r="E191" s="36" t="str">
        <f>E$65</f>
        <v>&gt;</v>
      </c>
      <c r="F191" s="36">
        <f>F$65</f>
        <v>10</v>
      </c>
      <c r="G191" s="29">
        <f>T7</f>
        <v>6845</v>
      </c>
      <c r="H191" s="3"/>
      <c r="I191" s="29">
        <f>U7</f>
        <v>1446294</v>
      </c>
      <c r="J191" s="3"/>
      <c r="K191" s="35">
        <f>H122</f>
        <v>34.32</v>
      </c>
      <c r="L191" s="3"/>
      <c r="M191" s="26">
        <f>ROUND(K191*I191,0)</f>
        <v>49636810</v>
      </c>
      <c r="N191" s="3"/>
      <c r="O191" s="3"/>
      <c r="P191" s="2"/>
      <c r="Q191" s="2"/>
    </row>
    <row r="192" spans="1:17" x14ac:dyDescent="0.35">
      <c r="B192" s="3"/>
      <c r="C192" s="3"/>
      <c r="D192" s="36"/>
      <c r="E192" s="36"/>
      <c r="F192" s="36"/>
      <c r="G192" s="38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3"/>
      <c r="D193" s="36"/>
      <c r="E193" s="36"/>
      <c r="F193" s="36"/>
      <c r="G193" s="28">
        <f>G190+G191+G192</f>
        <v>6919</v>
      </c>
      <c r="H193" s="3"/>
      <c r="I193" s="28">
        <f>I190+I191+I192</f>
        <v>1515484</v>
      </c>
      <c r="J193" s="3"/>
      <c r="K193" s="35"/>
      <c r="L193" s="3"/>
      <c r="M193" s="34">
        <f>M190+M191+M192</f>
        <v>52269697</v>
      </c>
      <c r="N193" s="34"/>
      <c r="O193" s="36" t="s">
        <v>10</v>
      </c>
      <c r="P193" s="2"/>
      <c r="Q193" s="2"/>
    </row>
    <row r="194" spans="2:17" x14ac:dyDescent="0.35">
      <c r="B194" s="3"/>
      <c r="C194" s="3"/>
      <c r="D194" s="36"/>
      <c r="E194" s="36"/>
      <c r="F194" s="36"/>
      <c r="G194" s="28"/>
      <c r="H194" s="3"/>
      <c r="I194" s="28"/>
      <c r="J194" s="3"/>
      <c r="K194" s="35"/>
      <c r="L194" s="33" t="s">
        <v>22</v>
      </c>
      <c r="M194" s="34">
        <f>ROUND(M193*(O194-1),0)</f>
        <v>623055</v>
      </c>
      <c r="N194" s="33" t="s">
        <v>23</v>
      </c>
      <c r="O194" s="40">
        <f>L10</f>
        <v>1.0119199999999999</v>
      </c>
      <c r="P194" s="2"/>
      <c r="Q194" s="2"/>
    </row>
    <row r="195" spans="2:17" x14ac:dyDescent="0.35">
      <c r="B195" s="3"/>
      <c r="C195" s="3"/>
      <c r="D195" s="36"/>
      <c r="E195" s="36"/>
      <c r="F195" s="36"/>
      <c r="G195" s="28"/>
      <c r="H195" s="3"/>
      <c r="I195" s="28"/>
      <c r="J195" s="3"/>
      <c r="K195" s="35"/>
      <c r="L195" s="33" t="s">
        <v>21</v>
      </c>
      <c r="M195" s="32">
        <f>M193+M194</f>
        <v>52892752</v>
      </c>
      <c r="N195" s="8"/>
      <c r="O195" s="3"/>
      <c r="P195" s="2"/>
      <c r="Q195" s="2"/>
    </row>
    <row r="196" spans="2:17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3" t="s">
        <v>8</v>
      </c>
      <c r="D197" s="36">
        <f>D190</f>
        <v>0</v>
      </c>
      <c r="E197" s="36" t="str">
        <f>E190</f>
        <v>-</v>
      </c>
      <c r="F197" s="36">
        <f>F190</f>
        <v>10</v>
      </c>
      <c r="G197" s="29">
        <f>T16</f>
        <v>0</v>
      </c>
      <c r="H197" s="3"/>
      <c r="I197" s="29">
        <f>U16</f>
        <v>0</v>
      </c>
      <c r="J197" s="3"/>
      <c r="K197" s="35">
        <f>H124</f>
        <v>273.87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3"/>
      <c r="D198" s="36"/>
      <c r="E198" s="36" t="str">
        <f>E191</f>
        <v>&gt;</v>
      </c>
      <c r="F198" s="36">
        <f>F191</f>
        <v>10</v>
      </c>
      <c r="G198" s="29">
        <f>T17</f>
        <v>0</v>
      </c>
      <c r="H198" s="3"/>
      <c r="I198" s="29">
        <f>U17</f>
        <v>0</v>
      </c>
      <c r="J198" s="3"/>
      <c r="K198" s="35">
        <f>H126</f>
        <v>24.69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3"/>
      <c r="D199" s="36"/>
      <c r="E199" s="36"/>
      <c r="F199" s="36"/>
      <c r="G199" s="38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3"/>
      <c r="D200" s="36"/>
      <c r="E200" s="36"/>
      <c r="F200" s="36"/>
      <c r="G200" s="28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3"/>
      <c r="D201" s="36"/>
      <c r="E201" s="36"/>
      <c r="F201" s="36"/>
      <c r="G201" s="28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3"/>
      <c r="D202" s="36"/>
      <c r="E202" s="36"/>
      <c r="F202" s="36"/>
      <c r="G202" s="28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31" t="s">
        <v>24</v>
      </c>
      <c r="D207" s="3"/>
      <c r="E207" s="3"/>
      <c r="F207" s="3"/>
      <c r="G207" s="3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3" t="s">
        <v>9</v>
      </c>
      <c r="D208" s="36">
        <f>D190</f>
        <v>0</v>
      </c>
      <c r="E208" s="36" t="str">
        <f>E190</f>
        <v>-</v>
      </c>
      <c r="F208" s="36">
        <f>F190</f>
        <v>10</v>
      </c>
      <c r="G208" s="29">
        <f>T11</f>
        <v>243.00000000000003</v>
      </c>
      <c r="H208" s="3"/>
      <c r="I208" s="29">
        <f>U11</f>
        <v>138280</v>
      </c>
      <c r="J208" s="3"/>
      <c r="K208" s="35">
        <f>J120</f>
        <v>294.16000000000003</v>
      </c>
      <c r="L208" s="3"/>
      <c r="M208" s="524">
        <f>ROUND(K208*(I208/F208),0)</f>
        <v>4067644</v>
      </c>
      <c r="N208" s="17"/>
      <c r="O208" s="3"/>
      <c r="P208" s="2"/>
      <c r="Q208" s="2"/>
    </row>
    <row r="209" spans="2:17" x14ac:dyDescent="0.35">
      <c r="B209" s="3"/>
      <c r="C209" s="3"/>
      <c r="D209" s="36"/>
      <c r="E209" s="36" t="str">
        <f>E191</f>
        <v>&gt;</v>
      </c>
      <c r="F209" s="36">
        <f>F191</f>
        <v>10</v>
      </c>
      <c r="G209" s="29">
        <f>T12</f>
        <v>13585</v>
      </c>
      <c r="H209" s="3"/>
      <c r="I209" s="29">
        <f>U12</f>
        <v>1945382</v>
      </c>
      <c r="J209" s="3"/>
      <c r="K209" s="35">
        <f>J122</f>
        <v>26.51</v>
      </c>
      <c r="L209" s="3"/>
      <c r="M209" s="26">
        <f>ROUND(K209*I209,0)</f>
        <v>51572077</v>
      </c>
      <c r="N209" s="17"/>
      <c r="O209" s="3"/>
      <c r="P209" s="2"/>
      <c r="Q209" s="2"/>
    </row>
    <row r="210" spans="2:17" x14ac:dyDescent="0.35">
      <c r="B210" s="3"/>
      <c r="C210" s="3"/>
      <c r="D210" s="36"/>
      <c r="E210" s="36"/>
      <c r="F210" s="36"/>
      <c r="G210" s="38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3"/>
      <c r="D211" s="36"/>
      <c r="E211" s="36"/>
      <c r="F211" s="36"/>
      <c r="G211" s="28">
        <f>G208+G209+G210</f>
        <v>13828</v>
      </c>
      <c r="H211" s="3"/>
      <c r="I211" s="28">
        <f>I208+I209+I210</f>
        <v>2083662</v>
      </c>
      <c r="J211" s="3"/>
      <c r="K211" s="35"/>
      <c r="L211" s="3"/>
      <c r="M211" s="34">
        <f>M208+M209+M210</f>
        <v>55639721</v>
      </c>
      <c r="N211" s="3"/>
      <c r="O211" s="36" t="s">
        <v>7</v>
      </c>
      <c r="P211" s="2"/>
      <c r="Q211" s="2"/>
    </row>
    <row r="212" spans="2:17" x14ac:dyDescent="0.35">
      <c r="B212" s="3"/>
      <c r="C212" s="3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34">
        <f>ROUND(M211*(O212-1),0)</f>
        <v>593676</v>
      </c>
      <c r="N212" s="33" t="s">
        <v>23</v>
      </c>
      <c r="O212" s="40">
        <f>L11</f>
        <v>1.01067</v>
      </c>
      <c r="P212" s="2"/>
      <c r="Q212" s="2"/>
    </row>
    <row r="213" spans="2:17" x14ac:dyDescent="0.35">
      <c r="B213" s="3"/>
      <c r="C213" s="3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32">
        <f>M211+M212</f>
        <v>56233397</v>
      </c>
      <c r="N213" s="8"/>
      <c r="O213" s="3"/>
      <c r="P213" s="2"/>
      <c r="Q213" s="2"/>
    </row>
    <row r="214" spans="2:1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3" t="s">
        <v>8</v>
      </c>
      <c r="D215" s="36">
        <f>D190</f>
        <v>0</v>
      </c>
      <c r="E215" s="36" t="str">
        <f>E190</f>
        <v>-</v>
      </c>
      <c r="F215" s="36">
        <f>F190</f>
        <v>10</v>
      </c>
      <c r="G215" s="29">
        <f>T21</f>
        <v>0</v>
      </c>
      <c r="H215" s="3"/>
      <c r="I215" s="29">
        <f>U21</f>
        <v>0</v>
      </c>
      <c r="J215" s="3"/>
      <c r="K215" s="35">
        <f>J124</f>
        <v>187.5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3"/>
      <c r="D216" s="36"/>
      <c r="E216" s="36" t="str">
        <f>E191</f>
        <v>&gt;</v>
      </c>
      <c r="F216" s="36">
        <f>F191</f>
        <v>10</v>
      </c>
      <c r="G216" s="29">
        <f>T22</f>
        <v>0</v>
      </c>
      <c r="H216" s="3"/>
      <c r="I216" s="29">
        <f>U22</f>
        <v>0</v>
      </c>
      <c r="J216" s="3"/>
      <c r="K216" s="35">
        <f>J126</f>
        <v>16.86</v>
      </c>
      <c r="L216" s="3"/>
      <c r="M216" s="26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3"/>
      <c r="D217" s="36"/>
      <c r="E217" s="36"/>
      <c r="F217" s="36"/>
      <c r="G217" s="38">
        <f>T23</f>
        <v>0</v>
      </c>
      <c r="H217" s="3"/>
      <c r="I217" s="38">
        <f>U23</f>
        <v>0</v>
      </c>
      <c r="J217" s="3"/>
      <c r="K217" s="35"/>
      <c r="L217" s="3"/>
      <c r="M217" s="37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3"/>
      <c r="D218" s="36"/>
      <c r="E218" s="36"/>
      <c r="F218" s="36"/>
      <c r="G218" s="28">
        <f>G215+G216+G217</f>
        <v>0</v>
      </c>
      <c r="H218" s="3"/>
      <c r="I218" s="28">
        <f>I215+I216+I217</f>
        <v>0</v>
      </c>
      <c r="J218" s="3"/>
      <c r="K218" s="35"/>
      <c r="L218" s="3"/>
      <c r="M218" s="34">
        <f>M215+M216+M217</f>
        <v>0</v>
      </c>
      <c r="N218" s="17"/>
      <c r="O218" s="3"/>
      <c r="P218" s="2"/>
      <c r="Q218" s="2"/>
    </row>
    <row r="219" spans="2:1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34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32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2"/>
      <c r="Q221" s="2"/>
    </row>
    <row r="222" spans="2:17" ht="15.5" thickTop="1" thickBot="1" x14ac:dyDescent="0.4">
      <c r="B222" s="3"/>
      <c r="C222" s="25" t="str">
        <f>CONCATENATE($A$4," - Total Annual Demand Charge Incl EDB:")</f>
        <v>SC8 Rate I - Total Annual Demand Charge Incl EDB:</v>
      </c>
      <c r="D222" s="3"/>
      <c r="E222" s="3"/>
      <c r="F222" s="3"/>
      <c r="G222" s="3"/>
      <c r="H222" s="3"/>
      <c r="I222" s="3"/>
      <c r="J222" s="3"/>
      <c r="K222" s="3"/>
      <c r="L222" s="3"/>
      <c r="M222" s="519">
        <f>M195+M202+M213+M220</f>
        <v>109126149</v>
      </c>
      <c r="N222" s="17"/>
      <c r="O222" s="3"/>
      <c r="P222" s="2"/>
      <c r="Q222" s="2"/>
    </row>
    <row r="223" spans="2:17" ht="15" thickTop="1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7"/>
      <c r="O223" s="3"/>
      <c r="P223" s="2"/>
      <c r="Q223" s="2"/>
    </row>
    <row r="224" spans="2:17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0" t="s">
        <v>15</v>
      </c>
      <c r="L224" s="3"/>
      <c r="M224" s="30" t="s">
        <v>14</v>
      </c>
      <c r="N224" s="17"/>
      <c r="O224" s="3"/>
      <c r="P224" s="2"/>
      <c r="Q224" s="2"/>
    </row>
    <row r="225" spans="2:17" x14ac:dyDescent="0.35">
      <c r="B225" s="3"/>
      <c r="C225" s="31" t="s">
        <v>13</v>
      </c>
      <c r="D225" s="3"/>
      <c r="E225" s="3"/>
      <c r="F225" s="3"/>
      <c r="G225" s="3"/>
      <c r="H225" s="3"/>
      <c r="I225" s="30" t="s">
        <v>12</v>
      </c>
      <c r="J225" s="3"/>
      <c r="K225" s="30" t="s">
        <v>11</v>
      </c>
      <c r="L225" s="3"/>
      <c r="M225" s="30" t="s">
        <v>6</v>
      </c>
      <c r="N225" s="17"/>
      <c r="O225" s="3"/>
      <c r="P225" s="2"/>
      <c r="Q225" s="2"/>
    </row>
    <row r="226" spans="2:17" x14ac:dyDescent="0.35">
      <c r="B226" s="3"/>
      <c r="C226" s="3" t="s">
        <v>9</v>
      </c>
      <c r="D226" s="3" t="s">
        <v>10</v>
      </c>
      <c r="E226" s="3"/>
      <c r="F226" s="3"/>
      <c r="G226" s="3"/>
      <c r="H226" s="3"/>
      <c r="I226" s="29">
        <f>V6</f>
        <v>602294876</v>
      </c>
      <c r="J226" s="3"/>
      <c r="K226" s="27">
        <f>I178</f>
        <v>1.67E-2</v>
      </c>
      <c r="L226" s="3"/>
      <c r="M226" s="26">
        <f>ROUND(I226*K226,0)</f>
        <v>10058324</v>
      </c>
      <c r="N226" s="17"/>
      <c r="O226" s="3"/>
      <c r="P226" s="2"/>
      <c r="Q226" s="2"/>
    </row>
    <row r="227" spans="2:17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  <c r="Q227" s="2"/>
    </row>
    <row r="228" spans="2:17" x14ac:dyDescent="0.35">
      <c r="B228" s="3"/>
      <c r="C228" s="3" t="s">
        <v>8</v>
      </c>
      <c r="D228" s="3" t="s">
        <v>10</v>
      </c>
      <c r="E228" s="3"/>
      <c r="F228" s="3"/>
      <c r="G228" s="3"/>
      <c r="H228" s="3"/>
      <c r="I228" s="28">
        <f>V16</f>
        <v>0</v>
      </c>
      <c r="J228" s="3"/>
      <c r="K228" s="27">
        <f>I180</f>
        <v>1.67E-2</v>
      </c>
      <c r="L228" s="3"/>
      <c r="M228" s="26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  <c r="Q229" s="2"/>
    </row>
    <row r="230" spans="2:17" x14ac:dyDescent="0.35">
      <c r="B230" s="3"/>
      <c r="C230" s="3" t="s">
        <v>9</v>
      </c>
      <c r="D230" s="3" t="s">
        <v>7</v>
      </c>
      <c r="E230" s="3"/>
      <c r="F230" s="3"/>
      <c r="G230" s="3"/>
      <c r="H230" s="3"/>
      <c r="I230" s="28">
        <f>V11</f>
        <v>911800979</v>
      </c>
      <c r="J230" s="3"/>
      <c r="K230" s="27">
        <f>K178</f>
        <v>1.67E-2</v>
      </c>
      <c r="L230" s="3"/>
      <c r="M230" s="26">
        <f>ROUND(I230*K230,0)</f>
        <v>15227076</v>
      </c>
      <c r="N230" s="17"/>
      <c r="O230" s="3"/>
      <c r="P230" s="2"/>
      <c r="Q230" s="2"/>
    </row>
    <row r="231" spans="2:17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</row>
    <row r="232" spans="2:17" x14ac:dyDescent="0.35">
      <c r="B232" s="3"/>
      <c r="C232" s="3" t="s">
        <v>8</v>
      </c>
      <c r="D232" s="3" t="s">
        <v>7</v>
      </c>
      <c r="E232" s="3"/>
      <c r="F232" s="3"/>
      <c r="G232" s="3"/>
      <c r="H232" s="3"/>
      <c r="I232" s="28">
        <f>V21</f>
        <v>0</v>
      </c>
      <c r="J232" s="3"/>
      <c r="K232" s="27">
        <f>K180</f>
        <v>1.67E-2</v>
      </c>
      <c r="L232" s="3"/>
      <c r="M232" s="26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3"/>
      <c r="P233" s="2"/>
      <c r="Q233" s="2"/>
    </row>
    <row r="234" spans="2:17" ht="15.5" thickTop="1" thickBot="1" x14ac:dyDescent="0.4">
      <c r="B234" s="3"/>
      <c r="C234" s="25" t="str">
        <f>CONCATENATE($A$4," - Total Annual Energy Charge:")</f>
        <v>SC8 Rate I - Total Annual Energy Charge:</v>
      </c>
      <c r="D234" s="3"/>
      <c r="E234" s="3"/>
      <c r="F234" s="3"/>
      <c r="G234" s="3"/>
      <c r="H234" s="3"/>
      <c r="I234" s="3"/>
      <c r="J234" s="3"/>
      <c r="K234" s="3"/>
      <c r="L234" s="3"/>
      <c r="M234" s="519">
        <f>M226+M228+M230+M232</f>
        <v>25285400</v>
      </c>
      <c r="N234" s="17"/>
      <c r="O234" s="3"/>
      <c r="P234" s="2"/>
      <c r="Q234" s="2"/>
    </row>
    <row r="235" spans="2:17" ht="15.5" thickTop="1" thickBot="1" x14ac:dyDescent="0.4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7"/>
      <c r="O235" s="3"/>
      <c r="P235" s="2"/>
      <c r="Q235" s="2"/>
    </row>
    <row r="236" spans="2:17" ht="15.5" thickTop="1" thickBot="1" x14ac:dyDescent="0.4">
      <c r="B236" s="3"/>
      <c r="C236" s="25" t="str">
        <f>CONCATENATE($A$4," - Total Charge Price-Out at Proposed Rates:")</f>
        <v>SC8 Rate I - Total Charge Price-Out at Proposed Rates:</v>
      </c>
      <c r="D236" s="3"/>
      <c r="E236" s="3"/>
      <c r="F236" s="3"/>
      <c r="G236" s="3"/>
      <c r="H236" s="3"/>
      <c r="I236" s="3"/>
      <c r="J236" s="3"/>
      <c r="K236" s="3"/>
      <c r="L236" s="3"/>
      <c r="M236" s="519">
        <f>M222+M234</f>
        <v>134411549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23" t="str">
        <f>$A$4</f>
        <v>SC8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50">
        <f>L4</f>
        <v>2020</v>
      </c>
      <c r="E239" s="1350"/>
      <c r="F239" s="1350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20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134411549</v>
      </c>
      <c r="N240" s="559"/>
      <c r="O240" s="2"/>
      <c r="P240" s="2"/>
      <c r="Q240" s="2"/>
    </row>
    <row r="241" spans="1:17" x14ac:dyDescent="0.35">
      <c r="B241" s="3"/>
      <c r="C241" s="20"/>
      <c r="D241" s="19"/>
      <c r="E241" s="19"/>
      <c r="F241" s="19"/>
      <c r="G241" s="10"/>
      <c r="H241" s="10"/>
      <c r="I241" s="10"/>
      <c r="J241" s="10"/>
      <c r="K241" s="10"/>
      <c r="L241" s="10"/>
      <c r="M241" s="18"/>
      <c r="N241" s="558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88"/>
      <c r="N242" s="559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134411549</v>
      </c>
      <c r="N243" s="559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9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525">
        <f>L19</f>
        <v>134447658</v>
      </c>
      <c r="N245" s="559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-36109</v>
      </c>
      <c r="N246" s="559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-2.6857291928428229E-4</v>
      </c>
      <c r="N247" s="559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5" header="0.3" footer="0.3"/>
  <pageSetup scale="45" orientation="landscape" r:id="rId1"/>
  <headerFooter>
    <oddFooter>&amp;C&amp;Z&amp;F (Tab: &amp;A)&amp;RPage &amp;P / &amp;N</oddFooter>
  </headerFooter>
  <rowBreaks count="3" manualBreakCount="3">
    <brk id="81" max="16383" man="1"/>
    <brk id="161" max="16383" man="1"/>
    <brk id="237" max="16383" man="1"/>
  </rowBreaks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3">
    <tabColor rgb="FF0070C0"/>
  </sheetPr>
  <dimension ref="A1:V253"/>
  <sheetViews>
    <sheetView workbookViewId="0">
      <selection activeCell="Q9" sqref="Q9"/>
    </sheetView>
  </sheetViews>
  <sheetFormatPr defaultRowHeight="14.5" outlineLevelRow="2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7.26953125" customWidth="1"/>
    <col min="10" max="10" width="15.7265625" customWidth="1"/>
    <col min="11" max="11" width="14.1796875" customWidth="1"/>
    <col min="12" max="12" width="19" customWidth="1"/>
    <col min="13" max="13" width="16.1796875" customWidth="1"/>
    <col min="14" max="14" width="17.1796875" customWidth="1"/>
    <col min="15" max="15" width="16.453125" customWidth="1"/>
    <col min="16" max="16" width="15" style="1" customWidth="1"/>
    <col min="17" max="17" width="8" style="1" customWidth="1"/>
    <col min="18" max="18" width="8" customWidth="1"/>
    <col min="20" max="21" width="12.1796875" customWidth="1"/>
    <col min="22" max="22" width="15.81640625" customWidth="1"/>
    <col min="25" max="26" width="11.7265625" customWidth="1"/>
    <col min="27" max="27" width="16.81640625" customWidth="1"/>
  </cols>
  <sheetData>
    <row r="1" spans="1:22" ht="18.5" x14ac:dyDescent="0.45">
      <c r="A1" s="189" t="s">
        <v>1282</v>
      </c>
    </row>
    <row r="3" spans="1:22" outlineLevel="2" x14ac:dyDescent="0.35">
      <c r="A3" s="70" t="s">
        <v>158</v>
      </c>
      <c r="B3" s="70"/>
      <c r="C3" s="3"/>
      <c r="D3" s="3"/>
      <c r="E3" s="3"/>
      <c r="F3" s="3"/>
      <c r="G3" s="3"/>
      <c r="H3" s="3"/>
      <c r="I3" s="3"/>
      <c r="K3" s="33" t="s">
        <v>150</v>
      </c>
      <c r="L3" s="1075">
        <f>'15A.)MD Shift_RedesignRateSum'!$D$4</f>
        <v>2019</v>
      </c>
      <c r="M3" s="3"/>
      <c r="P3" s="192" t="str">
        <f>$A$4</f>
        <v>SC9 Rate I</v>
      </c>
      <c r="Q3" s="2"/>
      <c r="R3" s="3"/>
      <c r="S3" s="3"/>
      <c r="T3" s="3"/>
      <c r="U3" s="3"/>
      <c r="V3" s="3"/>
    </row>
    <row r="4" spans="1:22" outlineLevel="2" x14ac:dyDescent="0.35">
      <c r="A4" s="182" t="s">
        <v>149</v>
      </c>
      <c r="B4" s="182"/>
      <c r="C4" s="3"/>
      <c r="D4" s="3"/>
      <c r="E4" s="3"/>
      <c r="F4" s="3"/>
      <c r="G4" s="3"/>
      <c r="H4" s="3"/>
      <c r="K4" s="33" t="s">
        <v>5</v>
      </c>
      <c r="L4" s="1075">
        <f>'15A.)MD Shift_RedesignRateSum'!$D$5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2" x14ac:dyDescent="0.35">
      <c r="A5" s="3"/>
      <c r="B5" s="3"/>
      <c r="C5" s="3"/>
      <c r="D5" s="3"/>
      <c r="E5" s="3"/>
      <c r="F5" s="3"/>
      <c r="G5" s="3"/>
      <c r="H5" s="3"/>
      <c r="K5" s="33" t="s">
        <v>145</v>
      </c>
      <c r="L5" s="1075" t="str">
        <f>CONCATENATE("Shift of ",$L$8*100,"%")</f>
        <v>Shift of 0%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2" x14ac:dyDescent="0.35">
      <c r="A6" s="180"/>
      <c r="B6" s="180"/>
      <c r="C6" s="180"/>
      <c r="D6" s="180"/>
      <c r="E6" s="180"/>
      <c r="F6" s="180"/>
      <c r="G6" s="231" t="str">
        <f>'15A.)MD Shift_RedesignRateSum'!E51</f>
        <v>Current(RY1)</v>
      </c>
      <c r="H6" s="292" t="s">
        <v>309</v>
      </c>
      <c r="K6" t="s">
        <v>1382</v>
      </c>
      <c r="L6" s="56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79">
        <f>'[2]4C.)HY_DemandRatePxOut(Rate I)'!$E$121</f>
        <v>5</v>
      </c>
      <c r="T6" s="175">
        <f>'[2]4C.)HY_DemandRatePxOut(Rate I)'!$L$126</f>
        <v>24283.037279249718</v>
      </c>
      <c r="U6" s="175">
        <f>'[2]4C.)HY_DemandRatePxOut(Rate I)'!$N$126</f>
        <v>2575135</v>
      </c>
      <c r="V6" s="175">
        <f>'[2]4B.)HY_EnergyRatePxOut(Rate I)'!$M$212</f>
        <v>5967559052</v>
      </c>
    </row>
    <row r="7" spans="1:22" ht="15" outlineLevel="2" thickBot="1" x14ac:dyDescent="0.4">
      <c r="A7" s="3"/>
      <c r="B7" s="3"/>
      <c r="C7" s="3"/>
      <c r="D7" s="3"/>
      <c r="E7" s="3"/>
      <c r="F7" s="3"/>
      <c r="G7" s="101" t="str">
        <f>'15A.)MD Shift_RedesignRateSum'!E52</f>
        <v>Current (H/L Shift)</v>
      </c>
      <c r="H7" s="101" t="s">
        <v>142</v>
      </c>
      <c r="K7" s="33"/>
      <c r="L7" s="118" t="str">
        <f>A4</f>
        <v>SC9 Rate I</v>
      </c>
      <c r="M7" s="3"/>
      <c r="P7" s="170" t="s">
        <v>114</v>
      </c>
      <c r="Q7" s="159">
        <v>5</v>
      </c>
      <c r="R7" s="158" t="s">
        <v>143</v>
      </c>
      <c r="S7" s="178">
        <f>'[2]4C.)HY_DemandRatePxOut(Rate I)'!$E$122</f>
        <v>100</v>
      </c>
      <c r="T7" s="174">
        <f>'[2]4C.)HY_DemandRatePxOut(Rate I)'!$L$127</f>
        <v>463127.78306230035</v>
      </c>
      <c r="U7" s="174">
        <f>'[2]4C.)HY_DemandRatePxOut(Rate I)'!$N$127</f>
        <v>10355085</v>
      </c>
      <c r="V7" s="186"/>
    </row>
    <row r="8" spans="1:22" ht="15.5" outlineLevel="2" thickTop="1" thickBot="1" x14ac:dyDescent="0.4">
      <c r="A8" s="3" t="s">
        <v>343</v>
      </c>
      <c r="B8" s="3"/>
      <c r="C8" s="3"/>
      <c r="D8" s="3"/>
      <c r="E8" s="3"/>
      <c r="F8" s="3"/>
      <c r="G8" s="309">
        <f>'15A.)MD Shift_RedesignRateSum'!E53</f>
        <v>2.1000000000000001E-2</v>
      </c>
      <c r="H8" s="293">
        <f>I178</f>
        <v>2.1000000000000001E-2</v>
      </c>
      <c r="I8" s="365"/>
      <c r="K8" s="33" t="s">
        <v>1279</v>
      </c>
      <c r="L8" s="491">
        <f>'15A.)MD Shift_RedesignRateSum'!$E$9</f>
        <v>0</v>
      </c>
      <c r="M8" s="3"/>
      <c r="P8" s="168" t="s">
        <v>114</v>
      </c>
      <c r="Q8" s="155"/>
      <c r="R8" s="176" t="s">
        <v>141</v>
      </c>
      <c r="S8" s="154">
        <v>100</v>
      </c>
      <c r="T8" s="185">
        <f>'[2]4C.)HY_DemandRatePxOut(Rate I)'!$L$128</f>
        <v>27616.179658449917</v>
      </c>
      <c r="U8" s="185">
        <f>'[2]4C.)HY_DemandRatePxOut(Rate I)'!$N$128</f>
        <v>4265301</v>
      </c>
      <c r="V8" s="187"/>
    </row>
    <row r="9" spans="1:22" ht="15.5" outlineLevel="2" thickTop="1" thickBot="1" x14ac:dyDescent="0.4">
      <c r="A9" s="3" t="s">
        <v>344</v>
      </c>
      <c r="B9" s="3"/>
      <c r="C9" s="3"/>
      <c r="D9" s="3"/>
      <c r="E9" s="3"/>
      <c r="F9" s="3"/>
      <c r="G9" s="310">
        <f>'15A.)MD Shift_RedesignRateSum'!E54</f>
        <v>2.1000000000000001E-2</v>
      </c>
      <c r="H9" s="294">
        <f>K178</f>
        <v>2.1000000000000001E-2</v>
      </c>
      <c r="I9" s="365"/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515026.99999999994</v>
      </c>
      <c r="U9" s="151">
        <f>SUM(U6:U8)</f>
        <v>17195521</v>
      </c>
      <c r="V9" s="151">
        <f>SUM(V6:V8)</f>
        <v>5967559052</v>
      </c>
    </row>
    <row r="10" spans="1:22" ht="15" outlineLevel="2" thickTop="1" x14ac:dyDescent="0.35">
      <c r="A10" s="3" t="s">
        <v>345</v>
      </c>
      <c r="B10" s="3"/>
      <c r="C10" s="3"/>
      <c r="D10" s="3"/>
      <c r="E10" s="3"/>
      <c r="F10" s="3"/>
      <c r="G10" s="310">
        <f>'15A.)MD Shift_RedesignRateSum'!E55</f>
        <v>176.77</v>
      </c>
      <c r="H10" s="294">
        <f>H120</f>
        <v>176.77</v>
      </c>
      <c r="I10" s="365"/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2" x14ac:dyDescent="0.35">
      <c r="A11" s="3" t="s">
        <v>346</v>
      </c>
      <c r="B11" s="3"/>
      <c r="C11" s="3"/>
      <c r="D11" s="3"/>
      <c r="E11" s="3"/>
      <c r="F11" s="3"/>
      <c r="G11" s="310">
        <f>'15A.)MD Shift_RedesignRateSum'!E56</f>
        <v>25.83</v>
      </c>
      <c r="H11" s="294">
        <f>H122</f>
        <v>25.83</v>
      </c>
      <c r="I11" s="365"/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175">
        <f>'[2]4C.)HY_DemandRatePxOut(Rate I)'!$L$121</f>
        <v>68583.997485784668</v>
      </c>
      <c r="U11" s="175">
        <f>'[2]4C.)HY_DemandRatePxOut(Rate I)'!$N$121</f>
        <v>5147035</v>
      </c>
      <c r="V11" s="175">
        <f>'[2]4B.)HY_EnergyRatePxOut(Rate I)'!$M$207</f>
        <v>10316378373</v>
      </c>
    </row>
    <row r="12" spans="1:22" outlineLevel="2" x14ac:dyDescent="0.35">
      <c r="A12" s="3" t="s">
        <v>347</v>
      </c>
      <c r="B12" s="3"/>
      <c r="C12" s="3"/>
      <c r="D12" s="3"/>
      <c r="E12" s="3"/>
      <c r="F12" s="3"/>
      <c r="G12" s="310">
        <f>'15A.)MD Shift_RedesignRateSum'!E57</f>
        <v>141.21</v>
      </c>
      <c r="H12" s="294">
        <f>J120</f>
        <v>141.21</v>
      </c>
      <c r="I12" s="365"/>
      <c r="J12" s="1058"/>
      <c r="K12" s="1076" t="s">
        <v>2175</v>
      </c>
      <c r="L12" s="1077">
        <f>'8B.)ED Shift_RedesignRateSum'!$D$5</f>
        <v>0.05</v>
      </c>
      <c r="P12" s="160" t="s">
        <v>113</v>
      </c>
      <c r="Q12" s="159">
        <f>$Q$7</f>
        <v>5</v>
      </c>
      <c r="R12" s="158" t="str">
        <f>$R$7</f>
        <v>-</v>
      </c>
      <c r="S12" s="157">
        <f>$S$7</f>
        <v>100</v>
      </c>
      <c r="T12" s="174">
        <f>'[2]4C.)HY_DemandRatePxOut(Rate I)'!$L$122</f>
        <v>914598.30826242268</v>
      </c>
      <c r="U12" s="174">
        <f>'[2]4C.)HY_DemandRatePxOut(Rate I)'!$N$122</f>
        <v>18151598</v>
      </c>
      <c r="V12" s="186"/>
    </row>
    <row r="13" spans="1:22" ht="15" outlineLevel="2" thickBot="1" x14ac:dyDescent="0.4">
      <c r="A13" s="3" t="s">
        <v>348</v>
      </c>
      <c r="B13" s="3"/>
      <c r="C13" s="3"/>
      <c r="D13" s="3"/>
      <c r="E13" s="3"/>
      <c r="F13" s="3"/>
      <c r="G13" s="310">
        <f>'15A.)MD Shift_RedesignRateSum'!E58</f>
        <v>20.399999999999999</v>
      </c>
      <c r="H13" s="294">
        <f>J122</f>
        <v>20.399999999999999</v>
      </c>
      <c r="I13" s="365"/>
      <c r="K13" s="367"/>
      <c r="L13" s="135" t="s">
        <v>135</v>
      </c>
      <c r="M13" s="135" t="s">
        <v>134</v>
      </c>
      <c r="P13" s="155" t="s">
        <v>113</v>
      </c>
      <c r="Q13" s="154">
        <f>$Q$8</f>
        <v>0</v>
      </c>
      <c r="R13" s="154" t="str">
        <f>$R$8</f>
        <v>&gt;</v>
      </c>
      <c r="S13" s="154">
        <f>$S$8</f>
        <v>100</v>
      </c>
      <c r="T13" s="185">
        <f>'[2]4C.)HY_DemandRatePxOut(Rate I)'!$L$123</f>
        <v>46224.694251792644</v>
      </c>
      <c r="U13" s="185">
        <f>'[2]4C.)HY_DemandRatePxOut(Rate I)'!$N$123</f>
        <v>6426438</v>
      </c>
      <c r="V13" s="184"/>
    </row>
    <row r="14" spans="1:22" ht="15.5" outlineLevel="2" thickTop="1" thickBot="1" x14ac:dyDescent="0.4">
      <c r="A14" s="3" t="s">
        <v>349</v>
      </c>
      <c r="B14" s="3"/>
      <c r="C14" s="3"/>
      <c r="D14" s="3"/>
      <c r="E14" s="3"/>
      <c r="F14" s="3"/>
      <c r="G14" s="310">
        <f>'15A.)MD Shift_RedesignRateSum'!E59</f>
        <v>1.95E-2</v>
      </c>
      <c r="H14" s="294">
        <f>I180</f>
        <v>1.95E-2</v>
      </c>
      <c r="I14" s="365"/>
      <c r="K14" s="367"/>
      <c r="P14" s="2"/>
      <c r="Q14" s="2"/>
      <c r="R14" s="3"/>
      <c r="S14" s="3"/>
      <c r="T14" s="151">
        <f>SUM(T11:T13)</f>
        <v>1029407</v>
      </c>
      <c r="U14" s="151">
        <f>SUM(U11:U13)</f>
        <v>29725071</v>
      </c>
      <c r="V14" s="151">
        <f>SUM(V11:V13)</f>
        <v>10316378373</v>
      </c>
    </row>
    <row r="15" spans="1:22" ht="15" outlineLevel="2" thickTop="1" x14ac:dyDescent="0.35">
      <c r="A15" s="3" t="s">
        <v>350</v>
      </c>
      <c r="B15" s="3"/>
      <c r="C15" s="3"/>
      <c r="D15" s="3"/>
      <c r="E15" s="3"/>
      <c r="F15" s="3"/>
      <c r="G15" s="310">
        <f>'15A.)MD Shift_RedesignRateSum'!E60</f>
        <v>1.95E-2</v>
      </c>
      <c r="H15" s="294">
        <f>K180</f>
        <v>1.95E-2</v>
      </c>
      <c r="I15" s="365"/>
      <c r="K15" s="33" t="s">
        <v>131</v>
      </c>
      <c r="L15" s="166">
        <f>'8A.)HY_ED RevShifting'!$E$27</f>
        <v>1112014517</v>
      </c>
      <c r="M15" s="166">
        <f>'8A.)HY_ED RevShifting'!$D$27</f>
        <v>1099703098</v>
      </c>
    </row>
    <row r="16" spans="1:22" outlineLevel="2" x14ac:dyDescent="0.35">
      <c r="A16" s="3" t="s">
        <v>351</v>
      </c>
      <c r="B16" s="3"/>
      <c r="C16" s="3"/>
      <c r="D16" s="3"/>
      <c r="E16" s="3"/>
      <c r="F16" s="3"/>
      <c r="G16" s="310">
        <f>'15A.)MD Shift_RedesignRateSum'!E61</f>
        <v>122.81</v>
      </c>
      <c r="H16" s="294">
        <f>H124</f>
        <v>122.81</v>
      </c>
      <c r="I16" s="365"/>
      <c r="K16" s="33" t="s">
        <v>129</v>
      </c>
      <c r="L16" s="166">
        <f>'8A.)HY_ED RevShifting'!$E$31</f>
        <v>361013380</v>
      </c>
      <c r="M16" s="166">
        <f>'8A.)HY_ED RevShifting'!$D$31</f>
        <v>361013380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75">
        <f>'[2]4C.)HY_DemandRatePxOut(Rate I)'!$L$146</f>
        <v>0</v>
      </c>
      <c r="U16" s="175">
        <f>'[2]4C.)HY_DemandRatePxOut(Rate I)'!$N$146</f>
        <v>900</v>
      </c>
      <c r="V16" s="175">
        <f>'[2]4B.)HY_EnergyRatePxOut(Rate I)'!$M$252</f>
        <v>18575845</v>
      </c>
    </row>
    <row r="17" spans="1:22" outlineLevel="2" x14ac:dyDescent="0.35">
      <c r="A17" s="3" t="s">
        <v>352</v>
      </c>
      <c r="B17" s="3"/>
      <c r="C17" s="3"/>
      <c r="D17" s="3"/>
      <c r="E17" s="3"/>
      <c r="F17" s="3"/>
      <c r="G17" s="310">
        <f>'15A.)MD Shift_RedesignRateSum'!E62</f>
        <v>18.03</v>
      </c>
      <c r="H17" s="294">
        <f>H126</f>
        <v>18.029999999999998</v>
      </c>
      <c r="I17" s="365"/>
      <c r="K17" s="33" t="s">
        <v>130</v>
      </c>
      <c r="L17" s="1078">
        <f>HLOOKUP($L$12,'8A.)HY_ED RevShifting'!$B$6:$M$43,'8A.)HY_ED RevShifting'!$B$28,0)</f>
        <v>18050669</v>
      </c>
      <c r="M17" s="134">
        <f>ROUND(L17/$L$9,0)</f>
        <v>17852859</v>
      </c>
      <c r="P17" s="170" t="s">
        <v>112</v>
      </c>
      <c r="Q17" s="159">
        <f>$Q$7</f>
        <v>5</v>
      </c>
      <c r="R17" s="158" t="str">
        <f>$R$7</f>
        <v>-</v>
      </c>
      <c r="S17" s="157">
        <f>$S$7</f>
        <v>100</v>
      </c>
      <c r="T17" s="174">
        <f>'[2]4C.)HY_DemandRatePxOut(Rate I)'!$L$147</f>
        <v>60.319148936170215</v>
      </c>
      <c r="U17" s="174">
        <f>'[2]4C.)HY_DemandRatePxOut(Rate I)'!$N$147</f>
        <v>12963</v>
      </c>
      <c r="V17" s="186"/>
    </row>
    <row r="18" spans="1:22" ht="15" outlineLevel="2" thickBot="1" x14ac:dyDescent="0.4">
      <c r="A18" s="3" t="s">
        <v>353</v>
      </c>
      <c r="B18" s="3"/>
      <c r="C18" s="3"/>
      <c r="D18" s="3"/>
      <c r="E18" s="3"/>
      <c r="F18" s="3"/>
      <c r="G18" s="310">
        <f>'15A.)MD Shift_RedesignRateSum'!E63</f>
        <v>87.300000000000011</v>
      </c>
      <c r="H18" s="294">
        <f>J124</f>
        <v>87.3</v>
      </c>
      <c r="I18" s="365"/>
      <c r="K18" s="367"/>
      <c r="P18" s="168" t="s">
        <v>112</v>
      </c>
      <c r="Q18" s="154">
        <f>$Q$8</f>
        <v>0</v>
      </c>
      <c r="R18" s="154" t="str">
        <f>$R$8</f>
        <v>&gt;</v>
      </c>
      <c r="S18" s="154">
        <f>$S$8</f>
        <v>100</v>
      </c>
      <c r="T18" s="185">
        <f>'[2]4C.)HY_DemandRatePxOut(Rate I)'!$L$148</f>
        <v>119.68085106382979</v>
      </c>
      <c r="U18" s="185">
        <f>'[2]4C.)HY_DemandRatePxOut(Rate I)'!$N$148</f>
        <v>36476</v>
      </c>
      <c r="V18" s="187"/>
    </row>
    <row r="19" spans="1:22" ht="15.5" outlineLevel="2" thickTop="1" thickBot="1" x14ac:dyDescent="0.4">
      <c r="A19" s="3" t="s">
        <v>354</v>
      </c>
      <c r="B19" s="3"/>
      <c r="C19" s="3"/>
      <c r="D19" s="3"/>
      <c r="E19" s="3"/>
      <c r="F19" s="3"/>
      <c r="G19" s="311">
        <f>'15A.)MD Shift_RedesignRateSum'!E64</f>
        <v>12.579999999999998</v>
      </c>
      <c r="H19" s="295">
        <f>J126</f>
        <v>12.579999999999998</v>
      </c>
      <c r="I19" s="365"/>
      <c r="K19" s="33" t="str">
        <f>CONCATENATE(A4," - T&amp;D Target:")</f>
        <v>SC9 Rate I - T&amp;D Target:</v>
      </c>
      <c r="L19" s="308">
        <f>L15+L16</f>
        <v>1473027897</v>
      </c>
      <c r="M19" s="143" t="s">
        <v>316</v>
      </c>
      <c r="T19" s="151">
        <f>SUM(T16:T18)</f>
        <v>180</v>
      </c>
      <c r="U19" s="151">
        <f>SUM(U16:U18)</f>
        <v>50339</v>
      </c>
      <c r="V19" s="151">
        <f>SUM(V16:V18)</f>
        <v>18575845</v>
      </c>
    </row>
    <row r="20" spans="1:22" ht="15" outlineLevel="2" thickTop="1" x14ac:dyDescent="0.35"/>
    <row r="21" spans="1:22" outlineLevel="2" x14ac:dyDescent="0.35"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75">
        <f>'[2]4C.)HY_DemandRatePxOut(Rate I)'!$L$141</f>
        <v>1.9111111111111112</v>
      </c>
      <c r="U21" s="175">
        <f>'[2]4C.)HY_DemandRatePxOut(Rate I)'!$N$141</f>
        <v>1720</v>
      </c>
      <c r="V21" s="175">
        <f>'[2]4B.)HY_EnergyRatePxOut(Rate I)'!$M$247</f>
        <v>36684491</v>
      </c>
    </row>
    <row r="22" spans="1:22" outlineLevel="2" x14ac:dyDescent="0.35">
      <c r="P22" s="160" t="s">
        <v>111</v>
      </c>
      <c r="Q22" s="159">
        <f>$Q$7</f>
        <v>5</v>
      </c>
      <c r="R22" s="158" t="str">
        <f>$R$7</f>
        <v>-</v>
      </c>
      <c r="S22" s="157">
        <f>$S$7</f>
        <v>100</v>
      </c>
      <c r="T22" s="174">
        <f>'[2]4C.)HY_DemandRatePxOut(Rate I)'!$L$142</f>
        <v>114.66666666666666</v>
      </c>
      <c r="U22" s="174">
        <f>'[2]4C.)HY_DemandRatePxOut(Rate I)'!$N$142</f>
        <v>24758</v>
      </c>
      <c r="V22" s="186"/>
    </row>
    <row r="23" spans="1:22" ht="15" outlineLevel="2" thickBot="1" x14ac:dyDescent="0.4">
      <c r="P23" s="155" t="s">
        <v>111</v>
      </c>
      <c r="Q23" s="154">
        <f>$Q$8</f>
        <v>0</v>
      </c>
      <c r="R23" s="154" t="str">
        <f>$R$8</f>
        <v>&gt;</v>
      </c>
      <c r="S23" s="154">
        <f>$S$8</f>
        <v>100</v>
      </c>
      <c r="T23" s="185">
        <f>'[2]4C.)HY_DemandRatePxOut(Rate I)'!$L$143</f>
        <v>227.42222222222222</v>
      </c>
      <c r="U23" s="185">
        <f>'[2]4C.)HY_DemandRatePxOut(Rate I)'!$N$143</f>
        <v>67386</v>
      </c>
      <c r="V23" s="184"/>
    </row>
    <row r="24" spans="1:22" ht="15.5" outlineLevel="2" thickTop="1" thickBot="1" x14ac:dyDescent="0.4">
      <c r="T24" s="151">
        <f>SUM(T21:T23)</f>
        <v>344</v>
      </c>
      <c r="U24" s="151">
        <f>SUM(U21:U23)</f>
        <v>93864</v>
      </c>
      <c r="V24" s="151">
        <f>SUM(V21:V23)</f>
        <v>36684491</v>
      </c>
    </row>
    <row r="25" spans="1:22" ht="15" outlineLevel="2" thickTop="1" x14ac:dyDescent="0.35">
      <c r="T25" s="150"/>
      <c r="U25" s="150"/>
      <c r="V25" s="150"/>
    </row>
    <row r="26" spans="1:22" outlineLevel="2" x14ac:dyDescent="0.35"/>
    <row r="27" spans="1:22" s="148" customFormat="1" outlineLevel="2" x14ac:dyDescent="0.35"/>
    <row r="28" spans="1:22" x14ac:dyDescent="0.35">
      <c r="A28" s="126" t="s">
        <v>122</v>
      </c>
      <c r="B28" s="147"/>
      <c r="C28" s="131"/>
      <c r="D28" s="131"/>
      <c r="E28" s="131"/>
      <c r="F28" s="131"/>
      <c r="H28" s="33" t="s">
        <v>150</v>
      </c>
      <c r="I28" s="1074">
        <f>$L$3</f>
        <v>2019</v>
      </c>
    </row>
    <row r="29" spans="1:22" x14ac:dyDescent="0.35">
      <c r="A29" s="131"/>
      <c r="B29" s="131"/>
      <c r="C29" s="131"/>
      <c r="D29" s="131"/>
      <c r="E29" s="131"/>
      <c r="F29" s="131"/>
      <c r="H29" s="33" t="s">
        <v>5</v>
      </c>
      <c r="I29" s="1074">
        <f>$L$4</f>
        <v>2020</v>
      </c>
      <c r="P29"/>
    </row>
    <row r="30" spans="1:22" x14ac:dyDescent="0.35">
      <c r="B30" s="41" t="str">
        <f>$A$4</f>
        <v>SC9 Rate I</v>
      </c>
      <c r="C30" s="133" t="s">
        <v>121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130">
        <f>M15</f>
        <v>1099703098</v>
      </c>
      <c r="J32" s="136" t="s">
        <v>79</v>
      </c>
      <c r="P32"/>
      <c r="Q32" s="142"/>
    </row>
    <row r="33" spans="1:17" x14ac:dyDescent="0.35">
      <c r="C33" t="s">
        <v>88</v>
      </c>
      <c r="I33" s="130">
        <f>M17</f>
        <v>17852859</v>
      </c>
      <c r="J33" s="136" t="s">
        <v>78</v>
      </c>
      <c r="P33"/>
      <c r="Q33" s="142"/>
    </row>
    <row r="34" spans="1:17" x14ac:dyDescent="0.35">
      <c r="C34" s="75" t="s">
        <v>117</v>
      </c>
      <c r="D34" s="75"/>
      <c r="E34" s="75"/>
      <c r="F34" s="75"/>
      <c r="I34" s="638">
        <f>$L$8</f>
        <v>0</v>
      </c>
      <c r="J34" s="136" t="s">
        <v>1089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SC9 Rate I</v>
      </c>
      <c r="C37" t="s">
        <v>114</v>
      </c>
      <c r="G37" s="515">
        <f>$T$9</f>
        <v>515026.99999999994</v>
      </c>
      <c r="H37" s="516">
        <f>G10</f>
        <v>176.77</v>
      </c>
      <c r="I37" s="134">
        <f>ROUND(G37*H37,0)</f>
        <v>91041323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1029407</v>
      </c>
      <c r="H38" s="516">
        <f>G12</f>
        <v>141.21</v>
      </c>
      <c r="I38" s="134">
        <f>ROUND(G38*H38,0)</f>
        <v>145362562</v>
      </c>
      <c r="J38" s="136" t="s">
        <v>1086</v>
      </c>
      <c r="L38" s="381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180</v>
      </c>
      <c r="H39" s="516">
        <f>G16</f>
        <v>122.81</v>
      </c>
      <c r="I39" s="134">
        <f>ROUND(G39*H39,0)</f>
        <v>22106</v>
      </c>
      <c r="J39" s="136" t="s">
        <v>1087</v>
      </c>
    </row>
    <row r="40" spans="1:17" x14ac:dyDescent="0.35">
      <c r="C40" t="s">
        <v>111</v>
      </c>
      <c r="G40" s="515">
        <f>$T$24</f>
        <v>344</v>
      </c>
      <c r="H40" s="516">
        <f>G18</f>
        <v>87.300000000000011</v>
      </c>
      <c r="I40" s="134">
        <f>ROUND(G40*H40,0)</f>
        <v>30031</v>
      </c>
      <c r="J40" s="136" t="s">
        <v>1088</v>
      </c>
      <c r="L40" s="633" t="s">
        <v>135</v>
      </c>
    </row>
    <row r="41" spans="1:17" x14ac:dyDescent="0.35">
      <c r="C41" t="s">
        <v>110</v>
      </c>
      <c r="I41" s="140">
        <f>SUM(I37:I40)</f>
        <v>236456022</v>
      </c>
      <c r="J41" s="136" t="s">
        <v>1084</v>
      </c>
      <c r="L41" s="541">
        <f>ROUND(I41*$L$38,0)</f>
        <v>239075955</v>
      </c>
      <c r="M41" s="136" t="s">
        <v>1265</v>
      </c>
    </row>
    <row r="42" spans="1:17" ht="15" thickBot="1" x14ac:dyDescent="0.4">
      <c r="I42" s="517"/>
      <c r="J42" s="136"/>
      <c r="L42" s="1"/>
    </row>
    <row r="43" spans="1:17" ht="15.5" thickTop="1" thickBot="1" x14ac:dyDescent="0.4">
      <c r="C43" t="s">
        <v>304</v>
      </c>
      <c r="I43" s="518">
        <f>ROUND(I41*(1+I42),0)</f>
        <v>236456022</v>
      </c>
      <c r="J43" s="136" t="s">
        <v>1110</v>
      </c>
      <c r="L43" s="541">
        <f>ROUND(I43*$L$38,0)</f>
        <v>239075955</v>
      </c>
      <c r="M43" s="136" t="s">
        <v>1266</v>
      </c>
    </row>
    <row r="44" spans="1:17" ht="15.5" thickTop="1" thickBot="1" x14ac:dyDescent="0.4">
      <c r="C44" t="s">
        <v>1301</v>
      </c>
      <c r="I44" s="640">
        <f>ROUND(I43*I34,0)</f>
        <v>0</v>
      </c>
      <c r="J44" s="596" t="s">
        <v>1299</v>
      </c>
      <c r="L44" s="1"/>
    </row>
    <row r="45" spans="1:17" ht="15.5" thickTop="1" thickBot="1" x14ac:dyDescent="0.4">
      <c r="C45" t="s">
        <v>305</v>
      </c>
      <c r="I45" s="519">
        <f>I43+I44</f>
        <v>236456022</v>
      </c>
      <c r="J45" s="136" t="s">
        <v>1300</v>
      </c>
      <c r="L45" s="634">
        <f>ROUND(I45*$L$38,0)</f>
        <v>239075955</v>
      </c>
      <c r="M45" s="136" t="s">
        <v>1267</v>
      </c>
    </row>
    <row r="46" spans="1:17" ht="15" thickTop="1" x14ac:dyDescent="0.35"/>
    <row r="48" spans="1:17" x14ac:dyDescent="0.35">
      <c r="A48" s="126" t="s">
        <v>104</v>
      </c>
    </row>
    <row r="50" spans="1:17" x14ac:dyDescent="0.35">
      <c r="B50" s="41" t="str">
        <f>$A$4</f>
        <v>SC9 Rate I</v>
      </c>
      <c r="C50" s="133" t="s">
        <v>1278</v>
      </c>
      <c r="D50" s="133"/>
      <c r="E50" s="133"/>
      <c r="F50" s="133"/>
      <c r="L50" s="135" t="s">
        <v>1277</v>
      </c>
      <c r="N50" s="135" t="s">
        <v>1276</v>
      </c>
      <c r="P50"/>
      <c r="Q50"/>
    </row>
    <row r="51" spans="1:17" x14ac:dyDescent="0.35">
      <c r="C51" t="s">
        <v>1275</v>
      </c>
      <c r="D51" s="1"/>
      <c r="E51" s="1"/>
      <c r="F51" s="1"/>
      <c r="G51" s="1"/>
      <c r="H51" s="1"/>
      <c r="I51" s="1"/>
      <c r="J51" s="1"/>
      <c r="K51" s="1"/>
      <c r="L51" s="541">
        <f>I32</f>
        <v>1099703098</v>
      </c>
      <c r="M51" s="61" t="s">
        <v>79</v>
      </c>
      <c r="N51" s="370">
        <f>L51</f>
        <v>1099703098</v>
      </c>
      <c r="O51" s="61" t="s">
        <v>79</v>
      </c>
      <c r="P51"/>
      <c r="Q51"/>
    </row>
    <row r="52" spans="1:17" x14ac:dyDescent="0.35">
      <c r="C52" t="s">
        <v>88</v>
      </c>
      <c r="D52" s="1"/>
      <c r="E52" s="1"/>
      <c r="F52" s="1"/>
      <c r="G52" s="1"/>
      <c r="H52" s="1"/>
      <c r="I52" s="1"/>
      <c r="J52" s="1"/>
      <c r="K52" s="1"/>
      <c r="L52" s="370">
        <f>I33</f>
        <v>17852859</v>
      </c>
      <c r="M52" s="61" t="s">
        <v>78</v>
      </c>
      <c r="N52" s="370">
        <f>L52</f>
        <v>17852859</v>
      </c>
      <c r="O52" s="61" t="s">
        <v>78</v>
      </c>
      <c r="P52"/>
      <c r="Q52"/>
    </row>
    <row r="53" spans="1:17" ht="15" thickBot="1" x14ac:dyDescent="0.4">
      <c r="C53" t="s">
        <v>1274</v>
      </c>
      <c r="D53" s="1"/>
      <c r="E53" s="1"/>
      <c r="F53" s="1"/>
      <c r="G53" s="1"/>
      <c r="H53" s="1"/>
      <c r="I53" s="1"/>
      <c r="J53" s="1"/>
      <c r="K53" s="1"/>
      <c r="L53" s="370">
        <f>I45</f>
        <v>236456022</v>
      </c>
      <c r="M53" s="61" t="s">
        <v>1302</v>
      </c>
      <c r="N53" s="370">
        <f>I43</f>
        <v>236456022</v>
      </c>
      <c r="O53" s="61" t="s">
        <v>1304</v>
      </c>
      <c r="P53"/>
      <c r="Q53"/>
    </row>
    <row r="54" spans="1:17" ht="15.5" thickTop="1" thickBot="1" x14ac:dyDescent="0.4">
      <c r="C54" s="181" t="s">
        <v>1273</v>
      </c>
      <c r="D54" s="181"/>
      <c r="E54" s="181"/>
      <c r="F54" s="181"/>
      <c r="G54" s="1"/>
      <c r="H54" s="1"/>
      <c r="I54" s="1"/>
      <c r="J54" s="1"/>
      <c r="K54" s="1"/>
      <c r="L54" s="635">
        <f>L51+L52-L53</f>
        <v>881099935</v>
      </c>
      <c r="M54" s="61" t="s">
        <v>1303</v>
      </c>
      <c r="N54" s="635">
        <f>N51+N52-N53</f>
        <v>881099935</v>
      </c>
      <c r="O54" s="61" t="s">
        <v>1305</v>
      </c>
      <c r="P54"/>
      <c r="Q54"/>
    </row>
    <row r="55" spans="1:17" ht="15" thickTop="1" x14ac:dyDescent="0.35">
      <c r="L55" s="286"/>
      <c r="P55"/>
      <c r="Q55"/>
    </row>
    <row r="56" spans="1:17" x14ac:dyDescent="0.35">
      <c r="C56" s="75" t="s">
        <v>84</v>
      </c>
      <c r="D56" s="75"/>
      <c r="E56" s="75"/>
      <c r="F56" s="75"/>
      <c r="L56" s="637">
        <f>ROUND(L54/N54-1,8)</f>
        <v>0</v>
      </c>
      <c r="M56" s="594" t="s">
        <v>1306</v>
      </c>
      <c r="O56" s="594"/>
      <c r="P56"/>
      <c r="Q56"/>
    </row>
    <row r="59" spans="1:17" x14ac:dyDescent="0.35">
      <c r="A59" s="126" t="s">
        <v>83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SC9 Rate I</v>
      </c>
      <c r="C61" s="3"/>
      <c r="D61" s="3"/>
      <c r="E61" s="3"/>
      <c r="F61" s="3"/>
      <c r="G61" s="3"/>
      <c r="H61" s="1316" t="s">
        <v>169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125">
        <f t="shared" ref="D63:F64" si="0">Q6</f>
        <v>0</v>
      </c>
      <c r="E63" s="123" t="str">
        <f t="shared" si="0"/>
        <v>-</v>
      </c>
      <c r="F63" s="125">
        <f t="shared" si="0"/>
        <v>5</v>
      </c>
      <c r="G63" s="123"/>
      <c r="H63" s="35">
        <f>G10</f>
        <v>176.77</v>
      </c>
      <c r="I63" s="136" t="s">
        <v>165</v>
      </c>
      <c r="J63" s="35">
        <f>G12</f>
        <v>141.21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D64" s="125">
        <f t="shared" si="0"/>
        <v>5</v>
      </c>
      <c r="E64" s="123" t="str">
        <f t="shared" si="0"/>
        <v>-</v>
      </c>
      <c r="F64" s="125">
        <f t="shared" si="0"/>
        <v>100</v>
      </c>
      <c r="G64" s="36"/>
      <c r="H64" s="120">
        <f>G$11</f>
        <v>25.83</v>
      </c>
      <c r="I64" s="136" t="s">
        <v>166</v>
      </c>
      <c r="J64" s="120">
        <f>G$13</f>
        <v>20.399999999999999</v>
      </c>
      <c r="K64" s="136" t="s">
        <v>229</v>
      </c>
      <c r="L64" s="27">
        <f>H64-J$65</f>
        <v>5.43</v>
      </c>
      <c r="M64" s="61"/>
      <c r="N64" s="27">
        <f>J64-J$65</f>
        <v>0</v>
      </c>
      <c r="P64"/>
      <c r="Q64"/>
    </row>
    <row r="65" spans="2:15" customFormat="1" x14ac:dyDescent="0.35">
      <c r="B65" s="3"/>
      <c r="C65" s="3"/>
      <c r="D65" s="3"/>
      <c r="E65" s="123" t="str">
        <f>R8</f>
        <v>&gt;</v>
      </c>
      <c r="F65" s="125">
        <f>S8</f>
        <v>100</v>
      </c>
      <c r="G65" s="36"/>
      <c r="H65" s="120">
        <f>G$11</f>
        <v>25.83</v>
      </c>
      <c r="I65" s="136" t="s">
        <v>166</v>
      </c>
      <c r="J65" s="124">
        <f>G$13</f>
        <v>20.399999999999999</v>
      </c>
      <c r="K65" s="136" t="s">
        <v>229</v>
      </c>
      <c r="L65" s="27">
        <f>H65-J$65</f>
        <v>5.43</v>
      </c>
      <c r="M65" s="61" t="s">
        <v>1092</v>
      </c>
      <c r="N65" s="112"/>
    </row>
    <row r="66" spans="2:15" customFormat="1" x14ac:dyDescent="0.35">
      <c r="B66" s="3"/>
      <c r="C66" s="3"/>
      <c r="D66" s="3"/>
      <c r="E66" s="123"/>
      <c r="F66" s="123"/>
      <c r="G66" s="36"/>
      <c r="H66" s="120"/>
      <c r="I66" s="120"/>
      <c r="J66" s="120"/>
      <c r="K66" s="3"/>
      <c r="L66" s="27"/>
      <c r="M66" s="61"/>
      <c r="N66" s="61"/>
    </row>
    <row r="67" spans="2:15" customFormat="1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122.81</v>
      </c>
      <c r="I67" s="136" t="s">
        <v>138</v>
      </c>
      <c r="J67" s="35">
        <f>G18</f>
        <v>87.300000000000011</v>
      </c>
      <c r="K67" s="136" t="s">
        <v>1090</v>
      </c>
      <c r="L67" s="3"/>
      <c r="M67" s="109"/>
      <c r="N67" s="3"/>
    </row>
    <row r="68" spans="2:15" customFormat="1" x14ac:dyDescent="0.35">
      <c r="B68" s="3"/>
      <c r="C68" s="3"/>
      <c r="D68" s="121"/>
      <c r="E68" s="122" t="str">
        <f>E64</f>
        <v>-</v>
      </c>
      <c r="F68" s="121">
        <f>F64</f>
        <v>100</v>
      </c>
      <c r="G68" s="36"/>
      <c r="H68" s="120">
        <f>G$17</f>
        <v>18.03</v>
      </c>
      <c r="I68" s="136" t="s">
        <v>101</v>
      </c>
      <c r="J68" s="120">
        <f>G$19</f>
        <v>12.579999999999998</v>
      </c>
      <c r="K68" s="136" t="s">
        <v>1091</v>
      </c>
      <c r="L68" s="27">
        <f>H68-J$65</f>
        <v>-2.3699999999999974</v>
      </c>
      <c r="M68" s="61"/>
      <c r="N68" s="27">
        <f>J68-J$65</f>
        <v>-7.82</v>
      </c>
      <c r="O68" s="61"/>
    </row>
    <row r="69" spans="2:15" customFormat="1" x14ac:dyDescent="0.35">
      <c r="B69" s="3"/>
      <c r="C69" s="3"/>
      <c r="D69" s="2"/>
      <c r="E69" s="122" t="str">
        <f>E65</f>
        <v>&gt;</v>
      </c>
      <c r="F69" s="121">
        <f>F65</f>
        <v>100</v>
      </c>
      <c r="G69" s="36"/>
      <c r="H69" s="120">
        <f>G$17</f>
        <v>18.03</v>
      </c>
      <c r="I69" s="136" t="s">
        <v>101</v>
      </c>
      <c r="J69" s="120">
        <f>G$19</f>
        <v>12.579999999999998</v>
      </c>
      <c r="K69" s="136" t="s">
        <v>1091</v>
      </c>
      <c r="L69" s="27">
        <f>H69-J$65</f>
        <v>-2.3699999999999974</v>
      </c>
      <c r="M69" s="61" t="s">
        <v>1093</v>
      </c>
      <c r="N69" s="27">
        <f>J69-J$65</f>
        <v>-7.82</v>
      </c>
      <c r="O69" s="61" t="s">
        <v>1094</v>
      </c>
    </row>
    <row r="71" spans="2:15" customFormat="1" ht="15" thickBot="1" x14ac:dyDescent="0.4"/>
    <row r="72" spans="2:15" customFormat="1" ht="15.5" thickTop="1" thickBot="1" x14ac:dyDescent="0.4">
      <c r="B72" s="119" t="s">
        <v>77</v>
      </c>
      <c r="L72" s="1307" t="s">
        <v>76</v>
      </c>
      <c r="M72" s="1308"/>
      <c r="N72" s="1309"/>
    </row>
    <row r="73" spans="2:15" customFormat="1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</row>
    <row r="74" spans="2:15" customFormat="1" x14ac:dyDescent="0.35">
      <c r="B74" s="3" t="s">
        <v>75</v>
      </c>
      <c r="G74" s="117" t="str">
        <f>CONCATENATE("X + ",L75)</f>
        <v>X + 5.43</v>
      </c>
      <c r="H74" s="116" t="str">
        <f>CONCATENATE("X + ",N75)</f>
        <v>X + 0</v>
      </c>
      <c r="K74" t="str">
        <f>B63</f>
        <v>Low Tension (LT)</v>
      </c>
      <c r="L74" s="3"/>
      <c r="M74" s="17"/>
      <c r="N74" s="3"/>
    </row>
    <row r="75" spans="2:15" customFormat="1" x14ac:dyDescent="0.35">
      <c r="B75" s="3" t="s">
        <v>156</v>
      </c>
      <c r="G75" s="114" t="str">
        <f>CONCATENATE("X + ",L76)</f>
        <v>X + 5.43</v>
      </c>
      <c r="H75" s="115" t="s">
        <v>32</v>
      </c>
      <c r="L75" s="27">
        <f>ROUND(L64*(1+$L$56),2)</f>
        <v>5.43</v>
      </c>
      <c r="M75" s="17"/>
      <c r="N75" s="27">
        <f>ROUND(N64*(1+$L$56),2)</f>
        <v>0</v>
      </c>
    </row>
    <row r="76" spans="2:15" customFormat="1" x14ac:dyDescent="0.35">
      <c r="B76" s="3" t="s">
        <v>73</v>
      </c>
      <c r="G76" s="114" t="str">
        <f>CONCATENATE("X + ",L79)</f>
        <v>X + -2.37</v>
      </c>
      <c r="H76" s="113" t="str">
        <f>CONCATENATE("X + ",N79)</f>
        <v>X + -7.82</v>
      </c>
      <c r="L76" s="27">
        <f>ROUND(L65*(1+$L$56),2)</f>
        <v>5.43</v>
      </c>
      <c r="M76" s="61" t="s">
        <v>1096</v>
      </c>
      <c r="N76" s="112"/>
      <c r="O76" s="61" t="s">
        <v>1095</v>
      </c>
    </row>
    <row r="77" spans="2:15" customFormat="1" ht="15" thickBot="1" x14ac:dyDescent="0.4">
      <c r="B77" s="3" t="s">
        <v>155</v>
      </c>
      <c r="G77" s="111" t="str">
        <f>CONCATENATE("X + ",L80)</f>
        <v>X + -2.37</v>
      </c>
      <c r="H77" s="110" t="str">
        <f>CONCATENATE("X + ",N80)</f>
        <v>X + -7.82</v>
      </c>
      <c r="L77" s="27"/>
      <c r="M77" s="109"/>
      <c r="N77" s="109"/>
    </row>
    <row r="78" spans="2:15" customFormat="1" x14ac:dyDescent="0.35">
      <c r="K78" t="str">
        <f>B67</f>
        <v>High Tension (HT)</v>
      </c>
      <c r="L78" s="3"/>
      <c r="M78" s="109"/>
      <c r="N78" s="3"/>
    </row>
    <row r="79" spans="2:15" customFormat="1" x14ac:dyDescent="0.35">
      <c r="L79" s="27">
        <f>ROUND(L68*(1+$L$56),2)</f>
        <v>-2.37</v>
      </c>
      <c r="N79" s="27">
        <f>ROUND(N68*(1+$L$56),2)</f>
        <v>-7.82</v>
      </c>
    </row>
    <row r="80" spans="2:15" customFormat="1" x14ac:dyDescent="0.35">
      <c r="L80" s="27">
        <f>ROUND(L69*(1+$L$56),2)</f>
        <v>-2.37</v>
      </c>
      <c r="M80" s="61" t="s">
        <v>1097</v>
      </c>
      <c r="N80" s="27">
        <f>ROUND(N69*(1+$L$56),2)</f>
        <v>-7.82</v>
      </c>
      <c r="O80" s="61" t="s">
        <v>1099</v>
      </c>
    </row>
    <row r="81" spans="2:15" customFormat="1" x14ac:dyDescent="0.35">
      <c r="L81" s="27"/>
      <c r="M81" s="61"/>
      <c r="N81" s="27"/>
      <c r="O81" s="61"/>
    </row>
    <row r="82" spans="2:15" customFormat="1" x14ac:dyDescent="0.35">
      <c r="B82" s="42" t="s">
        <v>70</v>
      </c>
    </row>
    <row r="83" spans="2:15" customFormat="1" x14ac:dyDescent="0.35">
      <c r="B83" s="41" t="str">
        <f>$A$4</f>
        <v>SC9 Rate I</v>
      </c>
    </row>
    <row r="84" spans="2:15" customFormat="1" ht="15" thickBot="1" x14ac:dyDescent="0.4">
      <c r="B84" s="70" t="s">
        <v>1142</v>
      </c>
      <c r="C84" s="70"/>
      <c r="D84" s="70"/>
      <c r="E84" s="3"/>
      <c r="F84" s="3"/>
      <c r="G84" s="3"/>
      <c r="I84" s="69" t="s">
        <v>25</v>
      </c>
      <c r="J84" s="3"/>
      <c r="K84" s="3"/>
    </row>
    <row r="85" spans="2:15" customFormat="1" x14ac:dyDescent="0.35">
      <c r="B85" s="3" t="s">
        <v>43</v>
      </c>
      <c r="C85" s="70"/>
      <c r="D85" s="70"/>
      <c r="E85" s="3" t="s">
        <v>42</v>
      </c>
      <c r="F85" s="3"/>
      <c r="G85" s="108" t="str">
        <f>CONCATENATE(D64,E64,F64," kW")</f>
        <v>5-100 kW</v>
      </c>
      <c r="I85" s="72">
        <f>U7</f>
        <v>10355085</v>
      </c>
      <c r="J85" s="36" t="s">
        <v>39</v>
      </c>
      <c r="K85" s="74" t="str">
        <f>CONCATENATE("[",G74,"]")</f>
        <v>[X + 5.43]</v>
      </c>
    </row>
    <row r="86" spans="2:15" customFormat="1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&gt;100 kW</v>
      </c>
      <c r="I86" s="72">
        <f>U8</f>
        <v>4265301</v>
      </c>
      <c r="J86" s="36" t="s">
        <v>39</v>
      </c>
      <c r="K86" s="107" t="str">
        <f>CONCATENATE("[",G75,"]")</f>
        <v>[X + 5.43]</v>
      </c>
      <c r="L86" s="61" t="s">
        <v>1114</v>
      </c>
    </row>
    <row r="87" spans="2:15" customFormat="1" x14ac:dyDescent="0.35">
      <c r="B87" s="3" t="s">
        <v>43</v>
      </c>
      <c r="C87" s="3"/>
      <c r="D87" s="3"/>
      <c r="E87" s="3" t="s">
        <v>40</v>
      </c>
      <c r="F87" s="3"/>
      <c r="G87" s="3" t="str">
        <f>G85</f>
        <v>5-100 kW</v>
      </c>
      <c r="I87" s="72">
        <f>U12</f>
        <v>18151598</v>
      </c>
      <c r="J87" s="36" t="s">
        <v>39</v>
      </c>
      <c r="K87" s="73" t="str">
        <f>CONCATENATE("[",H74,"]")</f>
        <v>[X + 0]</v>
      </c>
    </row>
    <row r="88" spans="2:15" customFormat="1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&gt;100 kW</v>
      </c>
      <c r="I88" s="72">
        <f>U13</f>
        <v>6426438</v>
      </c>
      <c r="J88" s="36" t="s">
        <v>39</v>
      </c>
      <c r="K88" s="73" t="str">
        <f>CONCATENATE("[",H75,"]")</f>
        <v>[X]</v>
      </c>
      <c r="L88" s="61" t="s">
        <v>1117</v>
      </c>
    </row>
    <row r="89" spans="2:15" customFormat="1" x14ac:dyDescent="0.35">
      <c r="B89" s="3" t="s">
        <v>41</v>
      </c>
      <c r="C89" s="3"/>
      <c r="D89" s="3"/>
      <c r="E89" s="3" t="s">
        <v>42</v>
      </c>
      <c r="F89" s="3"/>
      <c r="G89" s="3" t="str">
        <f>G85</f>
        <v>5-100 kW</v>
      </c>
      <c r="I89" s="72">
        <f>U17</f>
        <v>12963</v>
      </c>
      <c r="J89" s="36" t="s">
        <v>39</v>
      </c>
      <c r="K89" s="73" t="str">
        <f>CONCATENATE("[",G76,"]")</f>
        <v>[X + -2.37]</v>
      </c>
    </row>
    <row r="90" spans="2:15" customFormat="1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&gt;100 kW</v>
      </c>
      <c r="I90" s="72">
        <f>U18</f>
        <v>36476</v>
      </c>
      <c r="J90" s="36" t="s">
        <v>39</v>
      </c>
      <c r="K90" s="73" t="str">
        <f>CONCATENATE("[",G77,"]")</f>
        <v>[X + -2.37]</v>
      </c>
      <c r="L90" s="61" t="s">
        <v>1115</v>
      </c>
    </row>
    <row r="91" spans="2:15" customFormat="1" x14ac:dyDescent="0.35">
      <c r="B91" s="3" t="s">
        <v>41</v>
      </c>
      <c r="C91" s="3"/>
      <c r="D91" s="3"/>
      <c r="E91" s="3" t="s">
        <v>40</v>
      </c>
      <c r="F91" s="3"/>
      <c r="G91" s="3" t="str">
        <f>G85</f>
        <v>5-100 kW</v>
      </c>
      <c r="I91" s="72">
        <f>U22</f>
        <v>24758</v>
      </c>
      <c r="J91" s="36" t="s">
        <v>39</v>
      </c>
      <c r="K91" s="73" t="str">
        <f>CONCATENATE("[",H76,"]")</f>
        <v>[X + -7.82]</v>
      </c>
    </row>
    <row r="92" spans="2:15" customFormat="1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&gt;100 kW</v>
      </c>
      <c r="I92" s="72">
        <f>U23</f>
        <v>67386</v>
      </c>
      <c r="J92" s="36" t="s">
        <v>39</v>
      </c>
      <c r="K92" s="71" t="str">
        <f>CONCATENATE("[",H77,"]")</f>
        <v>[X + -7.82]</v>
      </c>
      <c r="L92" s="61" t="s">
        <v>1116</v>
      </c>
    </row>
    <row r="95" spans="2:15" customFormat="1" x14ac:dyDescent="0.35">
      <c r="B95" s="70" t="s">
        <v>38</v>
      </c>
    </row>
    <row r="96" spans="2:15" customFormat="1" x14ac:dyDescent="0.35">
      <c r="B96" s="41" t="str">
        <f>$A$4</f>
        <v>SC9 Rate I</v>
      </c>
      <c r="F96" s="3"/>
      <c r="G96" s="3"/>
      <c r="H96" s="3"/>
      <c r="I96" s="69" t="s">
        <v>25</v>
      </c>
      <c r="J96" s="3"/>
      <c r="K96" s="106" t="s">
        <v>68</v>
      </c>
      <c r="L96" s="3"/>
      <c r="M96" s="3"/>
      <c r="N96" s="17"/>
    </row>
    <row r="97" spans="2:14" customFormat="1" x14ac:dyDescent="0.35">
      <c r="B97" s="3" t="s">
        <v>37</v>
      </c>
      <c r="C97" s="3"/>
      <c r="F97" s="3"/>
      <c r="G97" s="3"/>
      <c r="H97" s="3"/>
      <c r="I97" s="105">
        <f t="shared" ref="I97:I104" si="1">I85</f>
        <v>10355085</v>
      </c>
      <c r="J97" s="65" t="s">
        <v>63</v>
      </c>
      <c r="K97" s="34">
        <f>ROUND(I97*L75,0)</f>
        <v>56228112</v>
      </c>
      <c r="L97" s="3" t="s">
        <v>62</v>
      </c>
      <c r="M97" s="61" t="s">
        <v>1100</v>
      </c>
      <c r="N97" s="17"/>
    </row>
    <row r="98" spans="2:14" customFormat="1" x14ac:dyDescent="0.35">
      <c r="B98" s="3" t="s">
        <v>67</v>
      </c>
      <c r="C98" s="3"/>
      <c r="F98" s="3"/>
      <c r="G98" s="3"/>
      <c r="H98" s="3"/>
      <c r="I98" s="105">
        <f t="shared" si="1"/>
        <v>4265301</v>
      </c>
      <c r="J98" s="65" t="s">
        <v>63</v>
      </c>
      <c r="K98" s="34">
        <f>ROUND(I98*L76,0)</f>
        <v>23160584</v>
      </c>
      <c r="L98" s="3" t="s">
        <v>62</v>
      </c>
      <c r="M98" s="61" t="s">
        <v>1100</v>
      </c>
      <c r="N98" s="17"/>
    </row>
    <row r="99" spans="2:14" customFormat="1" x14ac:dyDescent="0.35">
      <c r="B99" s="3" t="s">
        <v>36</v>
      </c>
      <c r="C99" s="3"/>
      <c r="F99" s="3"/>
      <c r="G99" s="3"/>
      <c r="H99" s="3"/>
      <c r="I99" s="105">
        <f t="shared" si="1"/>
        <v>18151598</v>
      </c>
      <c r="J99" s="65" t="s">
        <v>63</v>
      </c>
      <c r="K99" s="34">
        <f>ROUND(I99*N75,0)</f>
        <v>0</v>
      </c>
      <c r="L99" s="3" t="s">
        <v>62</v>
      </c>
      <c r="M99" s="61" t="s">
        <v>1101</v>
      </c>
      <c r="N99" s="17"/>
    </row>
    <row r="100" spans="2:14" customFormat="1" x14ac:dyDescent="0.35">
      <c r="B100" s="3" t="s">
        <v>66</v>
      </c>
      <c r="C100" s="3"/>
      <c r="F100" s="3"/>
      <c r="G100" s="3"/>
      <c r="H100" s="3"/>
      <c r="I100" s="105">
        <f t="shared" si="1"/>
        <v>6426438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</row>
    <row r="101" spans="2:14" customFormat="1" x14ac:dyDescent="0.35">
      <c r="B101" s="3" t="s">
        <v>35</v>
      </c>
      <c r="C101" s="3"/>
      <c r="F101" s="3"/>
      <c r="G101" s="3"/>
      <c r="H101" s="3"/>
      <c r="I101" s="105">
        <f t="shared" si="1"/>
        <v>12963</v>
      </c>
      <c r="J101" s="65" t="s">
        <v>63</v>
      </c>
      <c r="K101" s="34">
        <f>ROUND(I101*L79,0)</f>
        <v>-30722</v>
      </c>
      <c r="L101" s="3" t="s">
        <v>62</v>
      </c>
      <c r="M101" s="61" t="s">
        <v>1102</v>
      </c>
      <c r="N101" s="17"/>
    </row>
    <row r="102" spans="2:14" customFormat="1" x14ac:dyDescent="0.35">
      <c r="B102" s="3" t="s">
        <v>65</v>
      </c>
      <c r="C102" s="3"/>
      <c r="F102" s="3"/>
      <c r="G102" s="3"/>
      <c r="H102" s="3"/>
      <c r="I102" s="105">
        <f t="shared" si="1"/>
        <v>36476</v>
      </c>
      <c r="J102" s="104" t="s">
        <v>63</v>
      </c>
      <c r="K102" s="34">
        <f>ROUND(I102*L80,0)</f>
        <v>-86448</v>
      </c>
      <c r="L102" s="44" t="s">
        <v>62</v>
      </c>
      <c r="M102" s="61" t="s">
        <v>1102</v>
      </c>
      <c r="N102" s="17"/>
    </row>
    <row r="103" spans="2:14" customFormat="1" x14ac:dyDescent="0.35">
      <c r="B103" s="3" t="s">
        <v>34</v>
      </c>
      <c r="C103" s="3"/>
      <c r="F103" s="3"/>
      <c r="G103" s="3"/>
      <c r="H103" s="3"/>
      <c r="I103" s="105">
        <f t="shared" si="1"/>
        <v>24758</v>
      </c>
      <c r="J103" s="104" t="s">
        <v>63</v>
      </c>
      <c r="K103" s="34">
        <f>ROUND(I103*N79,0)</f>
        <v>-193608</v>
      </c>
      <c r="L103" s="44" t="s">
        <v>62</v>
      </c>
      <c r="M103" s="61" t="s">
        <v>1103</v>
      </c>
      <c r="N103" s="17"/>
    </row>
    <row r="104" spans="2:14" customFormat="1" x14ac:dyDescent="0.35">
      <c r="B104" s="3" t="s">
        <v>64</v>
      </c>
      <c r="C104" s="3"/>
      <c r="F104" s="3"/>
      <c r="G104" s="3"/>
      <c r="H104" s="3"/>
      <c r="I104" s="105">
        <f t="shared" si="1"/>
        <v>67386</v>
      </c>
      <c r="J104" s="104" t="s">
        <v>63</v>
      </c>
      <c r="K104" s="37">
        <f>ROUND(I104*N80,0)</f>
        <v>-526959</v>
      </c>
      <c r="L104" s="44" t="s">
        <v>62</v>
      </c>
      <c r="M104" s="61" t="s">
        <v>1103</v>
      </c>
      <c r="N104" s="17"/>
    </row>
    <row r="105" spans="2:14" customFormat="1" x14ac:dyDescent="0.35">
      <c r="B105" s="3" t="s">
        <v>1146</v>
      </c>
      <c r="C105" s="3"/>
      <c r="F105" s="66"/>
      <c r="G105" s="66">
        <f>L54</f>
        <v>881099935</v>
      </c>
      <c r="H105" s="63" t="s">
        <v>31</v>
      </c>
      <c r="I105" s="28">
        <f>SUM(I97:I104)</f>
        <v>39340005</v>
      </c>
      <c r="J105" s="65" t="s">
        <v>63</v>
      </c>
      <c r="K105" s="103">
        <f>SUM(K97:K104)</f>
        <v>78550959</v>
      </c>
      <c r="L105" s="3" t="s">
        <v>62</v>
      </c>
      <c r="M105" s="61" t="s">
        <v>1104</v>
      </c>
      <c r="N105" s="17"/>
    </row>
    <row r="106" spans="2:14" customFormat="1" x14ac:dyDescent="0.35">
      <c r="F106" s="3"/>
      <c r="G106" s="3"/>
      <c r="H106" s="3"/>
      <c r="I106" s="3"/>
      <c r="J106" s="3"/>
      <c r="K106" s="3"/>
      <c r="L106" s="3"/>
      <c r="M106" s="61" t="s">
        <v>1105</v>
      </c>
      <c r="N106" s="17"/>
    </row>
    <row r="107" spans="2:14" customFormat="1" x14ac:dyDescent="0.35">
      <c r="F107" s="34"/>
      <c r="G107" s="34">
        <f>G105-K105</f>
        <v>802548976</v>
      </c>
      <c r="H107" s="63" t="s">
        <v>31</v>
      </c>
      <c r="I107" s="28">
        <f>I105</f>
        <v>39340005</v>
      </c>
      <c r="J107" s="65" t="s">
        <v>32</v>
      </c>
      <c r="K107" s="3"/>
      <c r="L107" s="3"/>
      <c r="M107" s="61" t="s">
        <v>1106</v>
      </c>
      <c r="N107" s="17"/>
    </row>
    <row r="108" spans="2:14" customFormat="1" ht="15" thickBot="1" x14ac:dyDescent="0.4">
      <c r="F108" s="3"/>
      <c r="G108" s="3"/>
      <c r="H108" s="3"/>
      <c r="I108" s="3"/>
      <c r="J108" s="3"/>
      <c r="K108" s="3"/>
      <c r="L108" s="3"/>
      <c r="M108" s="3"/>
      <c r="N108" s="17"/>
    </row>
    <row r="109" spans="2:14" customFormat="1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20.399999999999999</v>
      </c>
      <c r="J109" s="61" t="s">
        <v>1108</v>
      </c>
      <c r="K109" s="3"/>
      <c r="L109" s="3"/>
      <c r="M109" s="61" t="s">
        <v>1107</v>
      </c>
      <c r="N109" s="17"/>
    </row>
    <row r="110" spans="2:14" customFormat="1" ht="15" thickTop="1" x14ac:dyDescent="0.35"/>
    <row r="111" spans="2:14" customFormat="1" ht="15" thickBot="1" x14ac:dyDescent="0.4">
      <c r="B111" s="42" t="str">
        <f>CONCATENATE($A$4," at Proposed Demand Rates")</f>
        <v>SC9 Rate I at Proposed Demand Rates</v>
      </c>
    </row>
    <row r="112" spans="2:14" customFormat="1" ht="15.5" thickTop="1" thickBot="1" x14ac:dyDescent="0.4">
      <c r="C112" s="3" t="s">
        <v>5</v>
      </c>
      <c r="D112" s="1359">
        <f>$L$4</f>
        <v>2020</v>
      </c>
      <c r="E112" s="1359"/>
      <c r="F112" s="1359"/>
      <c r="G112" s="3"/>
      <c r="H112" s="1307" t="s">
        <v>59</v>
      </c>
      <c r="I112" s="1308"/>
      <c r="J112" s="1309"/>
      <c r="K112" s="3"/>
      <c r="L112" s="3"/>
      <c r="M112" s="3"/>
      <c r="N112" s="3"/>
    </row>
    <row r="113" spans="3:14" customFormat="1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</row>
    <row r="114" spans="3:14" customFormat="1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176.77</v>
      </c>
      <c r="I114" s="61" t="s">
        <v>165</v>
      </c>
      <c r="J114" s="35">
        <f>J63</f>
        <v>141.21</v>
      </c>
      <c r="K114" s="61" t="s">
        <v>100</v>
      </c>
      <c r="L114" s="3"/>
      <c r="M114" s="3"/>
      <c r="N114" s="3"/>
    </row>
    <row r="115" spans="3:14" customFormat="1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122.81</v>
      </c>
      <c r="I115" s="61" t="s">
        <v>138</v>
      </c>
      <c r="J115" s="35">
        <f>J67</f>
        <v>87.300000000000011</v>
      </c>
      <c r="K115" s="61" t="s">
        <v>1090</v>
      </c>
      <c r="L115" s="3"/>
      <c r="M115" s="3"/>
      <c r="N115" s="3"/>
    </row>
    <row r="116" spans="3:14" customFormat="1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customFormat="1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</row>
    <row r="118" spans="3:14" customFormat="1" ht="15.5" thickTop="1" thickBot="1" x14ac:dyDescent="0.4">
      <c r="C118" s="96"/>
      <c r="D118" s="44"/>
      <c r="E118" s="44"/>
      <c r="F118" s="44"/>
      <c r="G118" s="44"/>
      <c r="H118" s="1356" t="s">
        <v>58</v>
      </c>
      <c r="I118" s="1357"/>
      <c r="J118" s="1358"/>
      <c r="K118" s="44"/>
      <c r="L118" s="94"/>
      <c r="M118" s="1308" t="s">
        <v>57</v>
      </c>
      <c r="N118" s="1309"/>
    </row>
    <row r="119" spans="3:14" customFormat="1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</row>
    <row r="120" spans="3:14" customFormat="1" x14ac:dyDescent="0.35">
      <c r="C120" s="96" t="s">
        <v>9</v>
      </c>
      <c r="D120" s="56">
        <f t="shared" ref="D120:F121" si="2">D63</f>
        <v>0</v>
      </c>
      <c r="E120" s="56" t="str">
        <f t="shared" si="2"/>
        <v>-</v>
      </c>
      <c r="F120" s="56">
        <f t="shared" si="2"/>
        <v>5</v>
      </c>
      <c r="G120" s="44"/>
      <c r="H120" s="97">
        <f>ROUND(H114*(1+$I$34),2)</f>
        <v>176.77</v>
      </c>
      <c r="I120" s="54" t="s">
        <v>1118</v>
      </c>
      <c r="J120" s="97">
        <f>ROUND(J114*(1+$I$34),2)</f>
        <v>141.21</v>
      </c>
      <c r="K120" s="54" t="s">
        <v>1120</v>
      </c>
      <c r="L120" s="94"/>
      <c r="M120" s="81">
        <f>ROUND(H120/H63-1,4)</f>
        <v>0</v>
      </c>
      <c r="N120" s="81">
        <f>ROUND(J120/J63-1,4)</f>
        <v>0</v>
      </c>
    </row>
    <row r="121" spans="3:14" customFormat="1" x14ac:dyDescent="0.35">
      <c r="C121" s="96"/>
      <c r="D121" s="56">
        <f t="shared" si="2"/>
        <v>5</v>
      </c>
      <c r="E121" s="56" t="str">
        <f t="shared" si="2"/>
        <v>-</v>
      </c>
      <c r="F121" s="56">
        <f t="shared" si="2"/>
        <v>100</v>
      </c>
      <c r="G121" s="44"/>
      <c r="H121" s="95">
        <f>$I$109+L75</f>
        <v>25.83</v>
      </c>
      <c r="I121" s="54"/>
      <c r="J121" s="95">
        <f>$I$109+N75</f>
        <v>20.399999999999999</v>
      </c>
      <c r="K121" s="54"/>
      <c r="L121" s="94"/>
      <c r="M121" s="81"/>
      <c r="N121" s="81"/>
    </row>
    <row r="122" spans="3:14" customFormat="1" x14ac:dyDescent="0.35">
      <c r="C122" s="96"/>
      <c r="D122" s="44"/>
      <c r="E122" s="56" t="str">
        <f>E65</f>
        <v>&gt;</v>
      </c>
      <c r="F122" s="56">
        <f>F65</f>
        <v>100</v>
      </c>
      <c r="G122" s="44"/>
      <c r="H122" s="95">
        <f>$I$109+L76</f>
        <v>25.83</v>
      </c>
      <c r="I122" s="54" t="s">
        <v>1121</v>
      </c>
      <c r="J122" s="95">
        <f>$I$109+N76</f>
        <v>20.399999999999999</v>
      </c>
      <c r="K122" s="54" t="s">
        <v>1108</v>
      </c>
      <c r="L122" s="94"/>
      <c r="M122" s="81">
        <f>ROUND(H122/H65-1,4)</f>
        <v>0</v>
      </c>
      <c r="N122" s="81">
        <f>ROUND(J122/J65-1,4)</f>
        <v>0</v>
      </c>
    </row>
    <row r="123" spans="3:14" customFormat="1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</row>
    <row r="124" spans="3:14" customFormat="1" x14ac:dyDescent="0.35">
      <c r="C124" s="96" t="s">
        <v>8</v>
      </c>
      <c r="D124" s="56">
        <f t="shared" ref="D124:F125" si="3">D120</f>
        <v>0</v>
      </c>
      <c r="E124" s="56" t="str">
        <f t="shared" si="3"/>
        <v>-</v>
      </c>
      <c r="F124" s="56">
        <f t="shared" si="3"/>
        <v>5</v>
      </c>
      <c r="G124" s="44"/>
      <c r="H124" s="97">
        <f>ROUND(H115*(1+$I$34),2)</f>
        <v>122.81</v>
      </c>
      <c r="I124" s="54" t="s">
        <v>1119</v>
      </c>
      <c r="J124" s="97">
        <f>ROUND(J115*(1+$I$34),2)</f>
        <v>87.3</v>
      </c>
      <c r="K124" s="54" t="s">
        <v>1123</v>
      </c>
      <c r="L124" s="94"/>
      <c r="M124" s="81">
        <f>ROUND(H124/H67-1,4)</f>
        <v>0</v>
      </c>
      <c r="N124" s="81">
        <f>ROUND(J124/J67-1,4)</f>
        <v>0</v>
      </c>
    </row>
    <row r="125" spans="3:14" customFormat="1" x14ac:dyDescent="0.35">
      <c r="C125" s="96"/>
      <c r="D125" s="56">
        <f t="shared" si="3"/>
        <v>5</v>
      </c>
      <c r="E125" s="56" t="str">
        <f t="shared" si="3"/>
        <v>-</v>
      </c>
      <c r="F125" s="56">
        <f t="shared" si="3"/>
        <v>100</v>
      </c>
      <c r="G125" s="44"/>
      <c r="H125" s="95">
        <f>$I$109+L79</f>
        <v>18.029999999999998</v>
      </c>
      <c r="I125" s="54"/>
      <c r="J125" s="95">
        <f>$I$109+N79</f>
        <v>12.579999999999998</v>
      </c>
      <c r="K125" s="54"/>
      <c r="L125" s="94"/>
      <c r="M125" s="81"/>
      <c r="N125" s="81"/>
    </row>
    <row r="126" spans="3:14" customFormat="1" x14ac:dyDescent="0.35">
      <c r="C126" s="96"/>
      <c r="D126" s="56"/>
      <c r="E126" s="56" t="str">
        <f>E122</f>
        <v>&gt;</v>
      </c>
      <c r="F126" s="56">
        <f>F122</f>
        <v>100</v>
      </c>
      <c r="G126" s="44"/>
      <c r="H126" s="95">
        <f>$I$109+L80</f>
        <v>18.029999999999998</v>
      </c>
      <c r="I126" s="54" t="s">
        <v>1122</v>
      </c>
      <c r="J126" s="95">
        <f>$I$109+N80</f>
        <v>12.579999999999998</v>
      </c>
      <c r="K126" s="54" t="s">
        <v>1124</v>
      </c>
      <c r="L126" s="94"/>
      <c r="M126" s="81">
        <f>ROUND(H126/H69-1,4)</f>
        <v>0</v>
      </c>
      <c r="N126" s="81">
        <f>ROUND(J126/J69-1,4)</f>
        <v>0</v>
      </c>
    </row>
    <row r="127" spans="3:14" customFormat="1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</row>
    <row r="130" spans="1:15" customFormat="1" x14ac:dyDescent="0.35">
      <c r="A130" s="42" t="s">
        <v>56</v>
      </c>
      <c r="B130" s="3"/>
      <c r="C130" s="3"/>
      <c r="D130" s="3"/>
      <c r="E130" s="3"/>
      <c r="F130" s="3"/>
      <c r="G130" s="3"/>
      <c r="H130" s="3"/>
      <c r="I130" s="3"/>
    </row>
    <row r="131" spans="1:15" customFormat="1" x14ac:dyDescent="0.35">
      <c r="A131" s="42"/>
      <c r="B131" s="3"/>
      <c r="C131" s="3"/>
      <c r="D131" s="3"/>
      <c r="E131" s="3"/>
      <c r="F131" s="3"/>
      <c r="G131" s="3"/>
      <c r="H131" s="3"/>
      <c r="I131" s="3"/>
    </row>
    <row r="132" spans="1:15" customFormat="1" x14ac:dyDescent="0.35">
      <c r="A132" s="42"/>
      <c r="B132" s="42" t="s">
        <v>55</v>
      </c>
      <c r="C132" s="3"/>
      <c r="D132" s="3"/>
      <c r="E132" s="3"/>
      <c r="F132" s="3"/>
      <c r="G132" s="3"/>
      <c r="H132" s="3"/>
      <c r="I132" s="3"/>
    </row>
    <row r="133" spans="1:15" customFormat="1" x14ac:dyDescent="0.35">
      <c r="A133" s="42"/>
      <c r="B133" s="41" t="str">
        <f>$A$4</f>
        <v>SC9 Rate I</v>
      </c>
      <c r="C133" s="3"/>
      <c r="D133" s="3"/>
      <c r="E133" s="3"/>
      <c r="F133" s="3"/>
      <c r="G133" s="3"/>
      <c r="H133" s="3"/>
      <c r="I133" s="3"/>
    </row>
    <row r="134" spans="1:15" customFormat="1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361013380</v>
      </c>
      <c r="J134" s="61" t="s">
        <v>50</v>
      </c>
      <c r="L134" s="3"/>
    </row>
    <row r="135" spans="1:15" customFormat="1" x14ac:dyDescent="0.35">
      <c r="A135" s="42"/>
      <c r="B135" s="3" t="str">
        <f>CONCATENATE("Less: ",$L$5," Energy Revenues to Demand at Current Rates Level")</f>
        <v>Less: Shift of 0%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18050669</v>
      </c>
      <c r="J135" s="61" t="s">
        <v>49</v>
      </c>
      <c r="L135" s="3"/>
    </row>
    <row r="136" spans="1:15" customFormat="1" x14ac:dyDescent="0.35">
      <c r="A136" s="42"/>
      <c r="B136" s="3"/>
      <c r="C136" s="3"/>
      <c r="D136" s="3"/>
      <c r="E136" s="3"/>
      <c r="F136" s="3"/>
      <c r="G136" s="3"/>
      <c r="H136" s="3"/>
      <c r="J136" s="3"/>
      <c r="L136" s="3"/>
    </row>
    <row r="137" spans="1:15" customFormat="1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5" customFormat="1" x14ac:dyDescent="0.35">
      <c r="A138" s="42"/>
      <c r="B138" s="89" t="s">
        <v>52</v>
      </c>
      <c r="C138" s="3"/>
      <c r="D138" s="3"/>
      <c r="E138" s="3"/>
      <c r="F138" s="3"/>
      <c r="G138" s="3"/>
      <c r="H138" s="3"/>
      <c r="I138" s="32">
        <f>I134-I135</f>
        <v>342962711</v>
      </c>
      <c r="J138" s="61" t="s">
        <v>1126</v>
      </c>
      <c r="L138" s="3"/>
    </row>
    <row r="139" spans="1:15" customFormat="1" x14ac:dyDescent="0.35">
      <c r="A139" s="42"/>
      <c r="B139" s="3"/>
      <c r="C139" s="3"/>
      <c r="D139" s="3"/>
      <c r="E139" s="3"/>
      <c r="F139" s="3"/>
      <c r="G139" s="3"/>
      <c r="H139" s="3"/>
    </row>
    <row r="140" spans="1:15" customFormat="1" x14ac:dyDescent="0.35">
      <c r="A140" s="42"/>
      <c r="B140" s="3"/>
      <c r="C140" s="3"/>
      <c r="D140" s="3"/>
      <c r="E140" s="3"/>
      <c r="F140" s="3"/>
      <c r="G140" s="3"/>
      <c r="H140" s="3"/>
      <c r="I140" s="3"/>
    </row>
    <row r="141" spans="1:15" customFormat="1" ht="15" thickBot="1" x14ac:dyDescent="0.4"/>
    <row r="142" spans="1:15" customFormat="1" ht="15.5" thickTop="1" thickBot="1" x14ac:dyDescent="0.4">
      <c r="B142" s="41" t="str">
        <f>$A$4</f>
        <v>SC9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</row>
    <row r="143" spans="1:15" customFormat="1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</row>
    <row r="144" spans="1:15" customFormat="1" x14ac:dyDescent="0.35">
      <c r="C144" s="3" t="s">
        <v>9</v>
      </c>
      <c r="D144" s="125">
        <v>0</v>
      </c>
      <c r="E144" s="289" t="s">
        <v>143</v>
      </c>
      <c r="F144" s="290">
        <v>15000</v>
      </c>
      <c r="H144" s="83">
        <f>G8</f>
        <v>2.1000000000000001E-2</v>
      </c>
      <c r="I144" s="61" t="s">
        <v>47</v>
      </c>
      <c r="J144" s="85">
        <f>G9</f>
        <v>2.1000000000000001E-2</v>
      </c>
      <c r="K144" s="61" t="s">
        <v>1127</v>
      </c>
      <c r="L144" s="81">
        <f>ROUND(H144/$J$144,2)</f>
        <v>1</v>
      </c>
      <c r="M144" s="61" t="s">
        <v>1131</v>
      </c>
      <c r="N144" s="84"/>
      <c r="O144" s="61" t="s">
        <v>1130</v>
      </c>
    </row>
    <row r="145" spans="2:15" customFormat="1" x14ac:dyDescent="0.35">
      <c r="C145" s="3"/>
      <c r="D145" s="3"/>
      <c r="E145" s="123" t="s">
        <v>141</v>
      </c>
      <c r="F145" s="28">
        <f>F144</f>
        <v>15000</v>
      </c>
      <c r="H145" s="27">
        <f>G8</f>
        <v>2.1000000000000001E-2</v>
      </c>
      <c r="I145" s="61"/>
      <c r="J145" s="27">
        <f>G9</f>
        <v>2.1000000000000001E-2</v>
      </c>
      <c r="K145" s="61"/>
      <c r="L145" s="81">
        <f>ROUND(H145/$J$144,2)</f>
        <v>1</v>
      </c>
      <c r="M145" s="82"/>
      <c r="N145" s="81">
        <f>ROUND(J145/$J$144,2)</f>
        <v>1</v>
      </c>
    </row>
    <row r="146" spans="2:15" customFormat="1" x14ac:dyDescent="0.35">
      <c r="C146" s="3" t="s">
        <v>8</v>
      </c>
      <c r="D146" s="121">
        <f>$D$144</f>
        <v>0</v>
      </c>
      <c r="E146" s="122" t="str">
        <f>$E$144</f>
        <v>-</v>
      </c>
      <c r="F146" s="220">
        <f>$F$144</f>
        <v>15000</v>
      </c>
      <c r="H146" s="83">
        <f>G14</f>
        <v>1.95E-2</v>
      </c>
      <c r="I146" s="61" t="s">
        <v>53</v>
      </c>
      <c r="J146" s="83">
        <f>G15</f>
        <v>1.95E-2</v>
      </c>
      <c r="K146" s="61" t="s">
        <v>30</v>
      </c>
      <c r="L146" s="81">
        <f>ROUND(H146/$J$144,2)</f>
        <v>0.93</v>
      </c>
      <c r="M146" s="61" t="s">
        <v>1132</v>
      </c>
      <c r="N146" s="81">
        <f>ROUND(J146/$J$144,2)</f>
        <v>0.93</v>
      </c>
      <c r="O146" s="61" t="s">
        <v>1133</v>
      </c>
    </row>
    <row r="147" spans="2:15" customFormat="1" x14ac:dyDescent="0.35">
      <c r="C147" s="3"/>
      <c r="D147" s="2"/>
      <c r="E147" s="122" t="str">
        <f>$E$145</f>
        <v>&gt;</v>
      </c>
      <c r="F147" s="220">
        <f>$F$145</f>
        <v>15000</v>
      </c>
      <c r="H147" s="27">
        <f>G14</f>
        <v>1.95E-2</v>
      </c>
      <c r="I147" s="3"/>
      <c r="J147" s="27">
        <f>G15</f>
        <v>1.95E-2</v>
      </c>
      <c r="K147" s="3"/>
      <c r="L147" s="81">
        <f>ROUND(H147/$J$144,2)</f>
        <v>0.93</v>
      </c>
      <c r="M147" s="3"/>
      <c r="N147" s="81">
        <f>ROUND(J147/$J$144,2)</f>
        <v>0.93</v>
      </c>
    </row>
    <row r="148" spans="2:15" customFormat="1" x14ac:dyDescent="0.35">
      <c r="C148" s="3" t="s">
        <v>9</v>
      </c>
      <c r="D148" s="121">
        <f>$D$144</f>
        <v>0</v>
      </c>
      <c r="E148" s="122" t="str">
        <f>$E$144</f>
        <v>-</v>
      </c>
      <c r="F148" s="220">
        <f>$F$144</f>
        <v>15000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</row>
    <row r="149" spans="2:15" customFormat="1" x14ac:dyDescent="0.35">
      <c r="C149" s="3"/>
      <c r="D149" s="2"/>
      <c r="E149" s="122" t="str">
        <f>$E$145</f>
        <v>&gt;</v>
      </c>
      <c r="F149" s="220">
        <f>$F$145</f>
        <v>15000</v>
      </c>
      <c r="H149" s="36" t="str">
        <f>IF(L145=1,$J$148,CONCATENATE(L145," * ",$J$148))</f>
        <v>X</v>
      </c>
      <c r="I149" s="3"/>
      <c r="J149" s="36" t="str">
        <f>IF(N145=1,$J$148,CONCATENATE(N145," * ",$J$148))</f>
        <v>X</v>
      </c>
      <c r="K149" s="3"/>
      <c r="L149" s="3"/>
      <c r="M149" s="3"/>
      <c r="N149" s="3"/>
    </row>
    <row r="150" spans="2:15" customFormat="1" x14ac:dyDescent="0.35">
      <c r="C150" s="3" t="s">
        <v>8</v>
      </c>
      <c r="D150" s="121">
        <f>$D$144</f>
        <v>0</v>
      </c>
      <c r="E150" s="122" t="str">
        <f>$E$144</f>
        <v>-</v>
      </c>
      <c r="F150" s="220">
        <f>$F$144</f>
        <v>15000</v>
      </c>
      <c r="H150" s="36" t="str">
        <f>IF(L146=1,$J$148,CONCATENATE(L146," * ",$J$148))</f>
        <v>0.93 * X</v>
      </c>
      <c r="I150" s="3"/>
      <c r="J150" s="36" t="str">
        <f>IF(N146=1,$J$148,CONCATENATE(N146," * ",$J$148))</f>
        <v>0.93 * X</v>
      </c>
      <c r="K150" s="3"/>
      <c r="L150" s="3"/>
      <c r="M150" s="17"/>
      <c r="N150" s="3"/>
    </row>
    <row r="151" spans="2:15" customFormat="1" x14ac:dyDescent="0.35">
      <c r="D151" s="2"/>
      <c r="E151" s="122" t="str">
        <f>$E$145</f>
        <v>&gt;</v>
      </c>
      <c r="F151" s="220">
        <f>$F$145</f>
        <v>15000</v>
      </c>
      <c r="H151" s="36" t="str">
        <f>IF(L147=1,$J$148,CONCATENATE(L147," * ",$J$148))</f>
        <v>0.93 * X</v>
      </c>
      <c r="I151" s="3"/>
      <c r="J151" s="36" t="str">
        <f>IF(N147=1,$J$148,CONCATENATE(N147," * ",$J$148))</f>
        <v>0.93 * X</v>
      </c>
      <c r="K151" s="3"/>
      <c r="L151" s="3"/>
      <c r="M151" s="3"/>
      <c r="N151" s="3"/>
    </row>
    <row r="152" spans="2:15" customFormat="1" x14ac:dyDescent="0.35">
      <c r="H152" s="3"/>
      <c r="I152" s="3"/>
      <c r="J152" s="3"/>
      <c r="K152" s="3"/>
      <c r="L152" s="3"/>
      <c r="M152" s="3"/>
      <c r="N152" s="3"/>
    </row>
    <row r="153" spans="2:15" customFormat="1" x14ac:dyDescent="0.35">
      <c r="B153" s="42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5" customFormat="1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5" customFormat="1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</row>
    <row r="156" spans="2:15" customFormat="1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5967559052</v>
      </c>
      <c r="J156" s="36" t="s">
        <v>39</v>
      </c>
      <c r="K156" s="74" t="str">
        <f>CONCATENATE("[",$H$148,"]")</f>
        <v>[X]</v>
      </c>
      <c r="L156" s="61" t="s">
        <v>1129</v>
      </c>
    </row>
    <row r="157" spans="2:15" customFormat="1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10316378373</v>
      </c>
      <c r="J157" s="36" t="s">
        <v>39</v>
      </c>
      <c r="K157" s="73" t="str">
        <f>CONCATENATE("[",$J$148,"]")</f>
        <v>[X]</v>
      </c>
      <c r="L157" s="61" t="s">
        <v>1129</v>
      </c>
    </row>
    <row r="158" spans="2:15" customFormat="1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18575845</v>
      </c>
      <c r="J158" s="36" t="s">
        <v>39</v>
      </c>
      <c r="K158" s="73" t="str">
        <f>CONCATENATE("[",H150,"]")</f>
        <v>[0.93 * X]</v>
      </c>
      <c r="L158" s="61" t="s">
        <v>1129</v>
      </c>
    </row>
    <row r="159" spans="2:15" customFormat="1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36684491</v>
      </c>
      <c r="J159" s="36" t="s">
        <v>39</v>
      </c>
      <c r="K159" s="71" t="str">
        <f>CONCATENATE("[",J150,"]")</f>
        <v>[0.93 * X]</v>
      </c>
      <c r="L159" s="61" t="s">
        <v>1129</v>
      </c>
    </row>
    <row r="162" spans="1:12" customFormat="1" x14ac:dyDescent="0.35">
      <c r="A162" s="42"/>
      <c r="B162" s="70" t="s">
        <v>38</v>
      </c>
      <c r="C162" s="3"/>
      <c r="D162" s="3"/>
      <c r="E162" s="3"/>
      <c r="F162" s="3"/>
      <c r="G162" s="3"/>
      <c r="H162" s="3"/>
    </row>
    <row r="163" spans="1:12" customFormat="1" x14ac:dyDescent="0.35">
      <c r="A163" s="42"/>
      <c r="B163" s="41" t="str">
        <f>$A$4</f>
        <v>SC9 Rate I</v>
      </c>
      <c r="C163" s="3"/>
      <c r="D163" s="3"/>
      <c r="E163" s="3"/>
      <c r="F163" s="3"/>
      <c r="G163" s="3"/>
      <c r="I163" s="69" t="s">
        <v>25</v>
      </c>
    </row>
    <row r="164" spans="1:12" customFormat="1" x14ac:dyDescent="0.35">
      <c r="A164" s="42"/>
      <c r="B164" s="3" t="s">
        <v>37</v>
      </c>
      <c r="C164" s="3"/>
      <c r="D164" s="3"/>
      <c r="E164" s="3"/>
      <c r="F164" s="3"/>
      <c r="G164" s="3"/>
      <c r="I164" s="68">
        <f>$V$6</f>
        <v>5967559052</v>
      </c>
      <c r="J164" s="65" t="s">
        <v>32</v>
      </c>
      <c r="K164" s="61" t="s">
        <v>1134</v>
      </c>
    </row>
    <row r="165" spans="1:12" customFormat="1" x14ac:dyDescent="0.35">
      <c r="A165" s="42"/>
      <c r="B165" s="3" t="s">
        <v>36</v>
      </c>
      <c r="C165" s="3"/>
      <c r="D165" s="3"/>
      <c r="E165" s="3"/>
      <c r="F165" s="3"/>
      <c r="G165" s="3"/>
      <c r="I165" s="68">
        <f>$V$11</f>
        <v>10316378373</v>
      </c>
      <c r="J165" s="65" t="s">
        <v>32</v>
      </c>
      <c r="K165" s="61" t="s">
        <v>1135</v>
      </c>
    </row>
    <row r="166" spans="1:12" customFormat="1" x14ac:dyDescent="0.35">
      <c r="A166" s="42"/>
      <c r="B166" s="3" t="s">
        <v>35</v>
      </c>
      <c r="C166" s="3"/>
      <c r="D166" s="3"/>
      <c r="E166" s="3"/>
      <c r="F166" s="3"/>
      <c r="G166" s="3"/>
      <c r="I166" s="68">
        <f>$V$16</f>
        <v>18575845</v>
      </c>
      <c r="J166" s="65" t="s">
        <v>32</v>
      </c>
      <c r="K166" s="61" t="s">
        <v>1136</v>
      </c>
    </row>
    <row r="167" spans="1:12" customFormat="1" x14ac:dyDescent="0.35">
      <c r="A167" s="42"/>
      <c r="B167" s="3" t="s">
        <v>34</v>
      </c>
      <c r="C167" s="3"/>
      <c r="D167" s="3"/>
      <c r="E167" s="3"/>
      <c r="F167" s="3"/>
      <c r="G167" s="3"/>
      <c r="I167" s="67">
        <f>$V$21</f>
        <v>36684491</v>
      </c>
      <c r="J167" s="65" t="s">
        <v>32</v>
      </c>
      <c r="K167" s="61" t="s">
        <v>1137</v>
      </c>
    </row>
    <row r="168" spans="1:12" customFormat="1" x14ac:dyDescent="0.35">
      <c r="A168" s="42"/>
      <c r="B168" s="3" t="s">
        <v>33</v>
      </c>
      <c r="C168" s="3"/>
      <c r="D168" s="3"/>
      <c r="E168" s="3"/>
      <c r="G168" s="66">
        <f>I138</f>
        <v>342962711</v>
      </c>
      <c r="H168" s="63" t="s">
        <v>31</v>
      </c>
      <c r="I168" s="28">
        <f>SUM(I164:I167)</f>
        <v>16339197761</v>
      </c>
      <c r="J168" s="65" t="s">
        <v>32</v>
      </c>
      <c r="K168" s="61" t="s">
        <v>1139</v>
      </c>
    </row>
    <row r="169" spans="1:12" customFormat="1" x14ac:dyDescent="0.35">
      <c r="A169" s="42"/>
      <c r="B169" s="3"/>
      <c r="C169" s="3"/>
      <c r="D169" s="3"/>
      <c r="E169" s="3"/>
      <c r="G169" s="3"/>
      <c r="H169" s="3"/>
      <c r="I169" s="3"/>
      <c r="J169" s="3"/>
    </row>
    <row r="170" spans="1:12" customFormat="1" x14ac:dyDescent="0.35">
      <c r="A170" s="42"/>
      <c r="B170" s="3"/>
      <c r="C170" s="3"/>
      <c r="D170" s="3"/>
      <c r="E170" s="3"/>
      <c r="G170" s="34">
        <f>G168</f>
        <v>342962711</v>
      </c>
      <c r="H170" s="63" t="s">
        <v>31</v>
      </c>
      <c r="I170" s="28">
        <f>I168</f>
        <v>16339197761</v>
      </c>
      <c r="J170" s="65" t="s">
        <v>32</v>
      </c>
      <c r="K170" s="61" t="s">
        <v>1138</v>
      </c>
    </row>
    <row r="171" spans="1:12" customFormat="1" ht="15" thickBot="1" x14ac:dyDescent="0.4">
      <c r="A171" s="42"/>
      <c r="B171" s="3"/>
      <c r="C171" s="3"/>
      <c r="D171" s="3"/>
      <c r="E171" s="3"/>
      <c r="G171" s="3"/>
      <c r="H171" s="3"/>
      <c r="I171" s="3"/>
    </row>
    <row r="172" spans="1:12" customFormat="1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62">
        <f>ROUND(G170/I170,4)</f>
        <v>2.1000000000000001E-2</v>
      </c>
      <c r="J172" s="61" t="s">
        <v>1141</v>
      </c>
      <c r="K172" s="597" t="s">
        <v>1140</v>
      </c>
    </row>
    <row r="173" spans="1:12" customFormat="1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</row>
    <row r="174" spans="1:12" customFormat="1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</row>
    <row r="175" spans="1:12" customFormat="1" ht="15.5" thickTop="1" thickBot="1" x14ac:dyDescent="0.4">
      <c r="F175" s="50"/>
      <c r="G175" s="44"/>
      <c r="H175" s="44"/>
      <c r="I175" s="1356" t="s">
        <v>29</v>
      </c>
      <c r="J175" s="1357"/>
      <c r="K175" s="1358"/>
      <c r="L175" s="48"/>
    </row>
    <row r="176" spans="1:12" customFormat="1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 t="str">
        <f>CONCATENATE(D144,E144,F144," kWhr")</f>
        <v>0-15000 kWhr</v>
      </c>
      <c r="I178" s="522">
        <f>ROUND($I$172*L144,4)</f>
        <v>2.1000000000000001E-2</v>
      </c>
      <c r="J178" s="54" t="s">
        <v>1143</v>
      </c>
      <c r="K178" s="523">
        <f>I172</f>
        <v>2.1000000000000001E-2</v>
      </c>
      <c r="L178" s="598" t="s">
        <v>1141</v>
      </c>
    </row>
    <row r="179" spans="1:17" x14ac:dyDescent="0.35">
      <c r="F179" s="50"/>
      <c r="G179" s="44"/>
      <c r="H179" s="44" t="str">
        <f>CONCATENATE(D145,E145,F145," kWhr")</f>
        <v>&gt;15000 kWhr</v>
      </c>
      <c r="I179" s="522">
        <f>ROUND($I$172*L145,4)</f>
        <v>2.1000000000000001E-2</v>
      </c>
      <c r="J179" s="54"/>
      <c r="K179" s="51">
        <f>K178</f>
        <v>2.1000000000000001E-2</v>
      </c>
      <c r="L179" s="598"/>
    </row>
    <row r="180" spans="1:17" x14ac:dyDescent="0.35">
      <c r="F180" s="50"/>
      <c r="G180" s="44" t="s">
        <v>8</v>
      </c>
      <c r="H180" s="44" t="str">
        <f>H178</f>
        <v>0-15000 kWhr</v>
      </c>
      <c r="I180" s="522">
        <f>ROUND($I$172*L146,4)</f>
        <v>1.95E-2</v>
      </c>
      <c r="J180" s="54" t="s">
        <v>1144</v>
      </c>
      <c r="K180" s="522">
        <f>ROUND($I$172*N146,4)</f>
        <v>1.95E-2</v>
      </c>
      <c r="L180" s="598" t="s">
        <v>1145</v>
      </c>
    </row>
    <row r="181" spans="1:17" ht="15" thickBot="1" x14ac:dyDescent="0.4">
      <c r="F181" s="47"/>
      <c r="G181" s="46"/>
      <c r="H181" s="46" t="str">
        <f>H179</f>
        <v>&gt;15000 kWhr</v>
      </c>
      <c r="I181" s="600">
        <f>ROUND($I$172*L147,4)</f>
        <v>1.95E-2</v>
      </c>
      <c r="J181" s="46"/>
      <c r="K181" s="600">
        <f>ROUND($I$172*N147,4)</f>
        <v>1.95E-2</v>
      </c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42" t="s">
        <v>28</v>
      </c>
    </row>
    <row r="184" spans="1:17" x14ac:dyDescent="0.35">
      <c r="A184" s="42"/>
    </row>
    <row r="185" spans="1:17" x14ac:dyDescent="0.35">
      <c r="A185" s="42"/>
      <c r="B185" s="41" t="str">
        <f>$A$4</f>
        <v>SC9 Rate I</v>
      </c>
    </row>
    <row r="186" spans="1:17" x14ac:dyDescent="0.35">
      <c r="A186" s="3"/>
      <c r="B186" s="41" t="s">
        <v>5</v>
      </c>
      <c r="D186" s="1345">
        <f>L4</f>
        <v>2020</v>
      </c>
      <c r="E186" s="1345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121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219" t="s">
        <v>14</v>
      </c>
      <c r="N188" s="3"/>
      <c r="O188" s="3"/>
      <c r="P188" s="2"/>
    </row>
    <row r="189" spans="1:17" x14ac:dyDescent="0.35">
      <c r="C189" s="31" t="s">
        <v>27</v>
      </c>
      <c r="D189" s="3"/>
      <c r="E189" s="3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219" t="s">
        <v>6</v>
      </c>
      <c r="N189" s="3"/>
      <c r="O189" s="3"/>
      <c r="P189" s="2"/>
      <c r="Q189" s="2"/>
    </row>
    <row r="190" spans="1:17" x14ac:dyDescent="0.35">
      <c r="B190" s="3"/>
      <c r="C190" s="3" t="s">
        <v>9</v>
      </c>
      <c r="D190" s="36">
        <f>D63</f>
        <v>0</v>
      </c>
      <c r="E190" s="36" t="str">
        <f>E63</f>
        <v>-</v>
      </c>
      <c r="F190" s="36">
        <f>F63</f>
        <v>5</v>
      </c>
      <c r="G190" s="29">
        <f>T6</f>
        <v>24283.037279249718</v>
      </c>
      <c r="H190" s="3"/>
      <c r="I190" s="29">
        <f>U6</f>
        <v>2575135</v>
      </c>
      <c r="J190" s="28"/>
      <c r="K190" s="35">
        <f>H120</f>
        <v>176.77</v>
      </c>
      <c r="L190" s="3"/>
      <c r="M190" s="278">
        <f>ROUND(K190*(I190/F190),0)</f>
        <v>91041323</v>
      </c>
      <c r="N190" s="3"/>
      <c r="O190" s="3"/>
      <c r="P190" s="2"/>
      <c r="Q190" s="2"/>
    </row>
    <row r="191" spans="1:17" x14ac:dyDescent="0.35">
      <c r="B191" s="3"/>
      <c r="C191" s="3"/>
      <c r="D191" s="36">
        <f t="shared" ref="D191:F192" si="4">D64</f>
        <v>5</v>
      </c>
      <c r="E191" s="36" t="str">
        <f t="shared" si="4"/>
        <v>-</v>
      </c>
      <c r="F191" s="36">
        <f t="shared" si="4"/>
        <v>100</v>
      </c>
      <c r="G191" s="29">
        <f>T7</f>
        <v>463127.78306230035</v>
      </c>
      <c r="H191" s="3"/>
      <c r="I191" s="29">
        <f>U7</f>
        <v>10355085</v>
      </c>
      <c r="J191" s="28"/>
      <c r="K191" s="35">
        <f t="shared" ref="K191:K192" si="5">H121</f>
        <v>25.83</v>
      </c>
      <c r="L191" s="3"/>
      <c r="M191" s="278">
        <f>ROUND(K191*I191,0)</f>
        <v>267471846</v>
      </c>
      <c r="N191" s="3"/>
      <c r="O191" s="3"/>
      <c r="P191" s="2"/>
      <c r="Q191" s="2"/>
    </row>
    <row r="192" spans="1:17" x14ac:dyDescent="0.35">
      <c r="B192" s="3"/>
      <c r="C192" s="3"/>
      <c r="D192" s="36"/>
      <c r="E192" s="36" t="str">
        <f t="shared" si="4"/>
        <v>&gt;</v>
      </c>
      <c r="F192" s="36">
        <f t="shared" si="4"/>
        <v>100</v>
      </c>
      <c r="G192" s="38">
        <f>T8</f>
        <v>27616.179658449917</v>
      </c>
      <c r="H192" s="3"/>
      <c r="I192" s="38">
        <f>U8</f>
        <v>4265301</v>
      </c>
      <c r="J192" s="28"/>
      <c r="K192" s="35">
        <f t="shared" si="5"/>
        <v>25.83</v>
      </c>
      <c r="L192" s="3"/>
      <c r="M192" s="279">
        <f>ROUND(K192*I192,0)</f>
        <v>110172725</v>
      </c>
      <c r="N192" s="3"/>
      <c r="O192" s="3"/>
      <c r="P192" s="2"/>
      <c r="Q192" s="2"/>
    </row>
    <row r="193" spans="2:17" x14ac:dyDescent="0.35">
      <c r="B193" s="3"/>
      <c r="C193" s="3"/>
      <c r="D193" s="36"/>
      <c r="E193" s="36"/>
      <c r="F193" s="36"/>
      <c r="G193" s="28">
        <f>G190+G191+G192</f>
        <v>515026.99999999994</v>
      </c>
      <c r="H193" s="3"/>
      <c r="I193" s="28">
        <f>I190+I191+I192</f>
        <v>17195521</v>
      </c>
      <c r="J193" s="3"/>
      <c r="K193" s="35"/>
      <c r="L193" s="3"/>
      <c r="M193" s="277">
        <f>M190+M191+M192</f>
        <v>468685894</v>
      </c>
      <c r="N193" s="34"/>
      <c r="O193" s="36" t="s">
        <v>10</v>
      </c>
      <c r="P193" s="2"/>
      <c r="Q193" s="2"/>
    </row>
    <row r="194" spans="2:17" x14ac:dyDescent="0.35">
      <c r="B194" s="3"/>
      <c r="C194" s="3"/>
      <c r="D194" s="36"/>
      <c r="E194" s="36"/>
      <c r="F194" s="36"/>
      <c r="G194" s="28"/>
      <c r="H194" s="3"/>
      <c r="I194" s="28"/>
      <c r="J194" s="3"/>
      <c r="K194" s="35"/>
      <c r="L194" s="33" t="s">
        <v>22</v>
      </c>
      <c r="M194" s="277">
        <f>ROUND(M193*(O194-1),0)</f>
        <v>5586736</v>
      </c>
      <c r="N194" s="33" t="s">
        <v>23</v>
      </c>
      <c r="O194" s="40">
        <f>L10</f>
        <v>1.0119199999999999</v>
      </c>
      <c r="P194" s="2"/>
      <c r="Q194" s="2"/>
    </row>
    <row r="195" spans="2:17" x14ac:dyDescent="0.35">
      <c r="B195" s="3"/>
      <c r="C195" s="3"/>
      <c r="D195" s="36"/>
      <c r="E195" s="36"/>
      <c r="F195" s="36"/>
      <c r="G195" s="28"/>
      <c r="H195" s="3"/>
      <c r="I195" s="28"/>
      <c r="J195" s="3"/>
      <c r="K195" s="35"/>
      <c r="L195" s="33" t="s">
        <v>21</v>
      </c>
      <c r="M195" s="599">
        <f>M193+M194</f>
        <v>474272630</v>
      </c>
      <c r="N195" s="8"/>
      <c r="O195" s="3"/>
      <c r="P195" s="2"/>
      <c r="Q195" s="2"/>
    </row>
    <row r="196" spans="2:17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"/>
      <c r="N196" s="3"/>
      <c r="O196" s="3"/>
      <c r="P196" s="2"/>
      <c r="Q196" s="2"/>
    </row>
    <row r="197" spans="2:17" x14ac:dyDescent="0.35">
      <c r="B197" s="3"/>
      <c r="C197" s="3" t="s">
        <v>8</v>
      </c>
      <c r="D197" s="36">
        <f t="shared" ref="D197:F198" si="6">D190</f>
        <v>0</v>
      </c>
      <c r="E197" s="36" t="str">
        <f t="shared" si="6"/>
        <v>-</v>
      </c>
      <c r="F197" s="36">
        <f t="shared" si="6"/>
        <v>5</v>
      </c>
      <c r="G197" s="29">
        <f>T16</f>
        <v>0</v>
      </c>
      <c r="H197" s="3"/>
      <c r="I197" s="29">
        <f>U16</f>
        <v>900</v>
      </c>
      <c r="J197" s="28"/>
      <c r="K197" s="35">
        <f>H124</f>
        <v>122.81</v>
      </c>
      <c r="L197" s="3"/>
      <c r="M197" s="278">
        <f>ROUND(K197*(I197/F197),0)</f>
        <v>22106</v>
      </c>
      <c r="N197" s="3"/>
      <c r="O197" s="3"/>
      <c r="P197" s="2"/>
      <c r="Q197" s="2"/>
    </row>
    <row r="198" spans="2:17" x14ac:dyDescent="0.35">
      <c r="B198" s="3"/>
      <c r="C198" s="3"/>
      <c r="D198" s="36">
        <f t="shared" si="6"/>
        <v>5</v>
      </c>
      <c r="E198" s="36" t="str">
        <f t="shared" si="6"/>
        <v>-</v>
      </c>
      <c r="F198" s="36">
        <f t="shared" si="6"/>
        <v>100</v>
      </c>
      <c r="G198" s="29">
        <f>T17</f>
        <v>60.319148936170215</v>
      </c>
      <c r="H198" s="3"/>
      <c r="I198" s="29">
        <f>U17</f>
        <v>12963</v>
      </c>
      <c r="J198" s="28"/>
      <c r="K198" s="35">
        <f t="shared" ref="K198:K199" si="7">H125</f>
        <v>18.029999999999998</v>
      </c>
      <c r="L198" s="3"/>
      <c r="M198" s="278">
        <f>ROUND(K198*I198,0)</f>
        <v>233723</v>
      </c>
      <c r="N198" s="3"/>
      <c r="O198" s="3"/>
      <c r="P198" s="2"/>
      <c r="Q198" s="2"/>
    </row>
    <row r="199" spans="2:17" x14ac:dyDescent="0.35">
      <c r="B199" s="3"/>
      <c r="C199" s="3"/>
      <c r="D199" s="36"/>
      <c r="E199" s="36" t="str">
        <f>E192</f>
        <v>&gt;</v>
      </c>
      <c r="F199" s="36">
        <f>F192</f>
        <v>100</v>
      </c>
      <c r="G199" s="38">
        <f>T18</f>
        <v>119.68085106382979</v>
      </c>
      <c r="H199" s="3"/>
      <c r="I199" s="38">
        <f>U18</f>
        <v>36476</v>
      </c>
      <c r="J199" s="28"/>
      <c r="K199" s="35">
        <f t="shared" si="7"/>
        <v>18.029999999999998</v>
      </c>
      <c r="L199" s="3"/>
      <c r="M199" s="279">
        <f>ROUND(K199*I199,0)</f>
        <v>657662</v>
      </c>
      <c r="N199" s="3"/>
      <c r="O199" s="3"/>
      <c r="P199" s="2"/>
      <c r="Q199" s="2"/>
    </row>
    <row r="200" spans="2:17" x14ac:dyDescent="0.35">
      <c r="B200" s="3"/>
      <c r="C200" s="3"/>
      <c r="D200" s="36"/>
      <c r="E200" s="36"/>
      <c r="F200" s="36"/>
      <c r="G200" s="28">
        <f>G197+G198+G199</f>
        <v>180</v>
      </c>
      <c r="H200" s="3"/>
      <c r="I200" s="28">
        <f>I197+I198+I199</f>
        <v>50339</v>
      </c>
      <c r="J200" s="3"/>
      <c r="K200" s="35"/>
      <c r="L200" s="3"/>
      <c r="M200" s="277">
        <f>M197+M198+M199</f>
        <v>913491</v>
      </c>
      <c r="N200" s="3"/>
      <c r="O200" s="3"/>
      <c r="P200" s="2"/>
      <c r="Q200" s="2"/>
    </row>
    <row r="201" spans="2:17" x14ac:dyDescent="0.35">
      <c r="B201" s="3"/>
      <c r="C201" s="3"/>
      <c r="D201" s="36"/>
      <c r="E201" s="36"/>
      <c r="F201" s="36"/>
      <c r="G201" s="28"/>
      <c r="H201" s="3"/>
      <c r="I201" s="28"/>
      <c r="J201" s="3"/>
      <c r="K201" s="35"/>
      <c r="L201" s="33" t="s">
        <v>22</v>
      </c>
      <c r="M201" s="277">
        <f>ROUND(M200*(O194-1),0)</f>
        <v>10889</v>
      </c>
      <c r="N201" s="3"/>
      <c r="O201" s="3"/>
      <c r="P201" s="2"/>
      <c r="Q201" s="2"/>
    </row>
    <row r="202" spans="2:17" x14ac:dyDescent="0.35">
      <c r="B202" s="3"/>
      <c r="C202" s="3"/>
      <c r="D202" s="36"/>
      <c r="E202" s="36"/>
      <c r="F202" s="36"/>
      <c r="G202" s="28"/>
      <c r="H202" s="3"/>
      <c r="I202" s="28"/>
      <c r="J202" s="3"/>
      <c r="K202" s="35"/>
      <c r="L202" s="33" t="s">
        <v>21</v>
      </c>
      <c r="M202" s="599">
        <f>M200+M201</f>
        <v>924380</v>
      </c>
      <c r="N202" s="8"/>
      <c r="O202" s="3"/>
      <c r="P202" s="2"/>
      <c r="Q202" s="2"/>
    </row>
    <row r="203" spans="2:17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"/>
      <c r="N203" s="3"/>
      <c r="O203" s="3"/>
      <c r="P203" s="2"/>
      <c r="Q203" s="2"/>
    </row>
    <row r="204" spans="2:17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"/>
      <c r="N204" s="3"/>
      <c r="O204" s="3"/>
      <c r="P204" s="2"/>
      <c r="Q204" s="2"/>
    </row>
    <row r="205" spans="2:17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21" t="s">
        <v>7</v>
      </c>
      <c r="N205" s="17"/>
      <c r="O205" s="3"/>
      <c r="P205" s="2"/>
      <c r="Q205" s="2"/>
    </row>
    <row r="206" spans="2:17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0" t="s">
        <v>15</v>
      </c>
      <c r="L206" s="3"/>
      <c r="M206" s="219" t="s">
        <v>14</v>
      </c>
      <c r="N206" s="17"/>
      <c r="O206" s="3"/>
      <c r="P206" s="2"/>
      <c r="Q206" s="2"/>
    </row>
    <row r="207" spans="2:17" x14ac:dyDescent="0.35">
      <c r="C207" s="31" t="s">
        <v>24</v>
      </c>
      <c r="D207" s="3"/>
      <c r="E207" s="3"/>
      <c r="F207" s="3"/>
      <c r="G207" s="3"/>
      <c r="H207" s="3"/>
      <c r="I207" s="3"/>
      <c r="J207" s="3"/>
      <c r="K207" s="30" t="s">
        <v>11</v>
      </c>
      <c r="L207" s="3"/>
      <c r="M207" s="219" t="s">
        <v>6</v>
      </c>
      <c r="N207" s="17"/>
      <c r="O207" s="3"/>
      <c r="P207" s="2"/>
      <c r="Q207" s="2"/>
    </row>
    <row r="208" spans="2:17" x14ac:dyDescent="0.35">
      <c r="B208" s="3"/>
      <c r="C208" s="3" t="s">
        <v>9</v>
      </c>
      <c r="D208" s="36">
        <f t="shared" ref="D208:F209" si="8">D190</f>
        <v>0</v>
      </c>
      <c r="E208" s="36" t="str">
        <f t="shared" si="8"/>
        <v>-</v>
      </c>
      <c r="F208" s="36">
        <f t="shared" si="8"/>
        <v>5</v>
      </c>
      <c r="G208" s="29">
        <f>T11</f>
        <v>68583.997485784668</v>
      </c>
      <c r="H208" s="3"/>
      <c r="I208" s="29">
        <f>U11</f>
        <v>5147035</v>
      </c>
      <c r="J208" s="28"/>
      <c r="K208" s="35">
        <f>J120</f>
        <v>141.21</v>
      </c>
      <c r="L208" s="3"/>
      <c r="M208" s="278">
        <f>ROUND(K208*(I208/F208),0)</f>
        <v>145362562</v>
      </c>
      <c r="N208" s="17"/>
      <c r="O208" s="3"/>
      <c r="P208" s="2"/>
      <c r="Q208" s="2"/>
    </row>
    <row r="209" spans="2:17" x14ac:dyDescent="0.35">
      <c r="B209" s="3"/>
      <c r="C209" s="3"/>
      <c r="D209" s="36">
        <f t="shared" si="8"/>
        <v>5</v>
      </c>
      <c r="E209" s="36" t="str">
        <f t="shared" si="8"/>
        <v>-</v>
      </c>
      <c r="F209" s="36">
        <f t="shared" si="8"/>
        <v>100</v>
      </c>
      <c r="G209" s="29">
        <f>T12</f>
        <v>914598.30826242268</v>
      </c>
      <c r="H209" s="3"/>
      <c r="I209" s="29">
        <f>U12</f>
        <v>18151598</v>
      </c>
      <c r="J209" s="28"/>
      <c r="K209" s="35">
        <f t="shared" ref="K209:K210" si="9">J121</f>
        <v>20.399999999999999</v>
      </c>
      <c r="L209" s="3"/>
      <c r="M209" s="278">
        <f>ROUND(K209*I209,0)</f>
        <v>370292599</v>
      </c>
      <c r="N209" s="17"/>
      <c r="O209" s="3"/>
      <c r="P209" s="2"/>
      <c r="Q209" s="2"/>
    </row>
    <row r="210" spans="2:17" x14ac:dyDescent="0.35">
      <c r="B210" s="3"/>
      <c r="C210" s="3"/>
      <c r="D210" s="36"/>
      <c r="E210" s="36" t="str">
        <f>E192</f>
        <v>&gt;</v>
      </c>
      <c r="F210" s="36">
        <f>F192</f>
        <v>100</v>
      </c>
      <c r="G210" s="38">
        <f>T13</f>
        <v>46224.694251792644</v>
      </c>
      <c r="H210" s="3"/>
      <c r="I210" s="38">
        <f>U13</f>
        <v>6426438</v>
      </c>
      <c r="J210" s="28"/>
      <c r="K210" s="35">
        <f t="shared" si="9"/>
        <v>20.399999999999999</v>
      </c>
      <c r="L210" s="3"/>
      <c r="M210" s="279">
        <f>ROUND(K210*I210,0)</f>
        <v>131099335</v>
      </c>
      <c r="N210" s="17"/>
      <c r="O210" s="3"/>
      <c r="P210" s="2"/>
      <c r="Q210" s="2"/>
    </row>
    <row r="211" spans="2:17" x14ac:dyDescent="0.35">
      <c r="B211" s="3"/>
      <c r="C211" s="3"/>
      <c r="D211" s="36"/>
      <c r="E211" s="36"/>
      <c r="F211" s="36"/>
      <c r="G211" s="28">
        <f>G208+G209+G210</f>
        <v>1029407</v>
      </c>
      <c r="H211" s="3"/>
      <c r="I211" s="28">
        <f>I208+I209+I210</f>
        <v>29725071</v>
      </c>
      <c r="J211" s="3"/>
      <c r="K211" s="35"/>
      <c r="L211" s="3"/>
      <c r="M211" s="277">
        <f>M208+M209+M210</f>
        <v>646754496</v>
      </c>
      <c r="N211" s="3"/>
      <c r="O211" s="36" t="s">
        <v>7</v>
      </c>
      <c r="P211" s="2"/>
      <c r="Q211" s="2"/>
    </row>
    <row r="212" spans="2:17" x14ac:dyDescent="0.35">
      <c r="B212" s="3"/>
      <c r="C212" s="3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277">
        <f>ROUND(M211*(O212-1),0)</f>
        <v>6900870</v>
      </c>
      <c r="N212" s="33" t="s">
        <v>23</v>
      </c>
      <c r="O212" s="40">
        <f>L11</f>
        <v>1.01067</v>
      </c>
      <c r="P212" s="2"/>
      <c r="Q212" s="2"/>
    </row>
    <row r="213" spans="2:17" x14ac:dyDescent="0.35">
      <c r="B213" s="3"/>
      <c r="C213" s="3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599">
        <f>M211+M212</f>
        <v>653655366</v>
      </c>
      <c r="N213" s="8"/>
      <c r="O213" s="3"/>
      <c r="P213" s="2"/>
      <c r="Q213" s="2"/>
    </row>
    <row r="214" spans="2:1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2"/>
      <c r="N214" s="3"/>
      <c r="O214" s="3"/>
      <c r="P214" s="2"/>
      <c r="Q214" s="2"/>
    </row>
    <row r="215" spans="2:17" x14ac:dyDescent="0.35">
      <c r="B215" s="3"/>
      <c r="C215" s="3" t="s">
        <v>8</v>
      </c>
      <c r="D215" s="36">
        <f t="shared" ref="D215:F216" si="10">D190</f>
        <v>0</v>
      </c>
      <c r="E215" s="36" t="str">
        <f t="shared" si="10"/>
        <v>-</v>
      </c>
      <c r="F215" s="36">
        <f t="shared" si="10"/>
        <v>5</v>
      </c>
      <c r="G215" s="29">
        <f>T21</f>
        <v>1.9111111111111112</v>
      </c>
      <c r="H215" s="3"/>
      <c r="I215" s="29">
        <f>U21</f>
        <v>1720</v>
      </c>
      <c r="J215" s="28"/>
      <c r="K215" s="35">
        <f>J124</f>
        <v>87.3</v>
      </c>
      <c r="L215" s="3"/>
      <c r="M215" s="278">
        <f>ROUND(K215*(I215/F215),0)</f>
        <v>30031</v>
      </c>
      <c r="N215" s="17"/>
      <c r="O215" s="3"/>
      <c r="P215" s="2"/>
      <c r="Q215" s="2"/>
    </row>
    <row r="216" spans="2:17" x14ac:dyDescent="0.35">
      <c r="B216" s="3"/>
      <c r="C216" s="3"/>
      <c r="D216" s="36">
        <f t="shared" si="10"/>
        <v>5</v>
      </c>
      <c r="E216" s="36" t="str">
        <f t="shared" si="10"/>
        <v>-</v>
      </c>
      <c r="F216" s="36">
        <f t="shared" si="10"/>
        <v>100</v>
      </c>
      <c r="G216" s="29">
        <f>T22</f>
        <v>114.66666666666666</v>
      </c>
      <c r="H216" s="3"/>
      <c r="I216" s="29">
        <f>U22</f>
        <v>24758</v>
      </c>
      <c r="J216" s="28"/>
      <c r="K216" s="35">
        <f t="shared" ref="K216:K217" si="11">J125</f>
        <v>12.579999999999998</v>
      </c>
      <c r="L216" s="3"/>
      <c r="M216" s="278">
        <f>ROUND(K216*I216,0)</f>
        <v>311456</v>
      </c>
      <c r="N216" s="17"/>
      <c r="O216" s="3"/>
      <c r="P216" s="2"/>
      <c r="Q216" s="2"/>
    </row>
    <row r="217" spans="2:17" x14ac:dyDescent="0.35">
      <c r="B217" s="3"/>
      <c r="C217" s="3"/>
      <c r="D217" s="36"/>
      <c r="E217" s="36" t="str">
        <f>E192</f>
        <v>&gt;</v>
      </c>
      <c r="F217" s="36">
        <f>F192</f>
        <v>100</v>
      </c>
      <c r="G217" s="38">
        <f>T23</f>
        <v>227.42222222222222</v>
      </c>
      <c r="H217" s="3"/>
      <c r="I217" s="38">
        <f>U23</f>
        <v>67386</v>
      </c>
      <c r="J217" s="28"/>
      <c r="K217" s="35">
        <f t="shared" si="11"/>
        <v>12.579999999999998</v>
      </c>
      <c r="L217" s="3"/>
      <c r="M217" s="279">
        <f>ROUND(K217*I217,0)</f>
        <v>847716</v>
      </c>
      <c r="N217" s="17"/>
      <c r="O217" s="3"/>
      <c r="P217" s="2"/>
      <c r="Q217" s="2"/>
    </row>
    <row r="218" spans="2:17" x14ac:dyDescent="0.35">
      <c r="B218" s="3"/>
      <c r="C218" s="3"/>
      <c r="D218" s="36"/>
      <c r="E218" s="36"/>
      <c r="F218" s="36"/>
      <c r="G218" s="28">
        <f>G215+G216+G217</f>
        <v>344</v>
      </c>
      <c r="H218" s="3"/>
      <c r="I218" s="28">
        <f>I215+I216+I217</f>
        <v>93864</v>
      </c>
      <c r="J218" s="3"/>
      <c r="K218" s="35"/>
      <c r="L218" s="3"/>
      <c r="M218" s="277">
        <f>M215+M216+M217</f>
        <v>1189203</v>
      </c>
      <c r="N218" s="17"/>
      <c r="O218" s="3"/>
      <c r="P218" s="2"/>
      <c r="Q218" s="2"/>
    </row>
    <row r="219" spans="2:1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277">
        <f>ROUND(M218*(O212-1),0)</f>
        <v>12689</v>
      </c>
      <c r="N219" s="17"/>
      <c r="O219" s="3"/>
      <c r="P219" s="2"/>
      <c r="Q219" s="2"/>
    </row>
    <row r="220" spans="2:1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599">
        <f>M218+M219</f>
        <v>1201892</v>
      </c>
      <c r="N220" s="8"/>
      <c r="O220" s="3"/>
      <c r="P220" s="2"/>
      <c r="Q220" s="2"/>
    </row>
    <row r="221" spans="2:17" ht="15" thickBot="1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2"/>
      <c r="N221" s="3"/>
      <c r="O221" s="3"/>
      <c r="P221" s="2"/>
      <c r="Q221" s="2"/>
    </row>
    <row r="222" spans="2:17" ht="15.5" thickTop="1" thickBot="1" x14ac:dyDescent="0.4">
      <c r="B222" s="3"/>
      <c r="C222" s="25" t="str">
        <f>CONCATENATE($A$4," - Total Annual Demand Charge Incl EDB:")</f>
        <v>SC9 Rate I - Total Annual Demand Charge Incl EDB:</v>
      </c>
      <c r="D222" s="3"/>
      <c r="E222" s="3"/>
      <c r="F222" s="3"/>
      <c r="G222" s="3"/>
      <c r="H222" s="3"/>
      <c r="I222" s="3"/>
      <c r="J222" s="3"/>
      <c r="K222" s="3"/>
      <c r="L222" s="3"/>
      <c r="M222" s="519">
        <f>M195+M202+M213+M220</f>
        <v>1130054268</v>
      </c>
      <c r="N222" s="17"/>
      <c r="O222" s="3"/>
      <c r="P222" s="2"/>
      <c r="Q222" s="2"/>
    </row>
    <row r="223" spans="2:17" ht="15" thickTop="1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7"/>
      <c r="O223" s="3"/>
      <c r="P223" s="2"/>
      <c r="Q223" s="2"/>
    </row>
    <row r="224" spans="2:17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0" t="s">
        <v>15</v>
      </c>
      <c r="L224" s="3"/>
      <c r="M224" s="30" t="s">
        <v>14</v>
      </c>
      <c r="N224" s="17"/>
      <c r="O224" s="3"/>
      <c r="P224" s="2"/>
      <c r="Q224" s="2"/>
    </row>
    <row r="225" spans="2:17" x14ac:dyDescent="0.35">
      <c r="B225" s="3"/>
      <c r="C225" s="31" t="s">
        <v>13</v>
      </c>
      <c r="D225" s="3"/>
      <c r="E225" s="3"/>
      <c r="F225" s="3"/>
      <c r="G225" s="3"/>
      <c r="H225" s="3"/>
      <c r="I225" s="30" t="s">
        <v>12</v>
      </c>
      <c r="J225" s="3"/>
      <c r="K225" s="30" t="s">
        <v>11</v>
      </c>
      <c r="L225" s="3"/>
      <c r="M225" s="30" t="s">
        <v>6</v>
      </c>
      <c r="N225" s="17"/>
      <c r="O225" s="3"/>
      <c r="P225" s="2"/>
      <c r="Q225" s="2"/>
    </row>
    <row r="226" spans="2:17" x14ac:dyDescent="0.35">
      <c r="B226" s="3"/>
      <c r="C226" s="3" t="s">
        <v>9</v>
      </c>
      <c r="D226" s="3" t="s">
        <v>10</v>
      </c>
      <c r="E226" s="3"/>
      <c r="F226" s="3"/>
      <c r="G226" s="3"/>
      <c r="H226" s="3"/>
      <c r="I226" s="29">
        <f>V6</f>
        <v>5967559052</v>
      </c>
      <c r="J226" s="3"/>
      <c r="K226" s="27">
        <f>I178</f>
        <v>2.1000000000000001E-2</v>
      </c>
      <c r="L226" s="3"/>
      <c r="M226" s="26">
        <f>ROUND(I226*K226,0)</f>
        <v>125318740</v>
      </c>
      <c r="N226" s="17"/>
      <c r="O226" s="3"/>
      <c r="P226" s="2"/>
      <c r="Q226" s="2"/>
    </row>
    <row r="227" spans="2:17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  <c r="Q227" s="2"/>
    </row>
    <row r="228" spans="2:17" x14ac:dyDescent="0.35">
      <c r="B228" s="3"/>
      <c r="C228" s="3" t="s">
        <v>8</v>
      </c>
      <c r="D228" s="3" t="s">
        <v>10</v>
      </c>
      <c r="E228" s="3"/>
      <c r="F228" s="3"/>
      <c r="G228" s="3"/>
      <c r="H228" s="3"/>
      <c r="I228" s="28">
        <f>V16</f>
        <v>18575845</v>
      </c>
      <c r="J228" s="3"/>
      <c r="K228" s="27">
        <f>I180</f>
        <v>1.95E-2</v>
      </c>
      <c r="L228" s="3"/>
      <c r="M228" s="26">
        <f>ROUND(I228*K228,0)</f>
        <v>362229</v>
      </c>
      <c r="N228" s="17"/>
      <c r="O228" s="3"/>
      <c r="P228" s="2"/>
      <c r="Q228" s="2"/>
    </row>
    <row r="229" spans="2:17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  <c r="Q229" s="2"/>
    </row>
    <row r="230" spans="2:17" x14ac:dyDescent="0.35">
      <c r="B230" s="3"/>
      <c r="C230" s="3" t="s">
        <v>9</v>
      </c>
      <c r="D230" s="3" t="s">
        <v>7</v>
      </c>
      <c r="E230" s="3"/>
      <c r="F230" s="3"/>
      <c r="G230" s="3"/>
      <c r="H230" s="3"/>
      <c r="I230" s="28">
        <f>V11</f>
        <v>10316378373</v>
      </c>
      <c r="J230" s="3"/>
      <c r="K230" s="27">
        <f>K178</f>
        <v>2.1000000000000001E-2</v>
      </c>
      <c r="L230" s="3"/>
      <c r="M230" s="26">
        <f>ROUND(I230*K230,0)</f>
        <v>216643946</v>
      </c>
      <c r="N230" s="17"/>
      <c r="O230" s="3"/>
      <c r="P230" s="2"/>
      <c r="Q230" s="2"/>
    </row>
    <row r="231" spans="2:17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</row>
    <row r="232" spans="2:17" x14ac:dyDescent="0.35">
      <c r="B232" s="3"/>
      <c r="C232" s="3" t="s">
        <v>8</v>
      </c>
      <c r="D232" s="3" t="s">
        <v>7</v>
      </c>
      <c r="E232" s="3"/>
      <c r="F232" s="3"/>
      <c r="G232" s="3"/>
      <c r="H232" s="3"/>
      <c r="I232" s="28">
        <f>V21</f>
        <v>36684491</v>
      </c>
      <c r="J232" s="3"/>
      <c r="K232" s="27">
        <f>K180</f>
        <v>1.95E-2</v>
      </c>
      <c r="L232" s="3"/>
      <c r="M232" s="26">
        <f>ROUND(I232*K232,0)</f>
        <v>715348</v>
      </c>
      <c r="N232" s="17"/>
      <c r="O232" s="3"/>
      <c r="P232" s="2"/>
      <c r="Q232" s="2"/>
    </row>
    <row r="233" spans="2:17" ht="15" thickBot="1" x14ac:dyDescent="0.4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3"/>
      <c r="P233" s="2"/>
      <c r="Q233" s="2"/>
    </row>
    <row r="234" spans="2:17" ht="15.5" thickTop="1" thickBot="1" x14ac:dyDescent="0.4">
      <c r="B234" s="3"/>
      <c r="C234" s="25" t="str">
        <f>CONCATENATE($A$4," - Total Annual Energy Charge:")</f>
        <v>SC9 Rate I - Total Annual Energy Charge:</v>
      </c>
      <c r="D234" s="3"/>
      <c r="E234" s="3"/>
      <c r="F234" s="3"/>
      <c r="G234" s="3"/>
      <c r="H234" s="3"/>
      <c r="I234" s="3"/>
      <c r="J234" s="3"/>
      <c r="K234" s="3"/>
      <c r="L234" s="3"/>
      <c r="M234" s="519">
        <f>M226+M228+M230+M232</f>
        <v>343040263</v>
      </c>
      <c r="N234" s="17"/>
      <c r="O234" s="3"/>
      <c r="P234" s="2"/>
      <c r="Q234" s="2"/>
    </row>
    <row r="235" spans="2:17" ht="15.5" thickTop="1" thickBot="1" x14ac:dyDescent="0.4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7"/>
      <c r="O235" s="3"/>
      <c r="P235" s="2"/>
      <c r="Q235" s="2"/>
    </row>
    <row r="236" spans="2:17" ht="15.5" thickTop="1" thickBot="1" x14ac:dyDescent="0.4">
      <c r="B236" s="3"/>
      <c r="C236" s="25" t="str">
        <f>CONCATENATE($A$4," - Total Charge Price-Out at Proposed Rates:")</f>
        <v>SC9 Rate I - Total Charge Price-Out at Proposed Rates:</v>
      </c>
      <c r="D236" s="3"/>
      <c r="E236" s="3"/>
      <c r="F236" s="3"/>
      <c r="G236" s="3"/>
      <c r="H236" s="3"/>
      <c r="I236" s="3"/>
      <c r="J236" s="3"/>
      <c r="K236" s="3"/>
      <c r="L236" s="3"/>
      <c r="M236" s="519">
        <f>M222+M234</f>
        <v>1473094531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23" t="str">
        <f>$A$4</f>
        <v>SC9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50">
        <f>L4</f>
        <v>2020</v>
      </c>
      <c r="E239" s="1350"/>
      <c r="F239" s="1350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20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1473094531</v>
      </c>
      <c r="N240" s="559"/>
      <c r="O240" s="2"/>
      <c r="P240" s="2"/>
      <c r="Q240" s="2"/>
    </row>
    <row r="241" spans="1:17" x14ac:dyDescent="0.35">
      <c r="B241" s="3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18"/>
      <c r="N241" s="558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88"/>
      <c r="N242" s="559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1473094531</v>
      </c>
      <c r="N243" s="559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9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282">
        <f>L19</f>
        <v>1473027897</v>
      </c>
      <c r="N245" s="559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66634</v>
      </c>
      <c r="N246" s="559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4.5236074710963692E-5</v>
      </c>
      <c r="N247" s="559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5" header="0.3" footer="0.3"/>
  <pageSetup scale="45" orientation="landscape" r:id="rId1"/>
  <headerFooter>
    <oddFooter>&amp;C&amp;Z&amp;F (Tab: &amp;A)&amp;RPage &amp;P / &amp;N</oddFooter>
  </headerFooter>
  <rowBreaks count="3" manualBreakCount="3">
    <brk id="81" max="16383" man="1"/>
    <brk id="161" max="16383" man="1"/>
    <brk id="237" max="16383" man="1"/>
  </rowBreaks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4">
    <tabColor rgb="FF0070C0"/>
  </sheetPr>
  <dimension ref="A1:V253"/>
  <sheetViews>
    <sheetView workbookViewId="0">
      <selection activeCell="Q9" sqref="Q9"/>
    </sheetView>
  </sheetViews>
  <sheetFormatPr defaultRowHeight="14.5" outlineLevelRow="1" x14ac:dyDescent="0.35"/>
  <cols>
    <col min="1" max="1" width="7.453125" customWidth="1"/>
    <col min="2" max="2" width="11.1796875" customWidth="1"/>
    <col min="3" max="3" width="17.7265625" customWidth="1"/>
    <col min="4" max="5" width="4.81640625" customWidth="1"/>
    <col min="6" max="6" width="10.26953125" customWidth="1"/>
    <col min="7" max="7" width="17" customWidth="1"/>
    <col min="8" max="8" width="17.1796875" customWidth="1"/>
    <col min="9" max="9" width="16.7265625" customWidth="1"/>
    <col min="10" max="10" width="15.7265625" customWidth="1"/>
    <col min="11" max="11" width="14.1796875" customWidth="1"/>
    <col min="12" max="12" width="17.453125" customWidth="1"/>
    <col min="13" max="13" width="16.1796875" customWidth="1"/>
    <col min="14" max="14" width="13.81640625" customWidth="1"/>
    <col min="15" max="15" width="16.453125" customWidth="1"/>
    <col min="16" max="16" width="15" style="1" customWidth="1"/>
    <col min="17" max="17" width="10.7265625" style="1" customWidth="1"/>
    <col min="18" max="19" width="10.7265625" customWidth="1"/>
    <col min="20" max="22" width="13.26953125" customWidth="1"/>
    <col min="25" max="26" width="11.7265625" customWidth="1"/>
    <col min="27" max="27" width="16.81640625" customWidth="1"/>
  </cols>
  <sheetData>
    <row r="1" spans="1:22" ht="18.5" x14ac:dyDescent="0.45">
      <c r="A1" s="189" t="s">
        <v>1283</v>
      </c>
    </row>
    <row r="3" spans="1:22" outlineLevel="1" x14ac:dyDescent="0.35">
      <c r="A3" s="70" t="s">
        <v>158</v>
      </c>
      <c r="B3" s="70"/>
      <c r="C3" s="3"/>
      <c r="D3" s="3"/>
      <c r="E3" s="3"/>
      <c r="F3" s="3"/>
      <c r="G3" s="3"/>
      <c r="H3" s="3"/>
      <c r="I3" s="3"/>
      <c r="K3" s="33" t="s">
        <v>150</v>
      </c>
      <c r="L3" s="1075">
        <f>'15A.)MD Shift_RedesignRateSum'!$D$4</f>
        <v>2019</v>
      </c>
      <c r="M3" s="3"/>
      <c r="P3" s="192" t="str">
        <f>$A$4</f>
        <v>SC12 Rate I</v>
      </c>
      <c r="Q3" s="2"/>
      <c r="R3" s="3"/>
      <c r="S3" s="3"/>
      <c r="T3" s="3"/>
      <c r="U3" s="3"/>
      <c r="V3" s="3"/>
    </row>
    <row r="4" spans="1:22" outlineLevel="1" x14ac:dyDescent="0.35">
      <c r="A4" s="182" t="s">
        <v>157</v>
      </c>
      <c r="B4" s="182"/>
      <c r="C4" s="3"/>
      <c r="D4" s="3"/>
      <c r="E4" s="3"/>
      <c r="F4" s="3"/>
      <c r="G4" s="3"/>
      <c r="H4" s="3"/>
      <c r="K4" s="33" t="s">
        <v>5</v>
      </c>
      <c r="L4" s="1075">
        <f>'15A.)MD Shift_RedesignRateSum'!$D$5</f>
        <v>2020</v>
      </c>
      <c r="M4" s="3"/>
      <c r="P4" s="181" t="s">
        <v>147</v>
      </c>
      <c r="Q4" s="2"/>
      <c r="R4" s="3"/>
      <c r="S4" s="3"/>
      <c r="T4" s="3"/>
      <c r="U4" s="3"/>
      <c r="V4" s="3"/>
    </row>
    <row r="5" spans="1:22" outlineLevel="1" x14ac:dyDescent="0.35">
      <c r="A5" s="3"/>
      <c r="B5" s="3"/>
      <c r="C5" s="3"/>
      <c r="D5" s="3"/>
      <c r="E5" s="3"/>
      <c r="F5" s="3"/>
      <c r="G5" s="3"/>
      <c r="H5" s="3"/>
      <c r="K5" s="33" t="s">
        <v>145</v>
      </c>
      <c r="L5" s="636" t="str">
        <f>CONCATENATE("Shift of ",$L$8*100,"%")</f>
        <v>Shift of 0%</v>
      </c>
      <c r="M5" s="3"/>
      <c r="P5" s="2"/>
      <c r="Q5" s="2"/>
      <c r="R5" s="3"/>
      <c r="S5" s="3"/>
      <c r="T5" s="30" t="s">
        <v>26</v>
      </c>
      <c r="U5" s="30" t="s">
        <v>25</v>
      </c>
      <c r="V5" s="30" t="s">
        <v>44</v>
      </c>
    </row>
    <row r="6" spans="1:22" outlineLevel="1" x14ac:dyDescent="0.35">
      <c r="A6" s="180"/>
      <c r="B6" s="180"/>
      <c r="C6" s="180"/>
      <c r="D6" s="180"/>
      <c r="E6" s="180"/>
      <c r="F6" s="180"/>
      <c r="G6" s="231" t="str">
        <f>'15A.)MD Shift_RedesignRateSum'!E71</f>
        <v>Current(RY1)</v>
      </c>
      <c r="H6" s="292" t="s">
        <v>309</v>
      </c>
      <c r="K6" t="s">
        <v>1382</v>
      </c>
      <c r="L6" s="567">
        <f>'[1]A1.)RatesInput'!$G$3</f>
        <v>2017</v>
      </c>
      <c r="M6" s="180"/>
      <c r="P6" s="165" t="s">
        <v>114</v>
      </c>
      <c r="Q6" s="164">
        <v>0</v>
      </c>
      <c r="R6" s="163" t="s">
        <v>143</v>
      </c>
      <c r="S6" s="179">
        <f>'[2]4C.)HY_DemandRatePxOut(Rate I)'!$E$161</f>
        <v>5</v>
      </c>
      <c r="T6" s="175">
        <f>'[2]4C.)HY_DemandRatePxOut(Rate I)'!$L$165</f>
        <v>161</v>
      </c>
      <c r="U6" s="175">
        <f>'[2]4C.)HY_DemandRatePxOut(Rate I)'!$N$165</f>
        <v>4560</v>
      </c>
      <c r="V6" s="175">
        <f>'[2]4B.)HY_EnergyRatePxOut(Rate I)'!$M$272</f>
        <v>39321291</v>
      </c>
    </row>
    <row r="7" spans="1:22" ht="15" outlineLevel="1" thickBot="1" x14ac:dyDescent="0.4">
      <c r="A7" s="3"/>
      <c r="B7" s="3"/>
      <c r="C7" s="3"/>
      <c r="D7" s="3"/>
      <c r="E7" s="3"/>
      <c r="F7" s="3"/>
      <c r="G7" s="101" t="str">
        <f>'15A.)MD Shift_RedesignRateSum'!E72</f>
        <v>Current (H/L Shift)</v>
      </c>
      <c r="H7" s="101" t="s">
        <v>142</v>
      </c>
      <c r="K7" s="33"/>
      <c r="L7" s="118" t="str">
        <f>A4</f>
        <v>SC12 Rate I</v>
      </c>
      <c r="M7" s="3"/>
      <c r="P7" s="170" t="s">
        <v>114</v>
      </c>
      <c r="Q7" s="159"/>
      <c r="R7" s="158" t="s">
        <v>141</v>
      </c>
      <c r="S7" s="178">
        <f>S6</f>
        <v>5</v>
      </c>
      <c r="T7" s="174">
        <f>'[2]4C.)HY_DemandRatePxOut(Rate I)'!$L$166</f>
        <v>751</v>
      </c>
      <c r="U7" s="174">
        <f>'[2]4C.)HY_DemandRatePxOut(Rate I)'!$N$166</f>
        <v>88600</v>
      </c>
      <c r="V7" s="174">
        <f>'[2]4B.)HY_EnergyRatePxOut(Rate I)'!$M$273</f>
        <v>0</v>
      </c>
    </row>
    <row r="8" spans="1:22" ht="15.5" outlineLevel="1" thickTop="1" thickBot="1" x14ac:dyDescent="0.4">
      <c r="A8" s="3" t="s">
        <v>355</v>
      </c>
      <c r="B8" s="3"/>
      <c r="C8" s="3"/>
      <c r="D8" s="3"/>
      <c r="E8" s="3"/>
      <c r="F8" s="3"/>
      <c r="G8" s="309">
        <f>'15A.)MD Shift_RedesignRateSum'!E73</f>
        <v>1.72E-2</v>
      </c>
      <c r="H8" s="293">
        <f>I178</f>
        <v>1.72E-2</v>
      </c>
      <c r="I8" s="365"/>
      <c r="K8" s="33" t="s">
        <v>1279</v>
      </c>
      <c r="L8" s="491">
        <f>'15A.)MD Shift_RedesignRateSum'!$E$9</f>
        <v>0</v>
      </c>
      <c r="M8" s="3"/>
      <c r="P8" s="168" t="s">
        <v>114</v>
      </c>
      <c r="Q8" s="155"/>
      <c r="R8" s="176"/>
      <c r="S8" s="154"/>
      <c r="T8" s="172"/>
      <c r="U8" s="172"/>
      <c r="V8" s="171"/>
    </row>
    <row r="9" spans="1:22" ht="15.5" outlineLevel="1" thickTop="1" thickBot="1" x14ac:dyDescent="0.4">
      <c r="A9" s="3" t="s">
        <v>356</v>
      </c>
      <c r="B9" s="3"/>
      <c r="C9" s="3"/>
      <c r="D9" s="3"/>
      <c r="E9" s="3"/>
      <c r="F9" s="3"/>
      <c r="G9" s="310">
        <f>'15A.)MD Shift_RedesignRateSum'!E74</f>
        <v>1.72E-2</v>
      </c>
      <c r="H9" s="294">
        <f>K178</f>
        <v>1.72E-2</v>
      </c>
      <c r="I9" s="365"/>
      <c r="K9" s="33" t="s">
        <v>139</v>
      </c>
      <c r="L9" s="689">
        <f>HLOOKUP($L$6,'[1]A1.)RatesInput'!$D$63:$J$83,'[1]A1.)RatesInput'!$A$80,0)</f>
        <v>1.01108</v>
      </c>
      <c r="M9" s="173"/>
      <c r="T9" s="151">
        <f>SUM(T6:T8)</f>
        <v>912</v>
      </c>
      <c r="U9" s="151">
        <f>SUM(U6:U8)</f>
        <v>93160</v>
      </c>
      <c r="V9" s="151">
        <f>SUM(V6:V8)</f>
        <v>39321291</v>
      </c>
    </row>
    <row r="10" spans="1:22" ht="15" outlineLevel="1" thickTop="1" x14ac:dyDescent="0.35">
      <c r="A10" s="3" t="s">
        <v>357</v>
      </c>
      <c r="B10" s="3"/>
      <c r="C10" s="3"/>
      <c r="D10" s="3"/>
      <c r="E10" s="3"/>
      <c r="F10" s="3"/>
      <c r="G10" s="310">
        <f>'15A.)MD Shift_RedesignRateSum'!E75</f>
        <v>187.11</v>
      </c>
      <c r="H10" s="294">
        <f>H120</f>
        <v>187.11</v>
      </c>
      <c r="I10" s="365"/>
      <c r="K10" s="33" t="s">
        <v>137</v>
      </c>
      <c r="L10" s="689">
        <f>HLOOKUP($L$6,'[1]A1.)RatesInput'!$D$63:$J$83,'[1]A1.)RatesInput'!$A$81,0)</f>
        <v>1.0119199999999999</v>
      </c>
      <c r="M10" s="3"/>
    </row>
    <row r="11" spans="1:22" outlineLevel="1" x14ac:dyDescent="0.35">
      <c r="A11" s="3" t="s">
        <v>358</v>
      </c>
      <c r="B11" s="3"/>
      <c r="C11" s="3"/>
      <c r="D11" s="3"/>
      <c r="E11" s="3"/>
      <c r="F11" s="3"/>
      <c r="G11" s="310">
        <f>'15A.)MD Shift_RedesignRateSum'!E76</f>
        <v>33.840000000000003</v>
      </c>
      <c r="H11" s="294">
        <f>H122</f>
        <v>33.840000000000003</v>
      </c>
      <c r="I11" s="365"/>
      <c r="K11" s="33" t="s">
        <v>136</v>
      </c>
      <c r="L11" s="689">
        <f>HLOOKUP($L$6,'[1]A1.)RatesInput'!$D$63:$J$83,'[1]A1.)RatesInput'!$A$82,0)</f>
        <v>1.01067</v>
      </c>
      <c r="M11" s="3"/>
      <c r="P11" s="165" t="s">
        <v>113</v>
      </c>
      <c r="Q11" s="164">
        <f>$Q$6</f>
        <v>0</v>
      </c>
      <c r="R11" s="163" t="str">
        <f>$R$6</f>
        <v>-</v>
      </c>
      <c r="S11" s="162">
        <f>$S$6</f>
        <v>5</v>
      </c>
      <c r="T11" s="175">
        <f>'[2]4C.)HY_DemandRatePxOut(Rate I)'!$L$161</f>
        <v>210</v>
      </c>
      <c r="U11" s="175">
        <f>'[2]4C.)HY_DemandRatePxOut(Rate I)'!$N$161</f>
        <v>9120</v>
      </c>
      <c r="V11" s="175">
        <f>'[2]4B.)HY_EnergyRatePxOut(Rate I)'!$M$267</f>
        <v>115292046</v>
      </c>
    </row>
    <row r="12" spans="1:22" outlineLevel="1" x14ac:dyDescent="0.35">
      <c r="A12" s="3" t="s">
        <v>359</v>
      </c>
      <c r="B12" s="3"/>
      <c r="C12" s="3"/>
      <c r="D12" s="3"/>
      <c r="E12" s="3"/>
      <c r="F12" s="3"/>
      <c r="G12" s="310">
        <f>'15A.)MD Shift_RedesignRateSum'!E77</f>
        <v>105.06</v>
      </c>
      <c r="H12" s="294">
        <f>J120</f>
        <v>105.06</v>
      </c>
      <c r="I12" s="365"/>
      <c r="J12" s="1058"/>
      <c r="K12" s="1076" t="s">
        <v>2175</v>
      </c>
      <c r="L12" s="1077">
        <f>'8B.)ED Shift_RedesignRateSum'!$D$5</f>
        <v>0.05</v>
      </c>
      <c r="P12" s="160" t="s">
        <v>113</v>
      </c>
      <c r="Q12" s="159"/>
      <c r="R12" s="158" t="str">
        <f>$R$7</f>
        <v>&gt;</v>
      </c>
      <c r="S12" s="157">
        <f>$S$7</f>
        <v>5</v>
      </c>
      <c r="T12" s="174">
        <f>'[2]4C.)HY_DemandRatePxOut(Rate I)'!$L$162</f>
        <v>1614</v>
      </c>
      <c r="U12" s="174">
        <f>'[2]4C.)HY_DemandRatePxOut(Rate I)'!$N$162</f>
        <v>258373</v>
      </c>
      <c r="V12" s="174">
        <f>'[2]4B.)HY_EnergyRatePxOut(Rate I)'!$M$268</f>
        <v>0</v>
      </c>
    </row>
    <row r="13" spans="1:22" ht="15" outlineLevel="1" thickBot="1" x14ac:dyDescent="0.4">
      <c r="A13" s="3" t="s">
        <v>360</v>
      </c>
      <c r="B13" s="3"/>
      <c r="C13" s="3"/>
      <c r="D13" s="3"/>
      <c r="E13" s="3"/>
      <c r="F13" s="3"/>
      <c r="G13" s="310">
        <f>'15A.)MD Shift_RedesignRateSum'!E78</f>
        <v>18.98</v>
      </c>
      <c r="H13" s="294">
        <f>J122</f>
        <v>18.98</v>
      </c>
      <c r="I13" s="365"/>
      <c r="K13" s="367"/>
      <c r="L13" s="135" t="s">
        <v>135</v>
      </c>
      <c r="M13" s="135" t="s">
        <v>134</v>
      </c>
      <c r="P13" s="155" t="s">
        <v>113</v>
      </c>
      <c r="Q13" s="154"/>
      <c r="R13" s="154"/>
      <c r="S13" s="154"/>
      <c r="T13" s="172"/>
      <c r="U13" s="172"/>
      <c r="V13" s="171"/>
    </row>
    <row r="14" spans="1:22" ht="15.5" outlineLevel="1" thickTop="1" thickBot="1" x14ac:dyDescent="0.4">
      <c r="A14" s="3" t="s">
        <v>361</v>
      </c>
      <c r="B14" s="3"/>
      <c r="C14" s="3"/>
      <c r="D14" s="3"/>
      <c r="E14" s="3"/>
      <c r="F14" s="3"/>
      <c r="G14" s="310">
        <f>'15A.)MD Shift_RedesignRateSum'!E79</f>
        <v>1.72E-2</v>
      </c>
      <c r="H14" s="294">
        <f>I180</f>
        <v>1.72E-2</v>
      </c>
      <c r="I14" s="365"/>
      <c r="K14" s="367"/>
      <c r="P14" s="2"/>
      <c r="Q14" s="2"/>
      <c r="R14" s="3"/>
      <c r="S14" s="3"/>
      <c r="T14" s="151">
        <f>SUM(T11:T13)</f>
        <v>1824</v>
      </c>
      <c r="U14" s="151">
        <f>SUM(U11:U13)</f>
        <v>267493</v>
      </c>
      <c r="V14" s="151">
        <f>SUM(V11:V13)</f>
        <v>115292046</v>
      </c>
    </row>
    <row r="15" spans="1:22" ht="15" outlineLevel="1" thickTop="1" x14ac:dyDescent="0.35">
      <c r="A15" s="3" t="s">
        <v>362</v>
      </c>
      <c r="B15" s="3"/>
      <c r="C15" s="3"/>
      <c r="D15" s="3"/>
      <c r="E15" s="3"/>
      <c r="F15" s="3"/>
      <c r="G15" s="310">
        <f>'15A.)MD Shift_RedesignRateSum'!E80</f>
        <v>1.72E-2</v>
      </c>
      <c r="H15" s="294">
        <f>K180</f>
        <v>1.72E-2</v>
      </c>
      <c r="I15" s="365"/>
      <c r="K15" s="33" t="s">
        <v>131</v>
      </c>
      <c r="L15" s="166">
        <f>'8A.)HY_ED RevShifting'!$E$36</f>
        <v>8215762</v>
      </c>
      <c r="M15" s="166">
        <f>'8A.)HY_ED RevShifting'!$D$36</f>
        <v>8125171</v>
      </c>
    </row>
    <row r="16" spans="1:22" outlineLevel="1" x14ac:dyDescent="0.35">
      <c r="A16" s="3" t="s">
        <v>363</v>
      </c>
      <c r="B16" s="3"/>
      <c r="C16" s="3"/>
      <c r="D16" s="3"/>
      <c r="E16" s="3"/>
      <c r="F16" s="3"/>
      <c r="G16" s="310">
        <f>'15A.)MD Shift_RedesignRateSum'!E81</f>
        <v>139.91</v>
      </c>
      <c r="H16" s="294">
        <f>H124</f>
        <v>139.91</v>
      </c>
      <c r="I16" s="365"/>
      <c r="K16" s="33" t="s">
        <v>129</v>
      </c>
      <c r="L16" s="166">
        <f>'8A.)HY_ED RevShifting'!$E$40</f>
        <v>2798501</v>
      </c>
      <c r="M16" s="166">
        <f>'8A.)HY_ED RevShifting'!$D$40</f>
        <v>2798501</v>
      </c>
      <c r="P16" s="165" t="s">
        <v>112</v>
      </c>
      <c r="Q16" s="164">
        <f>$Q$6</f>
        <v>0</v>
      </c>
      <c r="R16" s="163" t="str">
        <f>$R$6</f>
        <v>-</v>
      </c>
      <c r="S16" s="162">
        <f>$S$6</f>
        <v>5</v>
      </c>
      <c r="T16" s="161"/>
      <c r="U16" s="161"/>
      <c r="V16" s="161"/>
    </row>
    <row r="17" spans="1:22" outlineLevel="1" x14ac:dyDescent="0.35">
      <c r="A17" s="3" t="s">
        <v>364</v>
      </c>
      <c r="B17" s="3"/>
      <c r="C17" s="3"/>
      <c r="D17" s="3"/>
      <c r="E17" s="3"/>
      <c r="F17" s="3"/>
      <c r="G17" s="310">
        <f>'15A.)MD Shift_RedesignRateSum'!E82</f>
        <v>25.29</v>
      </c>
      <c r="H17" s="294">
        <f>H126</f>
        <v>25.29</v>
      </c>
      <c r="I17" s="365"/>
      <c r="K17" s="33" t="s">
        <v>130</v>
      </c>
      <c r="L17" s="1078">
        <f>HLOOKUP($L$12,'8A.)HY_ED RevShifting'!$B$6:$M$43,'8A.)HY_ED RevShifting'!$B$37,0)</f>
        <v>139925</v>
      </c>
      <c r="M17" s="134">
        <f>ROUND(L17/$L$9,0)</f>
        <v>138392</v>
      </c>
      <c r="P17" s="170" t="s">
        <v>112</v>
      </c>
      <c r="Q17" s="159"/>
      <c r="R17" s="158" t="str">
        <f>$R$7</f>
        <v>&gt;</v>
      </c>
      <c r="S17" s="157">
        <f>$S$7</f>
        <v>5</v>
      </c>
      <c r="T17" s="156"/>
      <c r="U17" s="156"/>
      <c r="V17" s="156"/>
    </row>
    <row r="18" spans="1:22" ht="15" outlineLevel="1" thickBot="1" x14ac:dyDescent="0.4">
      <c r="A18" s="3" t="s">
        <v>365</v>
      </c>
      <c r="B18" s="3"/>
      <c r="C18" s="3"/>
      <c r="D18" s="3"/>
      <c r="E18" s="3"/>
      <c r="F18" s="3"/>
      <c r="G18" s="310">
        <f>'15A.)MD Shift_RedesignRateSum'!E83</f>
        <v>58.02</v>
      </c>
      <c r="H18" s="294">
        <f>J124</f>
        <v>58.02</v>
      </c>
      <c r="I18" s="365"/>
      <c r="K18" s="367"/>
      <c r="P18" s="168" t="s">
        <v>112</v>
      </c>
      <c r="Q18" s="154"/>
      <c r="R18" s="154"/>
      <c r="S18" s="154"/>
      <c r="T18" s="153"/>
      <c r="U18" s="153"/>
      <c r="V18" s="152"/>
    </row>
    <row r="19" spans="1:22" ht="15.5" outlineLevel="1" thickTop="1" thickBot="1" x14ac:dyDescent="0.4">
      <c r="A19" s="3" t="s">
        <v>366</v>
      </c>
      <c r="B19" s="3"/>
      <c r="C19" s="3"/>
      <c r="D19" s="3"/>
      <c r="E19" s="3"/>
      <c r="F19" s="3"/>
      <c r="G19" s="311">
        <f>'15A.)MD Shift_RedesignRateSum'!E84</f>
        <v>10.450000000000001</v>
      </c>
      <c r="H19" s="295">
        <f>J126</f>
        <v>10.450000000000001</v>
      </c>
      <c r="I19" s="365"/>
      <c r="K19" s="33" t="str">
        <f>CONCATENATE(A4," - T&amp;D Target:")</f>
        <v>SC12 Rate I - T&amp;D Target:</v>
      </c>
      <c r="L19" s="308">
        <f>L15+L16</f>
        <v>11014263</v>
      </c>
      <c r="M19" s="143" t="s">
        <v>316</v>
      </c>
      <c r="T19" s="151">
        <f>SUM(T16:T18)</f>
        <v>0</v>
      </c>
      <c r="U19" s="151">
        <f>SUM(U16:U18)</f>
        <v>0</v>
      </c>
      <c r="V19" s="151">
        <f>SUM(V16:V18)</f>
        <v>0</v>
      </c>
    </row>
    <row r="20" spans="1:22" ht="15" outlineLevel="1" thickTop="1" x14ac:dyDescent="0.35">
      <c r="K20" s="33" t="s">
        <v>125</v>
      </c>
      <c r="L20" s="276">
        <v>0</v>
      </c>
      <c r="M20" t="s">
        <v>124</v>
      </c>
    </row>
    <row r="21" spans="1:22" outlineLevel="1" x14ac:dyDescent="0.35">
      <c r="K21" s="33" t="s">
        <v>123</v>
      </c>
      <c r="L21" s="276">
        <f>'[2]6B.)RateChgAllocation'!$M$55</f>
        <v>0</v>
      </c>
      <c r="M21" t="s">
        <v>375</v>
      </c>
      <c r="P21" s="165" t="s">
        <v>111</v>
      </c>
      <c r="Q21" s="164">
        <f>$Q$6</f>
        <v>0</v>
      </c>
      <c r="R21" s="163" t="str">
        <f>$R$6</f>
        <v>-</v>
      </c>
      <c r="S21" s="162">
        <f>$S$6</f>
        <v>5</v>
      </c>
      <c r="T21" s="161"/>
      <c r="U21" s="161"/>
      <c r="V21" s="161"/>
    </row>
    <row r="22" spans="1:22" outlineLevel="1" x14ac:dyDescent="0.35">
      <c r="P22" s="160" t="s">
        <v>111</v>
      </c>
      <c r="Q22" s="159"/>
      <c r="R22" s="158" t="str">
        <f>$R$7</f>
        <v>&gt;</v>
      </c>
      <c r="S22" s="157">
        <f>$S$7</f>
        <v>5</v>
      </c>
      <c r="T22" s="156"/>
      <c r="U22" s="156"/>
      <c r="V22" s="156"/>
    </row>
    <row r="23" spans="1:22" ht="15" outlineLevel="1" thickBot="1" x14ac:dyDescent="0.4">
      <c r="P23" s="155" t="s">
        <v>111</v>
      </c>
      <c r="Q23" s="154"/>
      <c r="R23" s="154"/>
      <c r="S23" s="154"/>
      <c r="T23" s="153"/>
      <c r="U23" s="153"/>
      <c r="V23" s="152"/>
    </row>
    <row r="24" spans="1:22" ht="15.5" outlineLevel="1" thickTop="1" thickBot="1" x14ac:dyDescent="0.4">
      <c r="T24" s="151">
        <f>SUM(T21:T23)</f>
        <v>0</v>
      </c>
      <c r="U24" s="151">
        <f>SUM(U21:U23)</f>
        <v>0</v>
      </c>
      <c r="V24" s="151">
        <f>SUM(V21:V23)</f>
        <v>0</v>
      </c>
    </row>
    <row r="25" spans="1:22" ht="15" outlineLevel="1" thickTop="1" x14ac:dyDescent="0.35">
      <c r="T25" s="150"/>
      <c r="U25" s="150"/>
      <c r="V25" s="150"/>
    </row>
    <row r="26" spans="1:22" outlineLevel="1" x14ac:dyDescent="0.35"/>
    <row r="27" spans="1:22" s="148" customFormat="1" outlineLevel="1" x14ac:dyDescent="0.35"/>
    <row r="28" spans="1:22" x14ac:dyDescent="0.35">
      <c r="A28" s="126" t="s">
        <v>122</v>
      </c>
      <c r="B28" s="147"/>
      <c r="C28" s="131"/>
      <c r="D28" s="131"/>
      <c r="E28" s="131"/>
      <c r="F28" s="131"/>
      <c r="H28" s="33" t="s">
        <v>150</v>
      </c>
      <c r="I28" s="1074">
        <f>$L$3</f>
        <v>2019</v>
      </c>
    </row>
    <row r="29" spans="1:22" x14ac:dyDescent="0.35">
      <c r="A29" s="131"/>
      <c r="B29" s="131"/>
      <c r="C29" s="131"/>
      <c r="D29" s="131"/>
      <c r="E29" s="131"/>
      <c r="F29" s="131"/>
      <c r="H29" s="33" t="s">
        <v>5</v>
      </c>
      <c r="I29" s="1074">
        <f>$L$4</f>
        <v>2020</v>
      </c>
      <c r="P29"/>
    </row>
    <row r="30" spans="1:22" x14ac:dyDescent="0.35">
      <c r="B30" s="41" t="str">
        <f>$A$4</f>
        <v>SC12 Rate I</v>
      </c>
      <c r="C30" s="133" t="s">
        <v>121</v>
      </c>
      <c r="D30" s="133"/>
      <c r="E30" s="133"/>
      <c r="F30" s="133"/>
      <c r="P30"/>
    </row>
    <row r="31" spans="1:22" x14ac:dyDescent="0.35">
      <c r="I31" s="130"/>
      <c r="J31" s="136"/>
      <c r="P31"/>
      <c r="Q31" s="142"/>
    </row>
    <row r="32" spans="1:22" x14ac:dyDescent="0.35">
      <c r="C32" t="s">
        <v>102</v>
      </c>
      <c r="I32" s="130">
        <f>M15</f>
        <v>8125171</v>
      </c>
      <c r="J32" s="136" t="s">
        <v>79</v>
      </c>
      <c r="P32"/>
      <c r="Q32" s="142"/>
    </row>
    <row r="33" spans="1:17" x14ac:dyDescent="0.35">
      <c r="C33" t="s">
        <v>88</v>
      </c>
      <c r="I33" s="130">
        <f>M17</f>
        <v>138392</v>
      </c>
      <c r="J33" s="136" t="s">
        <v>78</v>
      </c>
      <c r="P33"/>
      <c r="Q33" s="142"/>
    </row>
    <row r="34" spans="1:17" x14ac:dyDescent="0.35">
      <c r="C34" s="75" t="s">
        <v>117</v>
      </c>
      <c r="D34" s="75"/>
      <c r="E34" s="75"/>
      <c r="F34" s="75"/>
      <c r="I34" s="638">
        <f>$L$8</f>
        <v>0</v>
      </c>
      <c r="J34" s="136" t="s">
        <v>1089</v>
      </c>
      <c r="P34"/>
      <c r="Q34" s="142"/>
    </row>
    <row r="35" spans="1:17" x14ac:dyDescent="0.35">
      <c r="P35"/>
    </row>
    <row r="36" spans="1:17" x14ac:dyDescent="0.35">
      <c r="G36" s="135" t="s">
        <v>26</v>
      </c>
      <c r="H36" s="135" t="s">
        <v>116</v>
      </c>
      <c r="I36" s="135" t="s">
        <v>115</v>
      </c>
    </row>
    <row r="37" spans="1:17" x14ac:dyDescent="0.35">
      <c r="B37" s="41" t="str">
        <f>$A$4</f>
        <v>SC12 Rate I</v>
      </c>
      <c r="C37" t="s">
        <v>114</v>
      </c>
      <c r="G37" s="515">
        <f>$T$9</f>
        <v>912</v>
      </c>
      <c r="H37" s="516">
        <f>G10</f>
        <v>187.11</v>
      </c>
      <c r="I37" s="134">
        <f>ROUND(G37*H37,0)</f>
        <v>170644</v>
      </c>
      <c r="J37" s="136" t="s">
        <v>1085</v>
      </c>
      <c r="L37" s="632" t="s">
        <v>701</v>
      </c>
    </row>
    <row r="38" spans="1:17" x14ac:dyDescent="0.35">
      <c r="C38" t="s">
        <v>113</v>
      </c>
      <c r="G38" s="515">
        <f>$T$14</f>
        <v>1824</v>
      </c>
      <c r="H38" s="516">
        <f>G12</f>
        <v>105.06</v>
      </c>
      <c r="I38" s="134">
        <f>ROUND(G38*H38,0)</f>
        <v>191629</v>
      </c>
      <c r="J38" s="136" t="s">
        <v>1086</v>
      </c>
      <c r="L38" s="381">
        <f>L9</f>
        <v>1.01108</v>
      </c>
      <c r="M38" s="136" t="s">
        <v>1263</v>
      </c>
    </row>
    <row r="39" spans="1:17" x14ac:dyDescent="0.35">
      <c r="C39" t="s">
        <v>112</v>
      </c>
      <c r="G39" s="515">
        <f>$T$19</f>
        <v>0</v>
      </c>
      <c r="H39" s="516">
        <f>G16</f>
        <v>139.91</v>
      </c>
      <c r="I39" s="134">
        <f>ROUND(G39*H39,0)</f>
        <v>0</v>
      </c>
      <c r="J39" s="136" t="s">
        <v>1087</v>
      </c>
    </row>
    <row r="40" spans="1:17" x14ac:dyDescent="0.35">
      <c r="C40" t="s">
        <v>111</v>
      </c>
      <c r="G40" s="515">
        <f>$T$24</f>
        <v>0</v>
      </c>
      <c r="H40" s="516">
        <f>G18</f>
        <v>58.02</v>
      </c>
      <c r="I40" s="134">
        <f>ROUND(G40*H40,0)</f>
        <v>0</v>
      </c>
      <c r="J40" s="136" t="s">
        <v>1088</v>
      </c>
      <c r="L40" s="633" t="s">
        <v>135</v>
      </c>
    </row>
    <row r="41" spans="1:17" x14ac:dyDescent="0.35">
      <c r="C41" t="s">
        <v>110</v>
      </c>
      <c r="I41" s="140">
        <f>SUM(I37:I40)</f>
        <v>362273</v>
      </c>
      <c r="J41" s="136" t="s">
        <v>1084</v>
      </c>
      <c r="L41" s="541">
        <f>ROUND(I41*$L$38,0)</f>
        <v>366287</v>
      </c>
      <c r="M41" s="136" t="s">
        <v>1265</v>
      </c>
    </row>
    <row r="42" spans="1:17" ht="15" thickBot="1" x14ac:dyDescent="0.4">
      <c r="I42" s="517"/>
      <c r="J42" s="136"/>
      <c r="L42" s="1"/>
    </row>
    <row r="43" spans="1:17" ht="15.5" thickTop="1" thickBot="1" x14ac:dyDescent="0.4">
      <c r="C43" t="s">
        <v>304</v>
      </c>
      <c r="I43" s="518">
        <f>ROUND(I41*(1+I42),0)</f>
        <v>362273</v>
      </c>
      <c r="J43" s="136" t="s">
        <v>1110</v>
      </c>
      <c r="L43" s="541">
        <f>ROUND(I43*$L$38,0)</f>
        <v>366287</v>
      </c>
      <c r="M43" s="136" t="s">
        <v>1266</v>
      </c>
    </row>
    <row r="44" spans="1:17" ht="15.5" thickTop="1" thickBot="1" x14ac:dyDescent="0.4">
      <c r="C44" t="s">
        <v>1301</v>
      </c>
      <c r="I44" s="640">
        <f>ROUND(I43*I34,0)</f>
        <v>0</v>
      </c>
      <c r="J44" s="596" t="s">
        <v>1299</v>
      </c>
      <c r="L44" s="1"/>
    </row>
    <row r="45" spans="1:17" ht="15.5" thickTop="1" thickBot="1" x14ac:dyDescent="0.4">
      <c r="C45" t="s">
        <v>305</v>
      </c>
      <c r="I45" s="519">
        <f>I43+I44</f>
        <v>362273</v>
      </c>
      <c r="J45" s="136" t="s">
        <v>1300</v>
      </c>
      <c r="L45" s="634">
        <f>ROUND(I45*$L$38,0)</f>
        <v>366287</v>
      </c>
      <c r="M45" s="136" t="s">
        <v>1267</v>
      </c>
    </row>
    <row r="46" spans="1:17" ht="15" thickTop="1" x14ac:dyDescent="0.35"/>
    <row r="48" spans="1:17" x14ac:dyDescent="0.35">
      <c r="A48" s="126" t="s">
        <v>104</v>
      </c>
    </row>
    <row r="50" spans="1:17" x14ac:dyDescent="0.35">
      <c r="B50" s="41" t="str">
        <f>$A$4</f>
        <v>SC12 Rate I</v>
      </c>
      <c r="C50" s="133" t="s">
        <v>1278</v>
      </c>
      <c r="D50" s="133"/>
      <c r="E50" s="133"/>
      <c r="F50" s="133"/>
      <c r="L50" s="135" t="s">
        <v>1277</v>
      </c>
      <c r="N50" s="135" t="s">
        <v>1276</v>
      </c>
      <c r="P50"/>
      <c r="Q50"/>
    </row>
    <row r="51" spans="1:17" x14ac:dyDescent="0.35">
      <c r="C51" t="s">
        <v>1275</v>
      </c>
      <c r="D51" s="1"/>
      <c r="E51" s="1"/>
      <c r="F51" s="1"/>
      <c r="G51" s="1"/>
      <c r="H51" s="1"/>
      <c r="I51" s="1"/>
      <c r="J51" s="1"/>
      <c r="K51" s="1"/>
      <c r="L51" s="541">
        <f>I32</f>
        <v>8125171</v>
      </c>
      <c r="M51" s="61" t="s">
        <v>79</v>
      </c>
      <c r="N51" s="370">
        <f>L51</f>
        <v>8125171</v>
      </c>
      <c r="O51" s="61" t="s">
        <v>79</v>
      </c>
      <c r="P51"/>
      <c r="Q51"/>
    </row>
    <row r="52" spans="1:17" x14ac:dyDescent="0.35">
      <c r="C52" t="s">
        <v>88</v>
      </c>
      <c r="D52" s="1"/>
      <c r="E52" s="1"/>
      <c r="F52" s="1"/>
      <c r="G52" s="1"/>
      <c r="H52" s="1"/>
      <c r="I52" s="1"/>
      <c r="J52" s="1"/>
      <c r="K52" s="1"/>
      <c r="L52" s="370">
        <f>I33</f>
        <v>138392</v>
      </c>
      <c r="M52" s="61" t="s">
        <v>78</v>
      </c>
      <c r="N52" s="370">
        <f>L52</f>
        <v>138392</v>
      </c>
      <c r="O52" s="61" t="s">
        <v>78</v>
      </c>
      <c r="P52"/>
      <c r="Q52"/>
    </row>
    <row r="53" spans="1:17" ht="15" thickBot="1" x14ac:dyDescent="0.4">
      <c r="C53" t="s">
        <v>1274</v>
      </c>
      <c r="D53" s="1"/>
      <c r="E53" s="1"/>
      <c r="F53" s="1"/>
      <c r="G53" s="1"/>
      <c r="H53" s="1"/>
      <c r="I53" s="1"/>
      <c r="J53" s="1"/>
      <c r="K53" s="1"/>
      <c r="L53" s="370">
        <f>I45</f>
        <v>362273</v>
      </c>
      <c r="M53" s="61" t="s">
        <v>1302</v>
      </c>
      <c r="N53" s="370">
        <f>I43</f>
        <v>362273</v>
      </c>
      <c r="O53" s="61" t="s">
        <v>1304</v>
      </c>
      <c r="P53"/>
      <c r="Q53"/>
    </row>
    <row r="54" spans="1:17" ht="15.5" thickTop="1" thickBot="1" x14ac:dyDescent="0.4">
      <c r="C54" s="181" t="s">
        <v>1273</v>
      </c>
      <c r="D54" s="181"/>
      <c r="E54" s="181"/>
      <c r="F54" s="181"/>
      <c r="G54" s="1"/>
      <c r="H54" s="1"/>
      <c r="I54" s="1"/>
      <c r="J54" s="1"/>
      <c r="K54" s="1"/>
      <c r="L54" s="635">
        <f>L51+L52-L53</f>
        <v>7901290</v>
      </c>
      <c r="M54" s="61" t="s">
        <v>1303</v>
      </c>
      <c r="N54" s="635">
        <f>N51+N52-N53</f>
        <v>7901290</v>
      </c>
      <c r="O54" s="61" t="s">
        <v>1305</v>
      </c>
      <c r="P54"/>
      <c r="Q54"/>
    </row>
    <row r="55" spans="1:17" ht="15" thickTop="1" x14ac:dyDescent="0.35">
      <c r="L55" s="286"/>
      <c r="P55"/>
      <c r="Q55"/>
    </row>
    <row r="56" spans="1:17" x14ac:dyDescent="0.35">
      <c r="C56" s="75" t="s">
        <v>84</v>
      </c>
      <c r="D56" s="75"/>
      <c r="E56" s="75"/>
      <c r="F56" s="75"/>
      <c r="L56" s="637">
        <f>ROUND(L54/N54-1,8)</f>
        <v>0</v>
      </c>
      <c r="M56" s="594" t="s">
        <v>1306</v>
      </c>
      <c r="O56" s="594"/>
      <c r="P56"/>
      <c r="Q56"/>
    </row>
    <row r="57" spans="1:17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</row>
    <row r="59" spans="1:17" x14ac:dyDescent="0.35">
      <c r="A59" s="126" t="s">
        <v>83</v>
      </c>
      <c r="P59"/>
      <c r="Q59"/>
    </row>
    <row r="60" spans="1:17" ht="15" thickBot="1" x14ac:dyDescent="0.4">
      <c r="A60" s="126"/>
      <c r="P60"/>
      <c r="Q60"/>
    </row>
    <row r="61" spans="1:17" ht="15.5" thickTop="1" thickBot="1" x14ac:dyDescent="0.4">
      <c r="B61" s="41" t="str">
        <f>$A$4</f>
        <v>SC12 Rate I</v>
      </c>
      <c r="C61" s="3"/>
      <c r="D61" s="3"/>
      <c r="E61" s="3"/>
      <c r="F61" s="3"/>
      <c r="G61" s="3"/>
      <c r="H61" s="1316" t="s">
        <v>82</v>
      </c>
      <c r="I61" s="1317"/>
      <c r="J61" s="1318"/>
      <c r="K61" s="3"/>
      <c r="L61" s="1307" t="s">
        <v>81</v>
      </c>
      <c r="M61" s="1308"/>
      <c r="N61" s="1309"/>
      <c r="P61"/>
      <c r="Q61"/>
    </row>
    <row r="62" spans="1:17" ht="15" thickTop="1" x14ac:dyDescent="0.35">
      <c r="B62" s="3"/>
      <c r="C62" s="3"/>
      <c r="E62" s="30" t="s">
        <v>80</v>
      </c>
      <c r="F62" s="3"/>
      <c r="G62" s="3"/>
      <c r="H62" s="30" t="s">
        <v>42</v>
      </c>
      <c r="I62" s="30"/>
      <c r="J62" s="30" t="s">
        <v>40</v>
      </c>
      <c r="K62" s="3"/>
      <c r="L62" s="30" t="s">
        <v>42</v>
      </c>
      <c r="M62" s="86"/>
      <c r="N62" s="30" t="s">
        <v>40</v>
      </c>
      <c r="P62"/>
      <c r="Q62"/>
    </row>
    <row r="63" spans="1:17" x14ac:dyDescent="0.35">
      <c r="B63" s="3" t="s">
        <v>43</v>
      </c>
      <c r="C63" s="3"/>
      <c r="D63" s="125">
        <f>Q6</f>
        <v>0</v>
      </c>
      <c r="E63" s="123" t="str">
        <f>R6</f>
        <v>-</v>
      </c>
      <c r="F63" s="125">
        <f>S6</f>
        <v>5</v>
      </c>
      <c r="G63" s="123"/>
      <c r="H63" s="35">
        <f>G10</f>
        <v>187.11</v>
      </c>
      <c r="I63" s="136" t="s">
        <v>165</v>
      </c>
      <c r="J63" s="35">
        <f>G12</f>
        <v>105.06</v>
      </c>
      <c r="K63" s="136" t="s">
        <v>100</v>
      </c>
      <c r="L63" s="3"/>
      <c r="M63" s="17"/>
      <c r="N63" s="3"/>
      <c r="P63"/>
      <c r="Q63"/>
    </row>
    <row r="64" spans="1:17" x14ac:dyDescent="0.35">
      <c r="B64" s="3"/>
      <c r="C64" s="3"/>
      <c r="D64" s="3"/>
      <c r="E64" s="123"/>
      <c r="F64" s="3"/>
      <c r="G64" s="36"/>
      <c r="H64" s="35"/>
      <c r="I64" s="136"/>
      <c r="J64" s="35"/>
      <c r="K64" s="136"/>
      <c r="L64" s="3"/>
      <c r="M64" s="17"/>
      <c r="N64" s="3"/>
      <c r="P64"/>
      <c r="Q64"/>
    </row>
    <row r="65" spans="2:17" x14ac:dyDescent="0.35">
      <c r="B65" s="3"/>
      <c r="C65" s="3"/>
      <c r="D65" s="3"/>
      <c r="E65" s="123" t="str">
        <f>R7</f>
        <v>&gt;</v>
      </c>
      <c r="F65" s="125">
        <f>S7</f>
        <v>5</v>
      </c>
      <c r="G65" s="36"/>
      <c r="H65" s="120">
        <f>G11</f>
        <v>33.840000000000003</v>
      </c>
      <c r="I65" s="136" t="s">
        <v>166</v>
      </c>
      <c r="J65" s="124">
        <f>G13</f>
        <v>18.98</v>
      </c>
      <c r="K65" s="136" t="s">
        <v>229</v>
      </c>
      <c r="L65" s="27">
        <f>H65-J$65</f>
        <v>14.860000000000003</v>
      </c>
      <c r="M65" s="61" t="s">
        <v>1092</v>
      </c>
      <c r="N65" s="112"/>
      <c r="P65"/>
      <c r="Q65"/>
    </row>
    <row r="66" spans="2:17" x14ac:dyDescent="0.35">
      <c r="B66" s="3"/>
      <c r="C66" s="3"/>
      <c r="D66" s="3"/>
      <c r="E66" s="123"/>
      <c r="F66" s="123"/>
      <c r="G66" s="36"/>
      <c r="H66" s="120"/>
      <c r="I66" s="136"/>
      <c r="J66" s="120"/>
      <c r="K66" s="136"/>
      <c r="L66" s="27"/>
      <c r="M66" s="61"/>
      <c r="N66" s="61"/>
      <c r="P66"/>
      <c r="Q66"/>
    </row>
    <row r="67" spans="2:17" x14ac:dyDescent="0.35">
      <c r="B67" s="3" t="s">
        <v>41</v>
      </c>
      <c r="C67" s="3"/>
      <c r="D67" s="121">
        <f>D63</f>
        <v>0</v>
      </c>
      <c r="E67" s="122" t="str">
        <f>E63</f>
        <v>-</v>
      </c>
      <c r="F67" s="121">
        <f>F63</f>
        <v>5</v>
      </c>
      <c r="G67" s="123"/>
      <c r="H67" s="35">
        <f>G16</f>
        <v>139.91</v>
      </c>
      <c r="I67" s="136" t="s">
        <v>138</v>
      </c>
      <c r="J67" s="35">
        <f>G18</f>
        <v>58.02</v>
      </c>
      <c r="K67" s="136" t="s">
        <v>1090</v>
      </c>
      <c r="L67" s="3"/>
      <c r="M67" s="109"/>
      <c r="N67" s="3"/>
      <c r="P67"/>
      <c r="Q67"/>
    </row>
    <row r="68" spans="2:17" x14ac:dyDescent="0.35">
      <c r="B68" s="3"/>
      <c r="C68" s="3"/>
      <c r="D68" s="121"/>
      <c r="E68" s="122"/>
      <c r="F68" s="121"/>
      <c r="G68" s="36"/>
      <c r="H68" s="35"/>
      <c r="I68" s="136"/>
      <c r="J68" s="35"/>
      <c r="K68" s="136"/>
      <c r="L68" s="3"/>
      <c r="M68" s="17"/>
      <c r="N68" s="3"/>
      <c r="P68"/>
      <c r="Q68"/>
    </row>
    <row r="69" spans="2:17" x14ac:dyDescent="0.35">
      <c r="B69" s="3"/>
      <c r="C69" s="3"/>
      <c r="D69" s="2"/>
      <c r="E69" s="122" t="str">
        <f>E65</f>
        <v>&gt;</v>
      </c>
      <c r="F69" s="121">
        <f>F65</f>
        <v>5</v>
      </c>
      <c r="G69" s="36"/>
      <c r="H69" s="120">
        <f>G17</f>
        <v>25.29</v>
      </c>
      <c r="I69" s="136" t="s">
        <v>101</v>
      </c>
      <c r="J69" s="120">
        <f>G19</f>
        <v>10.450000000000001</v>
      </c>
      <c r="K69" s="136" t="s">
        <v>1091</v>
      </c>
      <c r="L69" s="27">
        <f>H69-J$65</f>
        <v>6.3099999999999987</v>
      </c>
      <c r="M69" s="61" t="s">
        <v>1093</v>
      </c>
      <c r="N69" s="27">
        <f>J69-J$65</f>
        <v>-8.5299999999999994</v>
      </c>
      <c r="O69" s="61" t="s">
        <v>1094</v>
      </c>
      <c r="P69"/>
      <c r="Q69"/>
    </row>
    <row r="71" spans="2:17" ht="15" thickBot="1" x14ac:dyDescent="0.4">
      <c r="P71"/>
      <c r="Q71"/>
    </row>
    <row r="72" spans="2:17" ht="15.5" thickTop="1" thickBot="1" x14ac:dyDescent="0.4">
      <c r="B72" s="119" t="s">
        <v>77</v>
      </c>
      <c r="L72" s="1307" t="s">
        <v>76</v>
      </c>
      <c r="M72" s="1308"/>
      <c r="N72" s="1309"/>
      <c r="P72"/>
      <c r="Q72"/>
    </row>
    <row r="73" spans="2:17" ht="15.5" thickTop="1" thickBot="1" x14ac:dyDescent="0.4">
      <c r="G73" s="118" t="s">
        <v>42</v>
      </c>
      <c r="H73" s="118" t="s">
        <v>40</v>
      </c>
      <c r="L73" s="30" t="s">
        <v>42</v>
      </c>
      <c r="M73" s="86"/>
      <c r="N73" s="30" t="s">
        <v>40</v>
      </c>
      <c r="P73"/>
      <c r="Q73"/>
    </row>
    <row r="74" spans="2:17" x14ac:dyDescent="0.35">
      <c r="B74" s="3"/>
      <c r="G74" s="117"/>
      <c r="H74" s="116"/>
      <c r="K74" t="str">
        <f>B63</f>
        <v>Low Tension (LT)</v>
      </c>
      <c r="L74" s="3"/>
      <c r="M74" s="17"/>
      <c r="N74" s="3"/>
      <c r="P74"/>
      <c r="Q74"/>
    </row>
    <row r="75" spans="2:17" x14ac:dyDescent="0.35">
      <c r="B75" s="3" t="s">
        <v>75</v>
      </c>
      <c r="G75" s="114" t="str">
        <f>CONCATENATE("X + ",L76)</f>
        <v>X + 14.86</v>
      </c>
      <c r="H75" s="115" t="s">
        <v>32</v>
      </c>
      <c r="L75" s="3"/>
      <c r="M75" s="17"/>
      <c r="N75" s="3"/>
      <c r="P75"/>
      <c r="Q75"/>
    </row>
    <row r="76" spans="2:17" x14ac:dyDescent="0.35">
      <c r="B76" s="3"/>
      <c r="G76" s="114"/>
      <c r="H76" s="113"/>
      <c r="L76" s="27">
        <f>ROUND(L65*(1+$L$56),2)</f>
        <v>14.86</v>
      </c>
      <c r="M76" s="61" t="s">
        <v>1096</v>
      </c>
      <c r="N76" s="112"/>
      <c r="O76" s="61" t="s">
        <v>1095</v>
      </c>
      <c r="P76"/>
      <c r="Q76"/>
    </row>
    <row r="77" spans="2:17" ht="15" thickBot="1" x14ac:dyDescent="0.4">
      <c r="B77" s="3" t="s">
        <v>73</v>
      </c>
      <c r="G77" s="111" t="str">
        <f>CONCATENATE("X + ",L80)</f>
        <v>X + 6.31</v>
      </c>
      <c r="H77" s="110" t="str">
        <f>CONCATENATE("X + ",N80)</f>
        <v>X + -8.53</v>
      </c>
      <c r="L77" s="27"/>
      <c r="M77" s="109"/>
      <c r="N77" s="109"/>
      <c r="P77"/>
      <c r="Q77"/>
    </row>
    <row r="78" spans="2:17" x14ac:dyDescent="0.35">
      <c r="K78" t="str">
        <f>B67</f>
        <v>High Tension (HT)</v>
      </c>
      <c r="L78" s="3"/>
      <c r="M78" s="109"/>
      <c r="N78" s="3"/>
      <c r="P78"/>
      <c r="Q78"/>
    </row>
    <row r="79" spans="2:17" x14ac:dyDescent="0.35">
      <c r="L79" s="3"/>
      <c r="M79" s="17"/>
      <c r="N79" s="3"/>
      <c r="P79"/>
      <c r="Q79"/>
    </row>
    <row r="80" spans="2:17" x14ac:dyDescent="0.35">
      <c r="L80" s="27">
        <f>ROUND(L69*(1+$L$56),2)</f>
        <v>6.31</v>
      </c>
      <c r="M80" s="61" t="s">
        <v>1097</v>
      </c>
      <c r="N80" s="27">
        <f>ROUND(N69*(1+$L$56),2)</f>
        <v>-8.5299999999999994</v>
      </c>
      <c r="O80" s="61" t="s">
        <v>1099</v>
      </c>
      <c r="P80"/>
      <c r="Q80"/>
    </row>
    <row r="81" spans="2:17" x14ac:dyDescent="0.35">
      <c r="L81" s="27"/>
      <c r="M81" s="61"/>
      <c r="N81" s="27"/>
      <c r="O81" s="61"/>
      <c r="P81"/>
      <c r="Q81"/>
    </row>
    <row r="82" spans="2:17" x14ac:dyDescent="0.35">
      <c r="B82" s="42" t="s">
        <v>70</v>
      </c>
      <c r="P82"/>
      <c r="Q82"/>
    </row>
    <row r="83" spans="2:17" x14ac:dyDescent="0.35">
      <c r="B83" s="41" t="str">
        <f>$A$4</f>
        <v>SC12 Rate I</v>
      </c>
      <c r="P83"/>
      <c r="Q83"/>
    </row>
    <row r="84" spans="2:17" ht="15" thickBot="1" x14ac:dyDescent="0.4">
      <c r="B84" s="70" t="s">
        <v>1098</v>
      </c>
      <c r="C84" s="70"/>
      <c r="D84" s="70"/>
      <c r="E84" s="3"/>
      <c r="F84" s="3"/>
      <c r="G84" s="3"/>
      <c r="I84" s="69" t="s">
        <v>25</v>
      </c>
      <c r="J84" s="3"/>
      <c r="K84" s="3"/>
      <c r="P84"/>
      <c r="Q84"/>
    </row>
    <row r="85" spans="2:17" x14ac:dyDescent="0.35">
      <c r="B85" s="3"/>
      <c r="C85" s="70"/>
      <c r="D85" s="70"/>
      <c r="E85" s="3"/>
      <c r="F85" s="3"/>
      <c r="G85" s="108"/>
      <c r="I85" s="72"/>
      <c r="J85" s="36"/>
      <c r="K85" s="74"/>
      <c r="P85"/>
      <c r="Q85"/>
    </row>
    <row r="86" spans="2:17" x14ac:dyDescent="0.35">
      <c r="B86" s="3" t="s">
        <v>43</v>
      </c>
      <c r="C86" s="3"/>
      <c r="D86" s="3"/>
      <c r="E86" s="3" t="s">
        <v>42</v>
      </c>
      <c r="F86" s="3"/>
      <c r="G86" s="108" t="str">
        <f>CONCATENATE(D65,E65,F65," kW")</f>
        <v>&gt;5 kW</v>
      </c>
      <c r="I86" s="72">
        <f>U7</f>
        <v>88600</v>
      </c>
      <c r="J86" s="36" t="s">
        <v>39</v>
      </c>
      <c r="K86" s="107" t="str">
        <f>CONCATENATE("[",G75,"]")</f>
        <v>[X + 14.86]</v>
      </c>
      <c r="L86" s="61" t="s">
        <v>1114</v>
      </c>
      <c r="P86"/>
      <c r="Q86"/>
    </row>
    <row r="87" spans="2:17" x14ac:dyDescent="0.35">
      <c r="B87" s="3"/>
      <c r="C87" s="3"/>
      <c r="D87" s="3"/>
      <c r="E87" s="3"/>
      <c r="F87" s="3"/>
      <c r="G87" s="3"/>
      <c r="I87" s="72"/>
      <c r="J87" s="36"/>
      <c r="K87" s="73"/>
      <c r="L87" s="61"/>
      <c r="P87"/>
      <c r="Q87"/>
    </row>
    <row r="88" spans="2:17" x14ac:dyDescent="0.35">
      <c r="B88" s="3" t="s">
        <v>43</v>
      </c>
      <c r="C88" s="3"/>
      <c r="D88" s="3"/>
      <c r="E88" s="3" t="s">
        <v>40</v>
      </c>
      <c r="F88" s="3"/>
      <c r="G88" s="3" t="str">
        <f>G86</f>
        <v>&gt;5 kW</v>
      </c>
      <c r="I88" s="72">
        <f>U12</f>
        <v>258373</v>
      </c>
      <c r="J88" s="36" t="s">
        <v>39</v>
      </c>
      <c r="K88" s="73" t="str">
        <f>CONCATENATE("[",H75,"]")</f>
        <v>[X]</v>
      </c>
      <c r="L88" s="61" t="s">
        <v>1117</v>
      </c>
      <c r="P88"/>
      <c r="Q88"/>
    </row>
    <row r="89" spans="2:17" x14ac:dyDescent="0.35">
      <c r="B89" s="3"/>
      <c r="C89" s="3"/>
      <c r="D89" s="3"/>
      <c r="E89" s="3"/>
      <c r="F89" s="3"/>
      <c r="G89" s="3"/>
      <c r="I89" s="72"/>
      <c r="J89" s="36"/>
      <c r="K89" s="73"/>
      <c r="L89" s="61"/>
      <c r="P89"/>
      <c r="Q89"/>
    </row>
    <row r="90" spans="2:17" x14ac:dyDescent="0.35">
      <c r="B90" s="3" t="s">
        <v>41</v>
      </c>
      <c r="C90" s="3"/>
      <c r="D90" s="3"/>
      <c r="E90" s="3" t="s">
        <v>42</v>
      </c>
      <c r="F90" s="3"/>
      <c r="G90" s="3" t="str">
        <f>G86</f>
        <v>&gt;5 kW</v>
      </c>
      <c r="I90" s="72">
        <f>U17</f>
        <v>0</v>
      </c>
      <c r="J90" s="36" t="s">
        <v>39</v>
      </c>
      <c r="K90" s="73" t="str">
        <f>CONCATENATE("[",G77,"]")</f>
        <v>[X + 6.31]</v>
      </c>
      <c r="L90" s="61" t="s">
        <v>1115</v>
      </c>
      <c r="P90"/>
      <c r="Q90"/>
    </row>
    <row r="91" spans="2:17" x14ac:dyDescent="0.35">
      <c r="B91" s="3"/>
      <c r="C91" s="3"/>
      <c r="D91" s="3"/>
      <c r="E91" s="3"/>
      <c r="F91" s="3"/>
      <c r="G91" s="3"/>
      <c r="I91" s="72"/>
      <c r="J91" s="36"/>
      <c r="K91" s="73"/>
      <c r="L91" s="61"/>
      <c r="P91"/>
      <c r="Q91"/>
    </row>
    <row r="92" spans="2:17" ht="15" thickBot="1" x14ac:dyDescent="0.4">
      <c r="B92" s="3" t="s">
        <v>41</v>
      </c>
      <c r="C92" s="3"/>
      <c r="D92" s="3"/>
      <c r="E92" s="3" t="s">
        <v>40</v>
      </c>
      <c r="F92" s="3"/>
      <c r="G92" s="3" t="str">
        <f>G86</f>
        <v>&gt;5 kW</v>
      </c>
      <c r="I92" s="72">
        <f>U22</f>
        <v>0</v>
      </c>
      <c r="J92" s="36" t="s">
        <v>39</v>
      </c>
      <c r="K92" s="71" t="str">
        <f>CONCATENATE("[",H77,"]")</f>
        <v>[X + -8.53]</v>
      </c>
      <c r="L92" s="61" t="s">
        <v>1116</v>
      </c>
      <c r="P92"/>
      <c r="Q92"/>
    </row>
    <row r="95" spans="2:17" x14ac:dyDescent="0.35">
      <c r="B95" s="70" t="s">
        <v>38</v>
      </c>
      <c r="P95"/>
      <c r="Q95"/>
    </row>
    <row r="96" spans="2:17" x14ac:dyDescent="0.35">
      <c r="B96" s="41" t="str">
        <f>$A$4</f>
        <v>SC12 Rate I</v>
      </c>
      <c r="F96" s="3"/>
      <c r="G96" s="3"/>
      <c r="H96" s="3"/>
      <c r="I96" s="69" t="s">
        <v>25</v>
      </c>
      <c r="J96" s="3"/>
      <c r="K96" s="566" t="s">
        <v>68</v>
      </c>
      <c r="L96" s="3"/>
      <c r="M96" s="3"/>
      <c r="N96" s="17"/>
      <c r="P96"/>
      <c r="Q96"/>
    </row>
    <row r="97" spans="2:17" x14ac:dyDescent="0.35">
      <c r="B97" s="3"/>
      <c r="C97" s="3"/>
      <c r="F97" s="3"/>
      <c r="G97" s="3"/>
      <c r="H97" s="3"/>
      <c r="I97" s="105"/>
      <c r="J97" s="65"/>
      <c r="K97" s="34"/>
      <c r="L97" s="3"/>
      <c r="M97" s="17"/>
      <c r="N97" s="17"/>
      <c r="P97"/>
      <c r="Q97"/>
    </row>
    <row r="98" spans="2:17" x14ac:dyDescent="0.35">
      <c r="B98" s="3" t="s">
        <v>37</v>
      </c>
      <c r="C98" s="3"/>
      <c r="F98" s="3"/>
      <c r="G98" s="3"/>
      <c r="H98" s="3"/>
      <c r="I98" s="105">
        <f t="shared" ref="I98:I104" si="0">I86</f>
        <v>88600</v>
      </c>
      <c r="J98" s="65" t="s">
        <v>63</v>
      </c>
      <c r="K98" s="34">
        <f>ROUND(I98*L76,0)</f>
        <v>1316596</v>
      </c>
      <c r="L98" s="3" t="s">
        <v>62</v>
      </c>
      <c r="M98" s="61" t="s">
        <v>1100</v>
      </c>
      <c r="N98" s="17"/>
      <c r="P98"/>
      <c r="Q98"/>
    </row>
    <row r="99" spans="2:17" x14ac:dyDescent="0.35">
      <c r="B99" s="3"/>
      <c r="C99" s="3"/>
      <c r="F99" s="3"/>
      <c r="G99" s="3"/>
      <c r="H99" s="3"/>
      <c r="I99" s="105"/>
      <c r="J99" s="65"/>
      <c r="K99" s="34"/>
      <c r="L99" s="3"/>
      <c r="M99" s="17"/>
      <c r="N99" s="17"/>
      <c r="P99"/>
      <c r="Q99"/>
    </row>
    <row r="100" spans="2:17" x14ac:dyDescent="0.35">
      <c r="B100" s="3" t="s">
        <v>36</v>
      </c>
      <c r="C100" s="3"/>
      <c r="F100" s="3"/>
      <c r="G100" s="3"/>
      <c r="H100" s="3"/>
      <c r="I100" s="105">
        <f t="shared" si="0"/>
        <v>258373</v>
      </c>
      <c r="J100" s="65" t="s">
        <v>63</v>
      </c>
      <c r="K100" s="34">
        <f>ROUND(I100*N76,0)</f>
        <v>0</v>
      </c>
      <c r="L100" s="3" t="s">
        <v>62</v>
      </c>
      <c r="M100" s="61" t="s">
        <v>1101</v>
      </c>
      <c r="N100" s="17"/>
      <c r="P100"/>
      <c r="Q100"/>
    </row>
    <row r="101" spans="2:17" x14ac:dyDescent="0.35">
      <c r="B101" s="3"/>
      <c r="C101" s="3"/>
      <c r="F101" s="3"/>
      <c r="G101" s="3"/>
      <c r="H101" s="3"/>
      <c r="I101" s="105"/>
      <c r="J101" s="65"/>
      <c r="K101" s="34"/>
      <c r="L101" s="3"/>
      <c r="M101" s="17"/>
      <c r="N101" s="17"/>
      <c r="P101"/>
      <c r="Q101"/>
    </row>
    <row r="102" spans="2:17" x14ac:dyDescent="0.35">
      <c r="B102" s="3" t="s">
        <v>35</v>
      </c>
      <c r="C102" s="3"/>
      <c r="F102" s="3"/>
      <c r="G102" s="3"/>
      <c r="H102" s="3"/>
      <c r="I102" s="105">
        <f t="shared" si="0"/>
        <v>0</v>
      </c>
      <c r="J102" s="104" t="s">
        <v>63</v>
      </c>
      <c r="K102" s="34">
        <f>ROUND(I102*L80,0)</f>
        <v>0</v>
      </c>
      <c r="L102" s="44" t="s">
        <v>62</v>
      </c>
      <c r="M102" s="61" t="s">
        <v>1102</v>
      </c>
      <c r="N102" s="17"/>
      <c r="P102"/>
      <c r="Q102"/>
    </row>
    <row r="103" spans="2:17" x14ac:dyDescent="0.35">
      <c r="B103" s="3"/>
      <c r="C103" s="3"/>
      <c r="F103" s="3"/>
      <c r="G103" s="3"/>
      <c r="H103" s="3"/>
      <c r="I103" s="105"/>
      <c r="J103" s="65"/>
      <c r="K103" s="34"/>
      <c r="L103" s="3"/>
      <c r="M103" s="17"/>
      <c r="N103" s="17"/>
      <c r="P103"/>
      <c r="Q103"/>
    </row>
    <row r="104" spans="2:17" x14ac:dyDescent="0.35">
      <c r="B104" s="3" t="s">
        <v>34</v>
      </c>
      <c r="C104" s="3"/>
      <c r="F104" s="3"/>
      <c r="G104" s="3"/>
      <c r="H104" s="3"/>
      <c r="I104" s="105">
        <f t="shared" si="0"/>
        <v>0</v>
      </c>
      <c r="J104" s="104" t="s">
        <v>63</v>
      </c>
      <c r="K104" s="37">
        <f>ROUND(I104*N80,0)</f>
        <v>0</v>
      </c>
      <c r="L104" s="44" t="s">
        <v>62</v>
      </c>
      <c r="M104" s="61" t="s">
        <v>1103</v>
      </c>
      <c r="N104" s="17"/>
      <c r="P104"/>
      <c r="Q104"/>
    </row>
    <row r="105" spans="2:17" x14ac:dyDescent="0.35">
      <c r="B105" s="3" t="s">
        <v>33</v>
      </c>
      <c r="C105" s="3" t="s">
        <v>33</v>
      </c>
      <c r="F105" s="66"/>
      <c r="G105" s="66">
        <f>L54</f>
        <v>7901290</v>
      </c>
      <c r="H105" s="63" t="s">
        <v>31</v>
      </c>
      <c r="I105" s="28">
        <f>SUM(I97:I104)</f>
        <v>346973</v>
      </c>
      <c r="J105" s="65" t="s">
        <v>63</v>
      </c>
      <c r="K105" s="103">
        <f>SUM(K97:K104)</f>
        <v>1316596</v>
      </c>
      <c r="L105" s="3" t="s">
        <v>62</v>
      </c>
      <c r="M105" s="61" t="s">
        <v>1104</v>
      </c>
      <c r="N105" s="17"/>
      <c r="P105"/>
      <c r="Q105"/>
    </row>
    <row r="106" spans="2:17" x14ac:dyDescent="0.35">
      <c r="F106" s="3"/>
      <c r="G106" s="3"/>
      <c r="H106" s="3"/>
      <c r="I106" s="3"/>
      <c r="J106" s="3"/>
      <c r="K106" s="3"/>
      <c r="L106" s="3"/>
      <c r="M106" s="61" t="s">
        <v>1105</v>
      </c>
      <c r="N106" s="17"/>
      <c r="P106"/>
      <c r="Q106"/>
    </row>
    <row r="107" spans="2:17" x14ac:dyDescent="0.35">
      <c r="F107" s="34"/>
      <c r="G107" s="34">
        <f>G105-K105</f>
        <v>6584694</v>
      </c>
      <c r="H107" s="63" t="s">
        <v>31</v>
      </c>
      <c r="I107" s="28">
        <f>I105</f>
        <v>346973</v>
      </c>
      <c r="J107" s="65" t="s">
        <v>32</v>
      </c>
      <c r="K107" s="3"/>
      <c r="L107" s="3"/>
      <c r="M107" s="61" t="s">
        <v>1106</v>
      </c>
      <c r="N107" s="17"/>
      <c r="P107"/>
      <c r="Q107"/>
    </row>
    <row r="108" spans="2:17" ht="15" thickBot="1" x14ac:dyDescent="0.4">
      <c r="F108" s="3"/>
      <c r="G108" s="3"/>
      <c r="H108" s="3"/>
      <c r="I108" s="3"/>
      <c r="J108" s="3"/>
      <c r="K108" s="3"/>
      <c r="L108" s="3"/>
      <c r="M108" s="61"/>
      <c r="N108" s="17"/>
      <c r="P108"/>
      <c r="Q108"/>
    </row>
    <row r="109" spans="2:17" ht="15.5" thickTop="1" thickBot="1" x14ac:dyDescent="0.4">
      <c r="F109" s="64"/>
      <c r="G109" s="64" t="s">
        <v>32</v>
      </c>
      <c r="H109" s="63" t="s">
        <v>31</v>
      </c>
      <c r="I109" s="99">
        <f>ROUND(G107/I107,2)</f>
        <v>18.98</v>
      </c>
      <c r="J109" s="61" t="s">
        <v>1108</v>
      </c>
      <c r="K109" s="3"/>
      <c r="L109" s="3"/>
      <c r="M109" s="61" t="s">
        <v>1107</v>
      </c>
      <c r="N109" s="17"/>
      <c r="P109"/>
      <c r="Q109"/>
    </row>
    <row r="110" spans="2:17" ht="15" thickTop="1" x14ac:dyDescent="0.35">
      <c r="P110"/>
      <c r="Q110"/>
    </row>
    <row r="111" spans="2:17" ht="15" thickBot="1" x14ac:dyDescent="0.4">
      <c r="B111" s="42" t="str">
        <f>CONCATENATE($A$4," at Proposed Demand Rates")</f>
        <v>SC12 Rate I at Proposed Demand Rates</v>
      </c>
      <c r="P111"/>
      <c r="Q111"/>
    </row>
    <row r="112" spans="2:17" ht="15.5" thickTop="1" thickBot="1" x14ac:dyDescent="0.4">
      <c r="C112" s="3" t="s">
        <v>5</v>
      </c>
      <c r="D112" s="1359">
        <f>$L$4</f>
        <v>2020</v>
      </c>
      <c r="E112" s="1359"/>
      <c r="F112" s="1359"/>
      <c r="G112" s="3"/>
      <c r="H112" s="1307" t="s">
        <v>59</v>
      </c>
      <c r="I112" s="1308"/>
      <c r="J112" s="1309"/>
      <c r="K112" s="3"/>
      <c r="L112" s="3"/>
      <c r="M112" s="3"/>
      <c r="N112" s="3"/>
      <c r="P112"/>
      <c r="Q112"/>
    </row>
    <row r="113" spans="3:17" ht="15" thickTop="1" x14ac:dyDescent="0.35">
      <c r="C113" s="3"/>
      <c r="D113" s="3"/>
      <c r="E113" s="3"/>
      <c r="F113" s="3"/>
      <c r="G113" s="3"/>
      <c r="H113" s="36" t="s">
        <v>10</v>
      </c>
      <c r="I113" s="3"/>
      <c r="J113" s="36" t="s">
        <v>7</v>
      </c>
      <c r="K113" s="3"/>
      <c r="L113" s="3"/>
      <c r="M113" s="3"/>
      <c r="N113" s="3"/>
      <c r="P113"/>
      <c r="Q113"/>
    </row>
    <row r="114" spans="3:17" x14ac:dyDescent="0.35">
      <c r="C114" s="3" t="s">
        <v>9</v>
      </c>
      <c r="D114" s="36">
        <f>D63</f>
        <v>0</v>
      </c>
      <c r="E114" s="36" t="str">
        <f>E63</f>
        <v>-</v>
      </c>
      <c r="F114" s="36">
        <f>F63</f>
        <v>5</v>
      </c>
      <c r="G114" s="3"/>
      <c r="H114" s="35">
        <f>H63</f>
        <v>187.11</v>
      </c>
      <c r="I114" s="61" t="s">
        <v>165</v>
      </c>
      <c r="J114" s="35">
        <f>J63</f>
        <v>105.06</v>
      </c>
      <c r="K114" s="61" t="s">
        <v>100</v>
      </c>
      <c r="L114" s="3"/>
      <c r="M114" s="3"/>
      <c r="N114" s="3"/>
      <c r="P114"/>
      <c r="Q114"/>
    </row>
    <row r="115" spans="3:17" x14ac:dyDescent="0.35">
      <c r="C115" s="3" t="s">
        <v>8</v>
      </c>
      <c r="D115" s="36">
        <f>D114</f>
        <v>0</v>
      </c>
      <c r="E115" s="36" t="str">
        <f>E114</f>
        <v>-</v>
      </c>
      <c r="F115" s="36">
        <f>F114</f>
        <v>5</v>
      </c>
      <c r="G115" s="3"/>
      <c r="H115" s="35">
        <f>H67</f>
        <v>139.91</v>
      </c>
      <c r="I115" s="61" t="s">
        <v>138</v>
      </c>
      <c r="J115" s="35">
        <f>J67</f>
        <v>58.02</v>
      </c>
      <c r="K115" s="61" t="s">
        <v>1090</v>
      </c>
      <c r="L115" s="3"/>
      <c r="M115" s="3"/>
      <c r="N115" s="3"/>
      <c r="P115"/>
      <c r="Q115"/>
    </row>
    <row r="116" spans="3:17" ht="15" thickBot="1" x14ac:dyDescent="0.4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/>
      <c r="Q116"/>
    </row>
    <row r="117" spans="3:17" ht="15" thickBot="1" x14ac:dyDescent="0.4">
      <c r="C117" s="60"/>
      <c r="D117" s="59"/>
      <c r="E117" s="59"/>
      <c r="F117" s="59"/>
      <c r="G117" s="59"/>
      <c r="H117" s="59"/>
      <c r="I117" s="59"/>
      <c r="J117" s="59"/>
      <c r="K117" s="59"/>
      <c r="L117" s="98"/>
      <c r="M117" s="3"/>
      <c r="N117" s="3"/>
      <c r="P117"/>
      <c r="Q117"/>
    </row>
    <row r="118" spans="3:17" ht="15.5" thickTop="1" thickBot="1" x14ac:dyDescent="0.4">
      <c r="C118" s="96"/>
      <c r="D118" s="44"/>
      <c r="E118" s="44"/>
      <c r="F118" s="44"/>
      <c r="G118" s="44"/>
      <c r="H118" s="1356" t="s">
        <v>58</v>
      </c>
      <c r="I118" s="1357"/>
      <c r="J118" s="1358"/>
      <c r="K118" s="44"/>
      <c r="L118" s="94"/>
      <c r="M118" s="1308" t="s">
        <v>57</v>
      </c>
      <c r="N118" s="1309"/>
      <c r="P118"/>
      <c r="Q118"/>
    </row>
    <row r="119" spans="3:17" ht="15" thickTop="1" x14ac:dyDescent="0.35">
      <c r="C119" s="96"/>
      <c r="D119" s="44"/>
      <c r="E119" s="44"/>
      <c r="F119" s="44"/>
      <c r="G119" s="44"/>
      <c r="H119" s="56" t="s">
        <v>10</v>
      </c>
      <c r="I119" s="44"/>
      <c r="J119" s="56" t="s">
        <v>7</v>
      </c>
      <c r="K119" s="44"/>
      <c r="L119" s="94"/>
      <c r="M119" s="36" t="s">
        <v>10</v>
      </c>
      <c r="N119" s="36" t="s">
        <v>7</v>
      </c>
      <c r="P119"/>
      <c r="Q119"/>
    </row>
    <row r="120" spans="3:17" x14ac:dyDescent="0.35">
      <c r="C120" s="96" t="s">
        <v>9</v>
      </c>
      <c r="D120" s="56">
        <f>D63</f>
        <v>0</v>
      </c>
      <c r="E120" s="56" t="str">
        <f>E63</f>
        <v>-</v>
      </c>
      <c r="F120" s="56">
        <f>F63</f>
        <v>5</v>
      </c>
      <c r="G120" s="44"/>
      <c r="H120" s="97">
        <f>ROUND(H114*(1+$I$34),2)</f>
        <v>187.11</v>
      </c>
      <c r="I120" s="54" t="s">
        <v>1118</v>
      </c>
      <c r="J120" s="97">
        <f>ROUND(J114*(1+$I$34),2)</f>
        <v>105.06</v>
      </c>
      <c r="K120" s="54" t="s">
        <v>1120</v>
      </c>
      <c r="L120" s="94"/>
      <c r="M120" s="81">
        <f>ROUND(H120/H63-1,4)</f>
        <v>0</v>
      </c>
      <c r="N120" s="81">
        <f>ROUND(J120/J63-1,4)</f>
        <v>0</v>
      </c>
      <c r="P120"/>
      <c r="Q120"/>
    </row>
    <row r="121" spans="3:17" x14ac:dyDescent="0.35">
      <c r="C121" s="96"/>
      <c r="D121" s="56"/>
      <c r="E121" s="56"/>
      <c r="F121" s="56"/>
      <c r="G121" s="44"/>
      <c r="H121" s="54"/>
      <c r="I121" s="54"/>
      <c r="J121" s="54"/>
      <c r="K121" s="54"/>
      <c r="L121" s="94"/>
      <c r="M121" s="81"/>
      <c r="N121" s="81"/>
      <c r="P121"/>
      <c r="Q121"/>
    </row>
    <row r="122" spans="3:17" x14ac:dyDescent="0.35">
      <c r="C122" s="96"/>
      <c r="D122" s="44"/>
      <c r="E122" s="56" t="str">
        <f>E65</f>
        <v>&gt;</v>
      </c>
      <c r="F122" s="56">
        <f>F65</f>
        <v>5</v>
      </c>
      <c r="G122" s="44"/>
      <c r="H122" s="95">
        <f>$I$109+L76</f>
        <v>33.840000000000003</v>
      </c>
      <c r="I122" s="54" t="s">
        <v>1121</v>
      </c>
      <c r="J122" s="95">
        <f>$I$109+N76</f>
        <v>18.98</v>
      </c>
      <c r="K122" s="54" t="s">
        <v>1108</v>
      </c>
      <c r="L122" s="94"/>
      <c r="M122" s="81">
        <f>ROUND(H122/H65-1,4)</f>
        <v>0</v>
      </c>
      <c r="N122" s="81">
        <f>ROUND(J122/J65-1,4)</f>
        <v>0</v>
      </c>
      <c r="P122"/>
      <c r="Q122"/>
    </row>
    <row r="123" spans="3:17" ht="14.25" customHeight="1" x14ac:dyDescent="0.35">
      <c r="C123" s="96"/>
      <c r="D123" s="44"/>
      <c r="E123" s="44"/>
      <c r="F123" s="44"/>
      <c r="G123" s="44"/>
      <c r="H123" s="10"/>
      <c r="I123" s="54"/>
      <c r="J123" s="10"/>
      <c r="K123" s="54"/>
      <c r="L123" s="94"/>
      <c r="M123" s="17"/>
      <c r="P123"/>
      <c r="Q123"/>
    </row>
    <row r="124" spans="3:17" x14ac:dyDescent="0.35">
      <c r="C124" s="96" t="s">
        <v>8</v>
      </c>
      <c r="D124" s="56">
        <f>D120</f>
        <v>0</v>
      </c>
      <c r="E124" s="56" t="str">
        <f>E120</f>
        <v>-</v>
      </c>
      <c r="F124" s="56">
        <f>F120</f>
        <v>5</v>
      </c>
      <c r="G124" s="44"/>
      <c r="H124" s="97">
        <f>ROUND(H115*(1+$I$34),2)</f>
        <v>139.91</v>
      </c>
      <c r="I124" s="54" t="s">
        <v>1119</v>
      </c>
      <c r="J124" s="97">
        <f>ROUND(J115*(1+$I$34),2)</f>
        <v>58.02</v>
      </c>
      <c r="K124" s="54" t="s">
        <v>1123</v>
      </c>
      <c r="L124" s="94"/>
      <c r="M124" s="81">
        <f>ROUND(H124/H67-1,4)</f>
        <v>0</v>
      </c>
      <c r="N124" s="81">
        <f>ROUND(J124/J67-1,4)</f>
        <v>0</v>
      </c>
      <c r="P124"/>
      <c r="Q124"/>
    </row>
    <row r="125" spans="3:17" x14ac:dyDescent="0.35">
      <c r="C125" s="96"/>
      <c r="D125" s="56"/>
      <c r="E125" s="56"/>
      <c r="F125" s="56"/>
      <c r="G125" s="44"/>
      <c r="H125" s="54"/>
      <c r="I125" s="54"/>
      <c r="J125" s="54"/>
      <c r="K125" s="54"/>
      <c r="L125" s="94"/>
      <c r="M125" s="81"/>
      <c r="N125" s="81"/>
      <c r="P125"/>
      <c r="Q125"/>
    </row>
    <row r="126" spans="3:17" x14ac:dyDescent="0.35">
      <c r="C126" s="96"/>
      <c r="D126" s="56"/>
      <c r="E126" s="56" t="str">
        <f>E122</f>
        <v>&gt;</v>
      </c>
      <c r="F126" s="56">
        <f>F122</f>
        <v>5</v>
      </c>
      <c r="G126" s="44"/>
      <c r="H126" s="95">
        <f>$I$109+L80</f>
        <v>25.29</v>
      </c>
      <c r="I126" s="54" t="s">
        <v>1122</v>
      </c>
      <c r="J126" s="95">
        <f>$I$109+N80</f>
        <v>10.450000000000001</v>
      </c>
      <c r="K126" s="54" t="s">
        <v>1124</v>
      </c>
      <c r="L126" s="94"/>
      <c r="M126" s="81">
        <f>ROUND(H126/H69-1,4)</f>
        <v>0</v>
      </c>
      <c r="N126" s="81">
        <f>ROUND(J126/J69-1,4)</f>
        <v>0</v>
      </c>
      <c r="P126"/>
      <c r="Q126"/>
    </row>
    <row r="127" spans="3:17" ht="15" thickBot="1" x14ac:dyDescent="0.4">
      <c r="C127" s="93"/>
      <c r="D127" s="46"/>
      <c r="E127" s="46"/>
      <c r="F127" s="46"/>
      <c r="G127" s="46"/>
      <c r="H127" s="46"/>
      <c r="I127" s="92"/>
      <c r="J127" s="46"/>
      <c r="K127" s="92"/>
      <c r="L127" s="91"/>
      <c r="M127" s="17"/>
      <c r="P127"/>
      <c r="Q127"/>
    </row>
    <row r="130" spans="1:17" x14ac:dyDescent="0.35">
      <c r="A130" s="42" t="s">
        <v>56</v>
      </c>
      <c r="B130" s="3"/>
      <c r="C130" s="3"/>
      <c r="D130" s="3"/>
      <c r="E130" s="3"/>
      <c r="F130" s="3"/>
      <c r="G130" s="3"/>
      <c r="H130" s="3"/>
      <c r="I130" s="3"/>
      <c r="P130"/>
      <c r="Q130"/>
    </row>
    <row r="131" spans="1:17" x14ac:dyDescent="0.35">
      <c r="A131" s="42"/>
      <c r="B131" s="3"/>
      <c r="C131" s="3"/>
      <c r="D131" s="3"/>
      <c r="E131" s="3"/>
      <c r="F131" s="3"/>
      <c r="G131" s="3"/>
      <c r="H131" s="3"/>
      <c r="I131" s="3"/>
      <c r="P131"/>
      <c r="Q131"/>
    </row>
    <row r="132" spans="1:17" x14ac:dyDescent="0.35">
      <c r="A132" s="42"/>
      <c r="B132" s="42" t="s">
        <v>55</v>
      </c>
      <c r="C132" s="3"/>
      <c r="D132" s="3"/>
      <c r="E132" s="3"/>
      <c r="F132" s="3"/>
      <c r="G132" s="3"/>
      <c r="H132" s="3"/>
      <c r="I132" s="3"/>
      <c r="P132"/>
      <c r="Q132"/>
    </row>
    <row r="133" spans="1:17" x14ac:dyDescent="0.35">
      <c r="A133" s="42"/>
      <c r="B133" s="41" t="str">
        <f>$A$4</f>
        <v>SC12 Rate I</v>
      </c>
      <c r="C133" s="3"/>
      <c r="D133" s="3"/>
      <c r="E133" s="3"/>
      <c r="F133" s="3"/>
      <c r="G133" s="3"/>
      <c r="H133" s="3"/>
      <c r="I133" s="3"/>
      <c r="P133"/>
      <c r="Q133"/>
    </row>
    <row r="134" spans="1:17" x14ac:dyDescent="0.35">
      <c r="A134" s="42"/>
      <c r="B134" s="3" t="s">
        <v>54</v>
      </c>
      <c r="C134" s="3"/>
      <c r="D134" s="3"/>
      <c r="E134" s="3"/>
      <c r="F134" s="3"/>
      <c r="G134" s="3"/>
      <c r="H134" s="3"/>
      <c r="I134" s="520">
        <f>M16</f>
        <v>2798501</v>
      </c>
      <c r="J134" s="61" t="s">
        <v>50</v>
      </c>
      <c r="L134" s="3"/>
      <c r="P134"/>
      <c r="Q134"/>
    </row>
    <row r="135" spans="1:17" x14ac:dyDescent="0.35">
      <c r="A135" s="42"/>
      <c r="B135" s="3" t="str">
        <f>CONCATENATE("Less: ",$L$5," Energy Revenues to Demand at Current Rates Level")</f>
        <v>Less: Shift of 0% Energy Revenues to Demand at Current Rates Level</v>
      </c>
      <c r="C135" s="3"/>
      <c r="D135" s="3"/>
      <c r="E135" s="3"/>
      <c r="F135" s="3"/>
      <c r="G135" s="3"/>
      <c r="H135" s="3"/>
      <c r="I135" s="520">
        <f>L17</f>
        <v>139925</v>
      </c>
      <c r="J135" s="61" t="s">
        <v>1125</v>
      </c>
      <c r="L135" s="3"/>
      <c r="P135"/>
      <c r="Q135"/>
    </row>
    <row r="136" spans="1:17" x14ac:dyDescent="0.35">
      <c r="A136" s="42"/>
      <c r="B136" s="3"/>
      <c r="C136" s="3"/>
      <c r="D136" s="3"/>
      <c r="E136" s="3"/>
      <c r="F136" s="3"/>
      <c r="G136" s="3"/>
      <c r="H136" s="3"/>
      <c r="J136" s="3"/>
      <c r="L136" s="3"/>
      <c r="P136"/>
      <c r="Q136"/>
    </row>
    <row r="137" spans="1:17" x14ac:dyDescent="0.35">
      <c r="A137" s="42"/>
      <c r="B137" s="3"/>
      <c r="C137" s="3"/>
      <c r="D137" s="3"/>
      <c r="E137" s="3"/>
      <c r="F137" s="3"/>
      <c r="G137" s="3"/>
      <c r="H137" s="3"/>
      <c r="I137" s="3"/>
      <c r="J137" s="3"/>
      <c r="L137" s="3"/>
      <c r="P137"/>
      <c r="Q137"/>
    </row>
    <row r="138" spans="1:17" x14ac:dyDescent="0.35">
      <c r="A138" s="42"/>
      <c r="B138" s="89" t="s">
        <v>52</v>
      </c>
      <c r="C138" s="3"/>
      <c r="D138" s="3"/>
      <c r="E138" s="3"/>
      <c r="F138" s="3"/>
      <c r="G138" s="3"/>
      <c r="H138" s="3"/>
      <c r="I138" s="32">
        <f>I134-I135+I136</f>
        <v>2658576</v>
      </c>
      <c r="J138" s="61" t="s">
        <v>1126</v>
      </c>
      <c r="L138" s="3"/>
      <c r="P138"/>
      <c r="Q138"/>
    </row>
    <row r="139" spans="1:17" x14ac:dyDescent="0.35">
      <c r="A139" s="42"/>
      <c r="B139" s="3"/>
      <c r="C139" s="3"/>
      <c r="D139" s="3"/>
      <c r="E139" s="3"/>
      <c r="F139" s="3"/>
      <c r="G139" s="3"/>
      <c r="H139" s="3"/>
      <c r="P139"/>
      <c r="Q139"/>
    </row>
    <row r="140" spans="1:17" x14ac:dyDescent="0.35">
      <c r="A140" s="42"/>
      <c r="B140" s="3"/>
      <c r="C140" s="3"/>
      <c r="D140" s="3"/>
      <c r="E140" s="3"/>
      <c r="F140" s="3"/>
      <c r="G140" s="3"/>
      <c r="H140" s="3"/>
      <c r="I140" s="3"/>
      <c r="P140"/>
      <c r="Q140"/>
    </row>
    <row r="141" spans="1:17" ht="15" thickBot="1" x14ac:dyDescent="0.4">
      <c r="P141"/>
      <c r="Q141"/>
    </row>
    <row r="142" spans="1:17" ht="15.5" thickTop="1" thickBot="1" x14ac:dyDescent="0.4">
      <c r="B142" s="41" t="str">
        <f>$A$4</f>
        <v>SC12 Rate I</v>
      </c>
      <c r="H142" s="1307" t="s">
        <v>51</v>
      </c>
      <c r="I142" s="1308"/>
      <c r="J142" s="1309"/>
      <c r="K142" s="3"/>
      <c r="L142" s="1310" t="s">
        <v>1128</v>
      </c>
      <c r="M142" s="1311"/>
      <c r="N142" s="1312"/>
      <c r="P142"/>
      <c r="Q142"/>
    </row>
    <row r="143" spans="1:17" ht="15" thickTop="1" x14ac:dyDescent="0.35">
      <c r="B143" s="3"/>
      <c r="H143" s="36" t="s">
        <v>10</v>
      </c>
      <c r="I143" s="3"/>
      <c r="J143" s="36" t="s">
        <v>7</v>
      </c>
      <c r="K143" s="3"/>
      <c r="L143" s="30" t="s">
        <v>42</v>
      </c>
      <c r="M143" s="86"/>
      <c r="N143" s="30" t="s">
        <v>40</v>
      </c>
      <c r="P143"/>
      <c r="Q143"/>
    </row>
    <row r="144" spans="1:17" x14ac:dyDescent="0.35">
      <c r="C144" s="3" t="s">
        <v>9</v>
      </c>
      <c r="H144" s="521">
        <f>G8</f>
        <v>1.72E-2</v>
      </c>
      <c r="I144" s="61" t="s">
        <v>47</v>
      </c>
      <c r="J144" s="521">
        <f>G9</f>
        <v>1.72E-2</v>
      </c>
      <c r="K144" s="61" t="s">
        <v>1127</v>
      </c>
      <c r="L144" s="204">
        <f>ROUND(H144/$J$144,2)</f>
        <v>1</v>
      </c>
      <c r="M144" s="61" t="s">
        <v>1131</v>
      </c>
      <c r="N144" s="84"/>
      <c r="O144" s="61" t="s">
        <v>1130</v>
      </c>
      <c r="P144"/>
      <c r="Q144"/>
    </row>
    <row r="145" spans="2:17" x14ac:dyDescent="0.35">
      <c r="C145" s="3"/>
      <c r="D145" s="3"/>
      <c r="E145" s="3"/>
      <c r="F145" s="3"/>
      <c r="H145" s="3"/>
      <c r="I145" s="61"/>
      <c r="J145" s="3"/>
      <c r="K145" s="61"/>
      <c r="L145" s="82"/>
      <c r="M145" s="61"/>
      <c r="N145" s="82"/>
      <c r="P145"/>
      <c r="Q145"/>
    </row>
    <row r="146" spans="2:17" x14ac:dyDescent="0.35">
      <c r="C146" s="3" t="s">
        <v>8</v>
      </c>
      <c r="H146" s="521">
        <f>G14</f>
        <v>1.72E-2</v>
      </c>
      <c r="I146" s="61" t="s">
        <v>53</v>
      </c>
      <c r="J146" s="521">
        <f>G15</f>
        <v>1.72E-2</v>
      </c>
      <c r="K146" s="61" t="s">
        <v>30</v>
      </c>
      <c r="L146" s="204">
        <f>ROUND(H146/$J$144,2)</f>
        <v>1</v>
      </c>
      <c r="M146" s="61" t="s">
        <v>1132</v>
      </c>
      <c r="N146" s="204">
        <f>ROUND(J146/$J$144,2)</f>
        <v>1</v>
      </c>
      <c r="O146" s="61" t="s">
        <v>1133</v>
      </c>
      <c r="P146"/>
      <c r="Q146"/>
    </row>
    <row r="147" spans="2:17" x14ac:dyDescent="0.35"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  <c r="P147"/>
      <c r="Q147"/>
    </row>
    <row r="148" spans="2:17" x14ac:dyDescent="0.35">
      <c r="C148" s="3" t="s">
        <v>9</v>
      </c>
      <c r="H148" s="36" t="str">
        <f>IF(L144=1,$J$148,CONCATENATE(L144," * ",$J$148))</f>
        <v>X</v>
      </c>
      <c r="I148" s="3"/>
      <c r="J148" s="80" t="s">
        <v>32</v>
      </c>
      <c r="K148" s="3"/>
      <c r="L148" s="3"/>
      <c r="M148" s="17"/>
      <c r="N148" s="3"/>
      <c r="P148"/>
      <c r="Q148"/>
    </row>
    <row r="149" spans="2:17" x14ac:dyDescent="0.35"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  <c r="P149"/>
      <c r="Q149"/>
    </row>
    <row r="150" spans="2:17" x14ac:dyDescent="0.35">
      <c r="C150" s="3" t="s">
        <v>8</v>
      </c>
      <c r="H150" s="36" t="str">
        <f>IF(L146=1,$J$148,CONCATENATE(L146," * ",$J$148))</f>
        <v>X</v>
      </c>
      <c r="I150" s="3"/>
      <c r="J150" s="36" t="str">
        <f>IF(N146=1,$J$148,CONCATENATE(N146," * ",$J$148))</f>
        <v>X</v>
      </c>
      <c r="K150" s="3"/>
      <c r="L150" s="3"/>
      <c r="M150" s="17"/>
      <c r="N150" s="3"/>
      <c r="P150"/>
      <c r="Q150"/>
    </row>
    <row r="151" spans="2:17" x14ac:dyDescent="0.35">
      <c r="H151" s="3"/>
      <c r="I151" s="3"/>
      <c r="J151" s="3"/>
      <c r="K151" s="3"/>
      <c r="L151" s="3"/>
      <c r="M151" s="3"/>
      <c r="N151" s="3"/>
      <c r="P151"/>
      <c r="Q151"/>
    </row>
    <row r="152" spans="2:17" x14ac:dyDescent="0.35">
      <c r="H152" s="3"/>
      <c r="I152" s="3"/>
      <c r="J152" s="3"/>
      <c r="K152" s="3"/>
      <c r="L152" s="3"/>
      <c r="M152" s="3"/>
      <c r="N152" s="3"/>
      <c r="P152"/>
      <c r="Q152"/>
    </row>
    <row r="153" spans="2:17" x14ac:dyDescent="0.35">
      <c r="B153" s="42" t="s">
        <v>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/>
      <c r="Q153"/>
    </row>
    <row r="154" spans="2:17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/>
      <c r="Q154"/>
    </row>
    <row r="155" spans="2:17" ht="15" thickBot="1" x14ac:dyDescent="0.4">
      <c r="B155" s="3"/>
      <c r="C155" s="75"/>
      <c r="E155" s="70" t="s">
        <v>45</v>
      </c>
      <c r="F155" s="70"/>
      <c r="G155" s="70"/>
      <c r="H155" s="3"/>
      <c r="I155" s="69" t="s">
        <v>44</v>
      </c>
      <c r="J155" s="3"/>
      <c r="K155" s="3"/>
      <c r="L155" s="3"/>
      <c r="P155"/>
      <c r="Q155"/>
    </row>
    <row r="156" spans="2:17" x14ac:dyDescent="0.35">
      <c r="B156" s="3"/>
      <c r="C156" s="3"/>
      <c r="E156" s="3" t="s">
        <v>43</v>
      </c>
      <c r="F156" s="3"/>
      <c r="G156" s="3"/>
      <c r="H156" s="3" t="s">
        <v>42</v>
      </c>
      <c r="I156" s="72">
        <f>$V$6</f>
        <v>39321291</v>
      </c>
      <c r="J156" s="36" t="s">
        <v>39</v>
      </c>
      <c r="K156" s="74" t="str">
        <f>CONCATENATE("[",$H$148,"]")</f>
        <v>[X]</v>
      </c>
      <c r="L156" s="61" t="s">
        <v>1129</v>
      </c>
      <c r="P156"/>
      <c r="Q156"/>
    </row>
    <row r="157" spans="2:17" x14ac:dyDescent="0.35">
      <c r="B157" s="3"/>
      <c r="C157" s="3"/>
      <c r="E157" s="3" t="s">
        <v>43</v>
      </c>
      <c r="F157" s="3"/>
      <c r="G157" s="3"/>
      <c r="H157" s="3" t="s">
        <v>40</v>
      </c>
      <c r="I157" s="72">
        <f>$V$11</f>
        <v>115292046</v>
      </c>
      <c r="J157" s="36" t="s">
        <v>39</v>
      </c>
      <c r="K157" s="73" t="str">
        <f>CONCATENATE("[",$J$148,"]")</f>
        <v>[X]</v>
      </c>
      <c r="L157" s="61" t="s">
        <v>1129</v>
      </c>
      <c r="P157"/>
      <c r="Q157"/>
    </row>
    <row r="158" spans="2:17" x14ac:dyDescent="0.35">
      <c r="B158" s="3"/>
      <c r="C158" s="3"/>
      <c r="E158" s="3" t="s">
        <v>41</v>
      </c>
      <c r="F158" s="3"/>
      <c r="G158" s="3"/>
      <c r="H158" s="3" t="s">
        <v>42</v>
      </c>
      <c r="I158" s="72">
        <f>$V$16</f>
        <v>0</v>
      </c>
      <c r="J158" s="36" t="s">
        <v>39</v>
      </c>
      <c r="K158" s="73" t="str">
        <f>CONCATENATE("[",H150,"]")</f>
        <v>[X]</v>
      </c>
      <c r="L158" s="61" t="s">
        <v>1129</v>
      </c>
      <c r="P158"/>
      <c r="Q158"/>
    </row>
    <row r="159" spans="2:17" ht="15" thickBot="1" x14ac:dyDescent="0.4">
      <c r="B159" s="3"/>
      <c r="C159" s="3"/>
      <c r="E159" s="3" t="s">
        <v>41</v>
      </c>
      <c r="F159" s="3"/>
      <c r="G159" s="3"/>
      <c r="H159" s="3" t="s">
        <v>40</v>
      </c>
      <c r="I159" s="72">
        <f>$V$21</f>
        <v>0</v>
      </c>
      <c r="J159" s="36" t="s">
        <v>39</v>
      </c>
      <c r="K159" s="71" t="str">
        <f>CONCATENATE("[",J150,"]")</f>
        <v>[X]</v>
      </c>
      <c r="L159" s="61" t="s">
        <v>1129</v>
      </c>
      <c r="P159"/>
      <c r="Q159"/>
    </row>
    <row r="162" spans="1:17" x14ac:dyDescent="0.35">
      <c r="A162" s="42"/>
      <c r="B162" s="70" t="s">
        <v>38</v>
      </c>
      <c r="C162" s="3"/>
      <c r="D162" s="3"/>
      <c r="E162" s="3"/>
      <c r="F162" s="3"/>
      <c r="G162" s="3"/>
      <c r="H162" s="3"/>
      <c r="P162"/>
      <c r="Q162"/>
    </row>
    <row r="163" spans="1:17" x14ac:dyDescent="0.35">
      <c r="A163" s="42"/>
      <c r="B163" s="41" t="str">
        <f>$A$4</f>
        <v>SC12 Rate I</v>
      </c>
      <c r="C163" s="3"/>
      <c r="D163" s="3"/>
      <c r="E163" s="3"/>
      <c r="F163" s="3"/>
      <c r="G163" s="3"/>
      <c r="I163" s="69" t="s">
        <v>25</v>
      </c>
      <c r="P163"/>
      <c r="Q163"/>
    </row>
    <row r="164" spans="1:17" x14ac:dyDescent="0.35">
      <c r="A164" s="42"/>
      <c r="B164" s="3" t="s">
        <v>37</v>
      </c>
      <c r="C164" s="3"/>
      <c r="D164" s="3"/>
      <c r="E164" s="3"/>
      <c r="F164" s="3"/>
      <c r="G164" s="3"/>
      <c r="I164" s="68">
        <f>$V$6</f>
        <v>39321291</v>
      </c>
      <c r="J164" s="65" t="s">
        <v>32</v>
      </c>
      <c r="K164" s="61" t="s">
        <v>1134</v>
      </c>
      <c r="P164"/>
      <c r="Q164"/>
    </row>
    <row r="165" spans="1:17" x14ac:dyDescent="0.35">
      <c r="A165" s="42"/>
      <c r="B165" s="3" t="s">
        <v>36</v>
      </c>
      <c r="C165" s="3"/>
      <c r="D165" s="3"/>
      <c r="E165" s="3"/>
      <c r="F165" s="3"/>
      <c r="G165" s="3"/>
      <c r="I165" s="68">
        <f>$V$11</f>
        <v>115292046</v>
      </c>
      <c r="J165" s="65" t="s">
        <v>32</v>
      </c>
      <c r="K165" s="61" t="s">
        <v>1135</v>
      </c>
      <c r="P165"/>
      <c r="Q165"/>
    </row>
    <row r="166" spans="1:17" x14ac:dyDescent="0.35">
      <c r="A166" s="42"/>
      <c r="B166" s="3" t="s">
        <v>35</v>
      </c>
      <c r="C166" s="3"/>
      <c r="D166" s="3"/>
      <c r="E166" s="3"/>
      <c r="F166" s="3"/>
      <c r="G166" s="3"/>
      <c r="I166" s="68">
        <f>$V$16</f>
        <v>0</v>
      </c>
      <c r="J166" s="65" t="s">
        <v>32</v>
      </c>
      <c r="K166" s="61" t="s">
        <v>1136</v>
      </c>
      <c r="P166"/>
      <c r="Q166"/>
    </row>
    <row r="167" spans="1:17" x14ac:dyDescent="0.35">
      <c r="A167" s="42"/>
      <c r="B167" s="3" t="s">
        <v>34</v>
      </c>
      <c r="C167" s="3"/>
      <c r="D167" s="3"/>
      <c r="E167" s="3"/>
      <c r="F167" s="3"/>
      <c r="G167" s="3"/>
      <c r="I167" s="67">
        <f>$V$21</f>
        <v>0</v>
      </c>
      <c r="J167" s="65" t="s">
        <v>32</v>
      </c>
      <c r="K167" s="61" t="s">
        <v>1137</v>
      </c>
      <c r="P167"/>
      <c r="Q167"/>
    </row>
    <row r="168" spans="1:17" x14ac:dyDescent="0.35">
      <c r="A168" s="42"/>
      <c r="B168" s="3" t="s">
        <v>33</v>
      </c>
      <c r="C168" s="3"/>
      <c r="D168" s="3"/>
      <c r="E168" s="3"/>
      <c r="G168" s="66">
        <f>I138</f>
        <v>2658576</v>
      </c>
      <c r="H168" s="63" t="s">
        <v>31</v>
      </c>
      <c r="I168" s="28">
        <f>SUM(I164:I167)</f>
        <v>154613337</v>
      </c>
      <c r="J168" s="65" t="s">
        <v>32</v>
      </c>
      <c r="K168" s="61" t="s">
        <v>1139</v>
      </c>
      <c r="P168"/>
      <c r="Q168"/>
    </row>
    <row r="169" spans="1:17" x14ac:dyDescent="0.35">
      <c r="A169" s="42"/>
      <c r="B169" s="3"/>
      <c r="C169" s="3"/>
      <c r="D169" s="3"/>
      <c r="E169" s="3"/>
      <c r="G169" s="3"/>
      <c r="H169" s="3"/>
      <c r="I169" s="3"/>
      <c r="J169" s="3"/>
      <c r="P169"/>
      <c r="Q169"/>
    </row>
    <row r="170" spans="1:17" x14ac:dyDescent="0.35">
      <c r="A170" s="42"/>
      <c r="B170" s="3"/>
      <c r="C170" s="3"/>
      <c r="D170" s="3"/>
      <c r="E170" s="3"/>
      <c r="G170" s="34">
        <f>G168</f>
        <v>2658576</v>
      </c>
      <c r="H170" s="63" t="s">
        <v>31</v>
      </c>
      <c r="I170" s="28">
        <f>I168</f>
        <v>154613337</v>
      </c>
      <c r="J170" s="65" t="s">
        <v>32</v>
      </c>
      <c r="K170" s="61" t="s">
        <v>1138</v>
      </c>
      <c r="P170"/>
      <c r="Q170"/>
    </row>
    <row r="171" spans="1:17" ht="15" thickBot="1" x14ac:dyDescent="0.4">
      <c r="A171" s="42"/>
      <c r="B171" s="3"/>
      <c r="C171" s="3"/>
      <c r="D171" s="3"/>
      <c r="E171" s="3"/>
      <c r="G171" s="3"/>
      <c r="H171" s="3"/>
      <c r="I171" s="3"/>
      <c r="P171"/>
      <c r="Q171"/>
    </row>
    <row r="172" spans="1:17" ht="15.5" thickTop="1" thickBot="1" x14ac:dyDescent="0.4">
      <c r="A172" s="42"/>
      <c r="B172" s="3"/>
      <c r="C172" s="3"/>
      <c r="D172" s="3"/>
      <c r="E172" s="3"/>
      <c r="G172" s="64" t="s">
        <v>32</v>
      </c>
      <c r="H172" s="63" t="s">
        <v>31</v>
      </c>
      <c r="I172" s="62">
        <f>ROUND(G170/I170,4)</f>
        <v>1.72E-2</v>
      </c>
      <c r="J172" s="61" t="s">
        <v>1141</v>
      </c>
      <c r="K172" s="597" t="s">
        <v>1140</v>
      </c>
      <c r="P172"/>
      <c r="Q172"/>
    </row>
    <row r="173" spans="1:17" ht="15.5" thickTop="1" thickBot="1" x14ac:dyDescent="0.4">
      <c r="A173" s="42"/>
      <c r="B173" s="3"/>
      <c r="C173" s="3"/>
      <c r="D173" s="3"/>
      <c r="E173" s="3"/>
      <c r="F173" s="3"/>
      <c r="G173" s="3"/>
      <c r="H173" s="3"/>
      <c r="I173" s="3"/>
      <c r="P173"/>
      <c r="Q173"/>
    </row>
    <row r="174" spans="1:17" ht="15" thickBot="1" x14ac:dyDescent="0.4">
      <c r="A174" s="42"/>
      <c r="B174" s="3"/>
      <c r="C174" s="3"/>
      <c r="D174" s="3"/>
      <c r="E174" s="3"/>
      <c r="F174" s="60"/>
      <c r="G174" s="59"/>
      <c r="H174" s="59"/>
      <c r="I174" s="59"/>
      <c r="J174" s="58"/>
      <c r="K174" s="58"/>
      <c r="L174" s="57"/>
      <c r="P174"/>
      <c r="Q174"/>
    </row>
    <row r="175" spans="1:17" ht="15.5" thickTop="1" thickBot="1" x14ac:dyDescent="0.4">
      <c r="F175" s="50"/>
      <c r="G175" s="44"/>
      <c r="H175" s="44"/>
      <c r="I175" s="1356" t="s">
        <v>29</v>
      </c>
      <c r="J175" s="1357"/>
      <c r="K175" s="1358"/>
      <c r="L175" s="48"/>
      <c r="P175"/>
      <c r="Q175"/>
    </row>
    <row r="176" spans="1:17" ht="15" thickTop="1" x14ac:dyDescent="0.35">
      <c r="F176" s="50"/>
      <c r="G176" s="44"/>
      <c r="H176" s="44"/>
      <c r="I176" s="56" t="s">
        <v>10</v>
      </c>
      <c r="J176" s="44"/>
      <c r="K176" s="56" t="s">
        <v>7</v>
      </c>
      <c r="L176" s="48"/>
      <c r="P176"/>
      <c r="Q176"/>
    </row>
    <row r="177" spans="1:17" x14ac:dyDescent="0.35">
      <c r="F177" s="50"/>
      <c r="G177" s="44"/>
      <c r="H177" s="44"/>
      <c r="I177" s="51"/>
      <c r="J177" s="52"/>
      <c r="K177" s="51"/>
      <c r="L177" s="48"/>
    </row>
    <row r="178" spans="1:17" x14ac:dyDescent="0.35">
      <c r="F178" s="50"/>
      <c r="G178" s="44" t="s">
        <v>9</v>
      </c>
      <c r="H178" s="44"/>
      <c r="I178" s="522">
        <f>ROUND($I$172*L144,4)</f>
        <v>1.72E-2</v>
      </c>
      <c r="J178" s="54" t="s">
        <v>1143</v>
      </c>
      <c r="K178" s="523">
        <f>I172</f>
        <v>1.72E-2</v>
      </c>
      <c r="L178" s="598" t="s">
        <v>1141</v>
      </c>
    </row>
    <row r="179" spans="1:17" x14ac:dyDescent="0.35">
      <c r="F179" s="50"/>
      <c r="G179" s="44"/>
      <c r="H179" s="44"/>
      <c r="I179" s="522"/>
      <c r="J179" s="52"/>
      <c r="K179" s="51"/>
      <c r="L179" s="48"/>
    </row>
    <row r="180" spans="1:17" x14ac:dyDescent="0.35">
      <c r="F180" s="50"/>
      <c r="G180" s="44" t="s">
        <v>8</v>
      </c>
      <c r="H180" s="44"/>
      <c r="I180" s="522">
        <f>ROUND($I$172*L146,4)</f>
        <v>1.72E-2</v>
      </c>
      <c r="J180" s="54" t="s">
        <v>1144</v>
      </c>
      <c r="K180" s="522">
        <f>ROUND($I$172*N146,4)</f>
        <v>1.72E-2</v>
      </c>
      <c r="L180" s="598" t="s">
        <v>1145</v>
      </c>
    </row>
    <row r="181" spans="1:17" ht="15" thickBot="1" x14ac:dyDescent="0.4">
      <c r="F181" s="47"/>
      <c r="G181" s="46"/>
      <c r="H181" s="46"/>
      <c r="I181" s="46"/>
      <c r="J181" s="46"/>
      <c r="K181" s="46"/>
      <c r="L181" s="45"/>
    </row>
    <row r="182" spans="1:17" x14ac:dyDescent="0.35">
      <c r="F182" s="43"/>
      <c r="G182" s="44"/>
      <c r="H182" s="44"/>
      <c r="I182" s="44"/>
      <c r="J182" s="44"/>
      <c r="K182" s="44"/>
      <c r="L182" s="43"/>
    </row>
    <row r="183" spans="1:17" x14ac:dyDescent="0.35">
      <c r="A183" s="42" t="s">
        <v>28</v>
      </c>
    </row>
    <row r="184" spans="1:17" x14ac:dyDescent="0.35">
      <c r="A184" s="42"/>
    </row>
    <row r="185" spans="1:17" x14ac:dyDescent="0.35">
      <c r="A185" s="42"/>
      <c r="B185" s="41" t="str">
        <f>$A$4</f>
        <v>SC12 Rate I</v>
      </c>
    </row>
    <row r="186" spans="1:17" x14ac:dyDescent="0.35">
      <c r="A186" s="3"/>
      <c r="B186" s="41" t="s">
        <v>5</v>
      </c>
      <c r="D186" s="1345">
        <f>L4</f>
        <v>2020</v>
      </c>
      <c r="E186" s="1345"/>
      <c r="F186" s="3"/>
      <c r="G186" s="3"/>
      <c r="H186" s="3"/>
      <c r="I186" s="3"/>
      <c r="J186" s="3"/>
      <c r="K186" s="3"/>
      <c r="L186" s="3"/>
      <c r="M186" s="17"/>
      <c r="N186" s="3"/>
      <c r="O186" s="3"/>
      <c r="P186" s="2"/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6" t="s">
        <v>10</v>
      </c>
      <c r="N187" s="3"/>
      <c r="O187" s="3"/>
      <c r="P187" s="2"/>
    </row>
    <row r="188" spans="1:17" x14ac:dyDescent="0.35">
      <c r="A188" s="3"/>
      <c r="B188" s="3"/>
      <c r="C188" s="3"/>
      <c r="D188" s="3"/>
      <c r="E188" s="3"/>
      <c r="F188" s="3"/>
      <c r="G188" s="3"/>
      <c r="H188" s="3"/>
      <c r="I188" s="3"/>
      <c r="K188" s="30" t="s">
        <v>15</v>
      </c>
      <c r="L188" s="3"/>
      <c r="M188" s="30" t="s">
        <v>14</v>
      </c>
      <c r="N188" s="3"/>
      <c r="O188" s="3"/>
      <c r="P188" s="2"/>
    </row>
    <row r="189" spans="1:17" x14ac:dyDescent="0.35">
      <c r="C189" s="31" t="s">
        <v>27</v>
      </c>
      <c r="D189" s="3"/>
      <c r="E189" s="3"/>
      <c r="F189" s="3"/>
      <c r="G189" s="30" t="s">
        <v>26</v>
      </c>
      <c r="H189" s="3"/>
      <c r="I189" s="30" t="s">
        <v>25</v>
      </c>
      <c r="J189" s="3"/>
      <c r="K189" s="30" t="s">
        <v>11</v>
      </c>
      <c r="L189" s="3"/>
      <c r="M189" s="30" t="s">
        <v>6</v>
      </c>
      <c r="N189" s="3"/>
      <c r="O189" s="3"/>
      <c r="P189" s="2"/>
      <c r="Q189" s="2"/>
    </row>
    <row r="190" spans="1:17" x14ac:dyDescent="0.35">
      <c r="B190" s="3"/>
      <c r="C190" s="3" t="s">
        <v>9</v>
      </c>
      <c r="D190" s="36">
        <f>D63</f>
        <v>0</v>
      </c>
      <c r="E190" s="36" t="str">
        <f>E63</f>
        <v>-</v>
      </c>
      <c r="F190" s="36">
        <f>F63</f>
        <v>5</v>
      </c>
      <c r="G190" s="29">
        <f>T6</f>
        <v>161</v>
      </c>
      <c r="H190" s="3"/>
      <c r="I190" s="29">
        <f>U6</f>
        <v>4560</v>
      </c>
      <c r="J190" s="3"/>
      <c r="K190" s="35">
        <f>H120</f>
        <v>187.11</v>
      </c>
      <c r="L190" s="3"/>
      <c r="M190" s="524">
        <f>ROUND(K190*(I190/F190),0)</f>
        <v>170644</v>
      </c>
      <c r="N190" s="3"/>
      <c r="O190" s="3"/>
      <c r="P190" s="2"/>
      <c r="Q190" s="2"/>
    </row>
    <row r="191" spans="1:17" x14ac:dyDescent="0.35">
      <c r="B191" s="3"/>
      <c r="C191" s="3"/>
      <c r="D191" s="36"/>
      <c r="E191" s="36" t="str">
        <f>E$65</f>
        <v>&gt;</v>
      </c>
      <c r="F191" s="36">
        <f>F$65</f>
        <v>5</v>
      </c>
      <c r="G191" s="29">
        <f>T7</f>
        <v>751</v>
      </c>
      <c r="H191" s="3"/>
      <c r="I191" s="29">
        <f>U7</f>
        <v>88600</v>
      </c>
      <c r="J191" s="3"/>
      <c r="K191" s="35">
        <f>H122</f>
        <v>33.840000000000003</v>
      </c>
      <c r="L191" s="3"/>
      <c r="M191" s="26">
        <f>ROUND(K191*I191,0)</f>
        <v>2998224</v>
      </c>
      <c r="N191" s="3"/>
      <c r="O191" s="3"/>
      <c r="P191" s="2"/>
      <c r="Q191" s="2"/>
    </row>
    <row r="192" spans="1:17" x14ac:dyDescent="0.35">
      <c r="B192" s="3"/>
      <c r="C192" s="3"/>
      <c r="D192" s="36"/>
      <c r="E192" s="36"/>
      <c r="F192" s="36"/>
      <c r="G192" s="38">
        <f>T8</f>
        <v>0</v>
      </c>
      <c r="H192" s="3"/>
      <c r="I192" s="38">
        <f>U8</f>
        <v>0</v>
      </c>
      <c r="J192" s="3"/>
      <c r="K192" s="35"/>
      <c r="L192" s="3"/>
      <c r="M192" s="37">
        <f>ROUND(K192*I192,0)</f>
        <v>0</v>
      </c>
      <c r="N192" s="3"/>
      <c r="O192" s="3"/>
      <c r="P192" s="2"/>
      <c r="Q192" s="2"/>
    </row>
    <row r="193" spans="2:17" x14ac:dyDescent="0.35">
      <c r="B193" s="3"/>
      <c r="C193" s="3"/>
      <c r="D193" s="36"/>
      <c r="E193" s="36"/>
      <c r="F193" s="36"/>
      <c r="G193" s="28">
        <f>G190+G191+G192</f>
        <v>912</v>
      </c>
      <c r="H193" s="3"/>
      <c r="I193" s="28">
        <f>I190+I191+I192</f>
        <v>93160</v>
      </c>
      <c r="J193" s="3"/>
      <c r="K193" s="35"/>
      <c r="L193" s="3"/>
      <c r="M193" s="34">
        <f>M190+M191+M192</f>
        <v>3168868</v>
      </c>
      <c r="N193" s="34"/>
      <c r="O193" s="36" t="s">
        <v>10</v>
      </c>
      <c r="P193" s="2"/>
      <c r="Q193" s="2"/>
    </row>
    <row r="194" spans="2:17" x14ac:dyDescent="0.35">
      <c r="B194" s="3"/>
      <c r="C194" s="3"/>
      <c r="D194" s="36"/>
      <c r="E194" s="36"/>
      <c r="F194" s="36"/>
      <c r="G194" s="28"/>
      <c r="H194" s="3"/>
      <c r="I194" s="28"/>
      <c r="J194" s="3"/>
      <c r="K194" s="35"/>
      <c r="L194" s="33" t="s">
        <v>22</v>
      </c>
      <c r="M194" s="34">
        <f>ROUND(M193*(O194-1),0)</f>
        <v>37773</v>
      </c>
      <c r="N194" s="33" t="s">
        <v>23</v>
      </c>
      <c r="O194" s="40">
        <f>L10</f>
        <v>1.0119199999999999</v>
      </c>
      <c r="P194" s="2"/>
      <c r="Q194" s="2"/>
    </row>
    <row r="195" spans="2:17" x14ac:dyDescent="0.35">
      <c r="B195" s="3"/>
      <c r="C195" s="3"/>
      <c r="D195" s="36"/>
      <c r="E195" s="36"/>
      <c r="F195" s="36"/>
      <c r="G195" s="28"/>
      <c r="H195" s="3"/>
      <c r="I195" s="28"/>
      <c r="J195" s="3"/>
      <c r="K195" s="35"/>
      <c r="L195" s="33" t="s">
        <v>21</v>
      </c>
      <c r="M195" s="32">
        <f>M193+M194</f>
        <v>3206641</v>
      </c>
      <c r="N195" s="8"/>
      <c r="O195" s="3"/>
      <c r="P195" s="2"/>
      <c r="Q195" s="2"/>
    </row>
    <row r="196" spans="2:17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</row>
    <row r="197" spans="2:17" x14ac:dyDescent="0.35">
      <c r="B197" s="3"/>
      <c r="C197" s="3" t="s">
        <v>8</v>
      </c>
      <c r="D197" s="36">
        <f>D190</f>
        <v>0</v>
      </c>
      <c r="E197" s="36" t="str">
        <f>E190</f>
        <v>-</v>
      </c>
      <c r="F197" s="36">
        <f>F190</f>
        <v>5</v>
      </c>
      <c r="G197" s="29">
        <f>T16</f>
        <v>0</v>
      </c>
      <c r="H197" s="3"/>
      <c r="I197" s="29">
        <f>U16</f>
        <v>0</v>
      </c>
      <c r="J197" s="3"/>
      <c r="K197" s="35">
        <f>H124</f>
        <v>139.91</v>
      </c>
      <c r="L197" s="3"/>
      <c r="M197" s="524">
        <f>ROUND(K197*(I197/F197),0)</f>
        <v>0</v>
      </c>
      <c r="N197" s="3"/>
      <c r="O197" s="3"/>
      <c r="P197" s="2"/>
      <c r="Q197" s="2"/>
    </row>
    <row r="198" spans="2:17" x14ac:dyDescent="0.35">
      <c r="B198" s="3"/>
      <c r="C198" s="3"/>
      <c r="D198" s="36"/>
      <c r="E198" s="36" t="str">
        <f>E191</f>
        <v>&gt;</v>
      </c>
      <c r="F198" s="36">
        <f>F191</f>
        <v>5</v>
      </c>
      <c r="G198" s="29">
        <f>T17</f>
        <v>0</v>
      </c>
      <c r="H198" s="3"/>
      <c r="I198" s="29">
        <f>U17</f>
        <v>0</v>
      </c>
      <c r="J198" s="3"/>
      <c r="K198" s="35">
        <f>H126</f>
        <v>25.29</v>
      </c>
      <c r="L198" s="3"/>
      <c r="M198" s="26">
        <f>ROUND(K198*I198,0)</f>
        <v>0</v>
      </c>
      <c r="N198" s="3"/>
      <c r="O198" s="3"/>
      <c r="P198" s="2"/>
      <c r="Q198" s="2"/>
    </row>
    <row r="199" spans="2:17" x14ac:dyDescent="0.35">
      <c r="B199" s="3"/>
      <c r="C199" s="3"/>
      <c r="D199" s="36"/>
      <c r="E199" s="36"/>
      <c r="F199" s="36"/>
      <c r="G199" s="38">
        <f>T18</f>
        <v>0</v>
      </c>
      <c r="H199" s="3"/>
      <c r="I199" s="38">
        <f>U18</f>
        <v>0</v>
      </c>
      <c r="J199" s="3"/>
      <c r="K199" s="35"/>
      <c r="L199" s="3"/>
      <c r="M199" s="37">
        <f>ROUND(K199*I199,0)</f>
        <v>0</v>
      </c>
      <c r="N199" s="3"/>
      <c r="O199" s="3"/>
      <c r="P199" s="2"/>
      <c r="Q199" s="2"/>
    </row>
    <row r="200" spans="2:17" x14ac:dyDescent="0.35">
      <c r="B200" s="3"/>
      <c r="C200" s="3"/>
      <c r="D200" s="36"/>
      <c r="E200" s="36"/>
      <c r="F200" s="36"/>
      <c r="G200" s="28">
        <f>G197+G198+G199</f>
        <v>0</v>
      </c>
      <c r="H200" s="3"/>
      <c r="I200" s="28">
        <f>I197+I198+I199</f>
        <v>0</v>
      </c>
      <c r="J200" s="3"/>
      <c r="K200" s="35"/>
      <c r="L200" s="3"/>
      <c r="M200" s="34">
        <f>M197+M198+M199</f>
        <v>0</v>
      </c>
      <c r="N200" s="3"/>
      <c r="O200" s="3"/>
      <c r="P200" s="2"/>
      <c r="Q200" s="2"/>
    </row>
    <row r="201" spans="2:17" x14ac:dyDescent="0.35">
      <c r="B201" s="3"/>
      <c r="C201" s="3"/>
      <c r="D201" s="36"/>
      <c r="E201" s="36"/>
      <c r="F201" s="36"/>
      <c r="G201" s="28"/>
      <c r="H201" s="3"/>
      <c r="I201" s="28"/>
      <c r="J201" s="3"/>
      <c r="K201" s="35"/>
      <c r="L201" s="33" t="s">
        <v>22</v>
      </c>
      <c r="M201" s="34">
        <f>ROUND(M200*(O194-1),0)</f>
        <v>0</v>
      </c>
      <c r="N201" s="3"/>
      <c r="O201" s="3"/>
      <c r="P201" s="2"/>
      <c r="Q201" s="2"/>
    </row>
    <row r="202" spans="2:17" x14ac:dyDescent="0.35">
      <c r="B202" s="3"/>
      <c r="C202" s="3"/>
      <c r="D202" s="36"/>
      <c r="E202" s="36"/>
      <c r="F202" s="36"/>
      <c r="G202" s="28"/>
      <c r="H202" s="3"/>
      <c r="I202" s="28"/>
      <c r="J202" s="3"/>
      <c r="K202" s="35"/>
      <c r="L202" s="33" t="s">
        <v>21</v>
      </c>
      <c r="M202" s="32">
        <f>M200+M201</f>
        <v>0</v>
      </c>
      <c r="N202" s="8"/>
      <c r="O202" s="3"/>
      <c r="P202" s="2"/>
      <c r="Q202" s="2"/>
    </row>
    <row r="203" spans="2:17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</row>
    <row r="204" spans="2:17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</row>
    <row r="205" spans="2:17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6" t="s">
        <v>7</v>
      </c>
      <c r="N205" s="17"/>
      <c r="O205" s="3"/>
      <c r="P205" s="2"/>
      <c r="Q205" s="2"/>
    </row>
    <row r="206" spans="2:17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0" t="s">
        <v>15</v>
      </c>
      <c r="L206" s="3"/>
      <c r="M206" s="30" t="s">
        <v>14</v>
      </c>
      <c r="N206" s="17"/>
      <c r="O206" s="3"/>
      <c r="P206" s="2"/>
      <c r="Q206" s="2"/>
    </row>
    <row r="207" spans="2:17" x14ac:dyDescent="0.35">
      <c r="C207" s="31" t="s">
        <v>24</v>
      </c>
      <c r="D207" s="3"/>
      <c r="E207" s="3"/>
      <c r="F207" s="3"/>
      <c r="G207" s="3"/>
      <c r="H207" s="3"/>
      <c r="I207" s="3"/>
      <c r="J207" s="3"/>
      <c r="K207" s="30" t="s">
        <v>11</v>
      </c>
      <c r="L207" s="3"/>
      <c r="M207" s="30" t="s">
        <v>6</v>
      </c>
      <c r="N207" s="17"/>
      <c r="O207" s="3"/>
      <c r="P207" s="2"/>
      <c r="Q207" s="2"/>
    </row>
    <row r="208" spans="2:17" x14ac:dyDescent="0.35">
      <c r="B208" s="3"/>
      <c r="C208" s="3" t="s">
        <v>9</v>
      </c>
      <c r="D208" s="36">
        <f>D190</f>
        <v>0</v>
      </c>
      <c r="E208" s="36" t="str">
        <f>E190</f>
        <v>-</v>
      </c>
      <c r="F208" s="36">
        <f>F190</f>
        <v>5</v>
      </c>
      <c r="G208" s="29">
        <f>T11</f>
        <v>210</v>
      </c>
      <c r="H208" s="3"/>
      <c r="I208" s="29">
        <f>U11</f>
        <v>9120</v>
      </c>
      <c r="J208" s="3"/>
      <c r="K208" s="35">
        <f>J120</f>
        <v>105.06</v>
      </c>
      <c r="L208" s="3"/>
      <c r="M208" s="524">
        <f>ROUND(K208*(I208/F208),0)</f>
        <v>191629</v>
      </c>
      <c r="N208" s="17"/>
      <c r="O208" s="3"/>
      <c r="P208" s="2"/>
      <c r="Q208" s="2"/>
    </row>
    <row r="209" spans="2:17" x14ac:dyDescent="0.35">
      <c r="B209" s="3"/>
      <c r="C209" s="3"/>
      <c r="D209" s="36"/>
      <c r="E209" s="36" t="str">
        <f>E191</f>
        <v>&gt;</v>
      </c>
      <c r="F209" s="36">
        <f>F191</f>
        <v>5</v>
      </c>
      <c r="G209" s="29">
        <f>T12</f>
        <v>1614</v>
      </c>
      <c r="H209" s="3"/>
      <c r="I209" s="29">
        <f>U12</f>
        <v>258373</v>
      </c>
      <c r="J209" s="3"/>
      <c r="K209" s="35">
        <f>J122</f>
        <v>18.98</v>
      </c>
      <c r="L209" s="3"/>
      <c r="M209" s="26">
        <f>ROUND(K209*I209,0)</f>
        <v>4903920</v>
      </c>
      <c r="N209" s="17"/>
      <c r="O209" s="3"/>
      <c r="P209" s="2"/>
      <c r="Q209" s="2"/>
    </row>
    <row r="210" spans="2:17" x14ac:dyDescent="0.35">
      <c r="B210" s="3"/>
      <c r="C210" s="3"/>
      <c r="D210" s="36"/>
      <c r="E210" s="36"/>
      <c r="F210" s="36"/>
      <c r="G210" s="38">
        <f>T13</f>
        <v>0</v>
      </c>
      <c r="H210" s="3"/>
      <c r="I210" s="38">
        <f>U13</f>
        <v>0</v>
      </c>
      <c r="J210" s="3"/>
      <c r="K210" s="35"/>
      <c r="L210" s="3"/>
      <c r="M210" s="37">
        <f>ROUND(K210*I210,0)</f>
        <v>0</v>
      </c>
      <c r="N210" s="17"/>
      <c r="O210" s="3"/>
      <c r="P210" s="2"/>
      <c r="Q210" s="2"/>
    </row>
    <row r="211" spans="2:17" x14ac:dyDescent="0.35">
      <c r="B211" s="3"/>
      <c r="C211" s="3"/>
      <c r="D211" s="36"/>
      <c r="E211" s="36"/>
      <c r="F211" s="36"/>
      <c r="G211" s="28">
        <f>G208+G209+G210</f>
        <v>1824</v>
      </c>
      <c r="H211" s="3"/>
      <c r="I211" s="28">
        <f>I208+I209+I210</f>
        <v>267493</v>
      </c>
      <c r="J211" s="3"/>
      <c r="K211" s="35"/>
      <c r="L211" s="3"/>
      <c r="M211" s="34">
        <f>M208+M209+M210</f>
        <v>5095549</v>
      </c>
      <c r="N211" s="3"/>
      <c r="O211" s="36" t="s">
        <v>7</v>
      </c>
      <c r="P211" s="2"/>
      <c r="Q211" s="2"/>
    </row>
    <row r="212" spans="2:17" x14ac:dyDescent="0.35">
      <c r="B212" s="3"/>
      <c r="C212" s="3"/>
      <c r="D212" s="36"/>
      <c r="E212" s="36"/>
      <c r="F212" s="36"/>
      <c r="G212" s="28"/>
      <c r="H212" s="3"/>
      <c r="I212" s="28"/>
      <c r="J212" s="3"/>
      <c r="K212" s="35"/>
      <c r="L212" s="33" t="s">
        <v>22</v>
      </c>
      <c r="M212" s="34">
        <f>ROUND(M211*(O212-1),0)</f>
        <v>54370</v>
      </c>
      <c r="N212" s="33" t="s">
        <v>23</v>
      </c>
      <c r="O212" s="40">
        <f>L11</f>
        <v>1.01067</v>
      </c>
      <c r="P212" s="2"/>
      <c r="Q212" s="2"/>
    </row>
    <row r="213" spans="2:17" x14ac:dyDescent="0.35">
      <c r="B213" s="3"/>
      <c r="C213" s="3"/>
      <c r="D213" s="36"/>
      <c r="E213" s="36"/>
      <c r="F213" s="36"/>
      <c r="G213" s="28"/>
      <c r="H213" s="3"/>
      <c r="I213" s="28"/>
      <c r="J213" s="3"/>
      <c r="K213" s="35"/>
      <c r="L213" s="33" t="s">
        <v>21</v>
      </c>
      <c r="M213" s="32">
        <f>M211+M212</f>
        <v>5149919</v>
      </c>
      <c r="N213" s="8"/>
      <c r="O213" s="3"/>
      <c r="P213" s="2"/>
      <c r="Q213" s="2"/>
    </row>
    <row r="214" spans="2:17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</row>
    <row r="215" spans="2:17" x14ac:dyDescent="0.35">
      <c r="B215" s="3"/>
      <c r="C215" s="3" t="s">
        <v>8</v>
      </c>
      <c r="D215" s="36">
        <f>D190</f>
        <v>0</v>
      </c>
      <c r="E215" s="36" t="str">
        <f>E190</f>
        <v>-</v>
      </c>
      <c r="F215" s="36">
        <f>F190</f>
        <v>5</v>
      </c>
      <c r="G215" s="29">
        <f>T21</f>
        <v>0</v>
      </c>
      <c r="H215" s="3"/>
      <c r="I215" s="29">
        <f>U21</f>
        <v>0</v>
      </c>
      <c r="J215" s="3"/>
      <c r="K215" s="35">
        <f>J124</f>
        <v>58.02</v>
      </c>
      <c r="L215" s="3"/>
      <c r="M215" s="524">
        <f>ROUND(K215*(I215/F215),0)</f>
        <v>0</v>
      </c>
      <c r="N215" s="17"/>
      <c r="O215" s="3"/>
      <c r="P215" s="2"/>
      <c r="Q215" s="2"/>
    </row>
    <row r="216" spans="2:17" x14ac:dyDescent="0.35">
      <c r="B216" s="3"/>
      <c r="C216" s="3"/>
      <c r="D216" s="36"/>
      <c r="E216" s="36" t="str">
        <f>E191</f>
        <v>&gt;</v>
      </c>
      <c r="F216" s="36">
        <f>F191</f>
        <v>5</v>
      </c>
      <c r="G216" s="29">
        <f>T22</f>
        <v>0</v>
      </c>
      <c r="H216" s="3"/>
      <c r="I216" s="29">
        <f>U22</f>
        <v>0</v>
      </c>
      <c r="J216" s="3"/>
      <c r="K216" s="35">
        <f>J126</f>
        <v>10.450000000000001</v>
      </c>
      <c r="L216" s="3"/>
      <c r="M216" s="26">
        <f>ROUND(K216*I216,0)</f>
        <v>0</v>
      </c>
      <c r="N216" s="17"/>
      <c r="O216" s="3"/>
      <c r="P216" s="2"/>
      <c r="Q216" s="2"/>
    </row>
    <row r="217" spans="2:17" x14ac:dyDescent="0.35">
      <c r="B217" s="3"/>
      <c r="C217" s="3"/>
      <c r="D217" s="36"/>
      <c r="E217" s="36"/>
      <c r="F217" s="36"/>
      <c r="G217" s="38">
        <f>T23</f>
        <v>0</v>
      </c>
      <c r="H217" s="3"/>
      <c r="I217" s="38">
        <f>U23</f>
        <v>0</v>
      </c>
      <c r="J217" s="3"/>
      <c r="K217" s="35"/>
      <c r="L217" s="3"/>
      <c r="M217" s="37">
        <f>ROUND(K217*I217,0)</f>
        <v>0</v>
      </c>
      <c r="N217" s="17"/>
      <c r="O217" s="3"/>
      <c r="P217" s="2"/>
      <c r="Q217" s="2"/>
    </row>
    <row r="218" spans="2:17" x14ac:dyDescent="0.35">
      <c r="B218" s="3"/>
      <c r="C218" s="3"/>
      <c r="D218" s="36"/>
      <c r="E218" s="36"/>
      <c r="F218" s="36"/>
      <c r="G218" s="28">
        <f>G215+G216+G217</f>
        <v>0</v>
      </c>
      <c r="H218" s="3"/>
      <c r="I218" s="28">
        <f>I215+I216+I217</f>
        <v>0</v>
      </c>
      <c r="J218" s="3"/>
      <c r="K218" s="35"/>
      <c r="L218" s="3"/>
      <c r="M218" s="34">
        <f>M215+M216+M217</f>
        <v>0</v>
      </c>
      <c r="N218" s="17"/>
      <c r="O218" s="3"/>
      <c r="P218" s="2"/>
      <c r="Q218" s="2"/>
    </row>
    <row r="219" spans="2:17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3" t="s">
        <v>22</v>
      </c>
      <c r="M219" s="34">
        <f>ROUND(M218*(O212-1),0)</f>
        <v>0</v>
      </c>
      <c r="N219" s="17"/>
      <c r="O219" s="3"/>
      <c r="P219" s="2"/>
      <c r="Q219" s="2"/>
    </row>
    <row r="220" spans="2:17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3" t="s">
        <v>21</v>
      </c>
      <c r="M220" s="32">
        <f>M218+M219</f>
        <v>0</v>
      </c>
      <c r="N220" s="8"/>
      <c r="O220" s="3"/>
      <c r="P220" s="2"/>
      <c r="Q220" s="2"/>
    </row>
    <row r="221" spans="2:17" ht="15" thickBot="1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2"/>
      <c r="Q221" s="2"/>
    </row>
    <row r="222" spans="2:17" ht="15.5" thickTop="1" thickBot="1" x14ac:dyDescent="0.4">
      <c r="B222" s="3"/>
      <c r="C222" s="25" t="str">
        <f>CONCATENATE($A$4," - Total Annual Demand Charge Incl EDB:")</f>
        <v>SC12 Rate I - Total Annual Demand Charge Incl EDB:</v>
      </c>
      <c r="D222" s="3"/>
      <c r="E222" s="3"/>
      <c r="F222" s="3"/>
      <c r="G222" s="3"/>
      <c r="H222" s="3"/>
      <c r="I222" s="3"/>
      <c r="J222" s="3"/>
      <c r="K222" s="3"/>
      <c r="L222" s="3"/>
      <c r="M222" s="519">
        <f>M195+M202+M213+M220</f>
        <v>8356560</v>
      </c>
      <c r="N222" s="17"/>
      <c r="O222" s="3"/>
      <c r="P222" s="2"/>
      <c r="Q222" s="2"/>
    </row>
    <row r="223" spans="2:17" ht="15" thickTop="1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7"/>
      <c r="O223" s="3"/>
      <c r="P223" s="2"/>
      <c r="Q223" s="2"/>
    </row>
    <row r="224" spans="2:17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0" t="s">
        <v>15</v>
      </c>
      <c r="L224" s="3"/>
      <c r="M224" s="30" t="s">
        <v>14</v>
      </c>
      <c r="N224" s="17"/>
      <c r="O224" s="3"/>
      <c r="P224" s="2"/>
      <c r="Q224" s="2"/>
    </row>
    <row r="225" spans="2:17" x14ac:dyDescent="0.35">
      <c r="B225" s="3"/>
      <c r="C225" s="31" t="s">
        <v>13</v>
      </c>
      <c r="D225" s="3"/>
      <c r="E225" s="3"/>
      <c r="F225" s="3"/>
      <c r="G225" s="3"/>
      <c r="H225" s="3"/>
      <c r="I225" s="30" t="s">
        <v>12</v>
      </c>
      <c r="J225" s="3"/>
      <c r="K225" s="30" t="s">
        <v>11</v>
      </c>
      <c r="L225" s="3"/>
      <c r="M225" s="30" t="s">
        <v>6</v>
      </c>
      <c r="N225" s="17"/>
      <c r="O225" s="3"/>
      <c r="P225" s="2"/>
      <c r="Q225" s="2"/>
    </row>
    <row r="226" spans="2:17" x14ac:dyDescent="0.35">
      <c r="B226" s="3"/>
      <c r="C226" s="3" t="s">
        <v>9</v>
      </c>
      <c r="D226" s="3" t="s">
        <v>10</v>
      </c>
      <c r="E226" s="3"/>
      <c r="F226" s="3"/>
      <c r="G226" s="3"/>
      <c r="H226" s="3"/>
      <c r="I226" s="29">
        <f>V6</f>
        <v>39321291</v>
      </c>
      <c r="J226" s="3"/>
      <c r="K226" s="27">
        <f>I178</f>
        <v>1.72E-2</v>
      </c>
      <c r="L226" s="3"/>
      <c r="M226" s="26">
        <f>ROUND(I226*K226,0)</f>
        <v>676326</v>
      </c>
      <c r="N226" s="17"/>
      <c r="O226" s="3"/>
      <c r="P226" s="2"/>
      <c r="Q226" s="2"/>
    </row>
    <row r="227" spans="2:17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  <c r="Q227" s="2"/>
    </row>
    <row r="228" spans="2:17" x14ac:dyDescent="0.35">
      <c r="B228" s="3"/>
      <c r="C228" s="3" t="s">
        <v>8</v>
      </c>
      <c r="D228" s="3" t="s">
        <v>10</v>
      </c>
      <c r="E228" s="3"/>
      <c r="F228" s="3"/>
      <c r="G228" s="3"/>
      <c r="H228" s="3"/>
      <c r="I228" s="28">
        <f>V16</f>
        <v>0</v>
      </c>
      <c r="J228" s="3"/>
      <c r="K228" s="27">
        <f>I180</f>
        <v>1.72E-2</v>
      </c>
      <c r="L228" s="3"/>
      <c r="M228" s="26">
        <f>ROUND(I228*K228,0)</f>
        <v>0</v>
      </c>
      <c r="N228" s="17"/>
      <c r="O228" s="3"/>
      <c r="P228" s="2"/>
      <c r="Q228" s="2"/>
    </row>
    <row r="229" spans="2:17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  <c r="Q229" s="2"/>
    </row>
    <row r="230" spans="2:17" x14ac:dyDescent="0.35">
      <c r="B230" s="3"/>
      <c r="C230" s="3" t="s">
        <v>9</v>
      </c>
      <c r="D230" s="3" t="s">
        <v>7</v>
      </c>
      <c r="E230" s="3"/>
      <c r="F230" s="3"/>
      <c r="G230" s="3"/>
      <c r="H230" s="3"/>
      <c r="I230" s="28">
        <f>V11</f>
        <v>115292046</v>
      </c>
      <c r="J230" s="3"/>
      <c r="K230" s="27">
        <f>K178</f>
        <v>1.72E-2</v>
      </c>
      <c r="L230" s="3"/>
      <c r="M230" s="26">
        <f>ROUND(I230*K230,0)</f>
        <v>1983023</v>
      </c>
      <c r="N230" s="17"/>
      <c r="O230" s="3"/>
      <c r="P230" s="2"/>
      <c r="Q230" s="2"/>
    </row>
    <row r="231" spans="2:17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</row>
    <row r="232" spans="2:17" x14ac:dyDescent="0.35">
      <c r="B232" s="3"/>
      <c r="C232" s="3" t="s">
        <v>8</v>
      </c>
      <c r="D232" s="3" t="s">
        <v>7</v>
      </c>
      <c r="E232" s="3"/>
      <c r="F232" s="3"/>
      <c r="G232" s="3"/>
      <c r="H232" s="3"/>
      <c r="I232" s="28">
        <f>V21</f>
        <v>0</v>
      </c>
      <c r="J232" s="3"/>
      <c r="K232" s="27">
        <f>K180</f>
        <v>1.72E-2</v>
      </c>
      <c r="L232" s="3"/>
      <c r="M232" s="26">
        <f>ROUND(I232*K232,0)</f>
        <v>0</v>
      </c>
      <c r="N232" s="17"/>
      <c r="O232" s="3"/>
      <c r="P232" s="2"/>
      <c r="Q232" s="2"/>
    </row>
    <row r="233" spans="2:17" ht="15" thickBot="1" x14ac:dyDescent="0.4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3"/>
      <c r="P233" s="2"/>
      <c r="Q233" s="2"/>
    </row>
    <row r="234" spans="2:17" ht="15.5" thickTop="1" thickBot="1" x14ac:dyDescent="0.4">
      <c r="B234" s="3"/>
      <c r="C234" s="25" t="str">
        <f>CONCATENATE($A$4," - Total Annual Energy Charge:")</f>
        <v>SC12 Rate I - Total Annual Energy Charge:</v>
      </c>
      <c r="D234" s="3"/>
      <c r="E234" s="3"/>
      <c r="F234" s="3"/>
      <c r="G234" s="3"/>
      <c r="H234" s="3"/>
      <c r="I234" s="3"/>
      <c r="J234" s="3"/>
      <c r="K234" s="3"/>
      <c r="L234" s="3"/>
      <c r="M234" s="519">
        <f>M226+M228+M230+M232</f>
        <v>2659349</v>
      </c>
      <c r="N234" s="17"/>
      <c r="O234" s="3"/>
      <c r="P234" s="2"/>
      <c r="Q234" s="2"/>
    </row>
    <row r="235" spans="2:17" ht="15.5" thickTop="1" thickBot="1" x14ac:dyDescent="0.4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7"/>
      <c r="O235" s="3"/>
      <c r="P235" s="2"/>
      <c r="Q235" s="2"/>
    </row>
    <row r="236" spans="2:17" ht="15.5" thickTop="1" thickBot="1" x14ac:dyDescent="0.4">
      <c r="B236" s="3"/>
      <c r="C236" s="25" t="str">
        <f>CONCATENATE($A$4," - Total Charge Price-Out at Proposed Rates:")</f>
        <v>SC12 Rate I - Total Charge Price-Out at Proposed Rates:</v>
      </c>
      <c r="D236" s="3"/>
      <c r="E236" s="3"/>
      <c r="F236" s="3"/>
      <c r="G236" s="3"/>
      <c r="H236" s="3"/>
      <c r="I236" s="3"/>
      <c r="J236" s="3"/>
      <c r="K236" s="3"/>
      <c r="L236" s="3"/>
      <c r="M236" s="519">
        <f>M222+M234</f>
        <v>11015909</v>
      </c>
      <c r="N236" s="8"/>
      <c r="O236" s="3"/>
      <c r="P236" s="2"/>
      <c r="Q236" s="2"/>
    </row>
    <row r="237" spans="2:17" ht="15.5" thickTop="1" thickBot="1" x14ac:dyDescent="0.4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3"/>
      <c r="P237" s="2"/>
      <c r="Q237" s="2"/>
    </row>
    <row r="238" spans="2:17" x14ac:dyDescent="0.35">
      <c r="B238" s="3"/>
      <c r="C238" s="23" t="str">
        <f>$A$4</f>
        <v>SC12 Rate I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1" t="s">
        <v>6</v>
      </c>
      <c r="N238" s="557"/>
      <c r="O238" s="2"/>
      <c r="P238" s="2"/>
      <c r="Q238" s="2"/>
    </row>
    <row r="239" spans="2:17" x14ac:dyDescent="0.35">
      <c r="B239" s="3"/>
      <c r="C239" s="11" t="s">
        <v>5</v>
      </c>
      <c r="D239" s="1350">
        <f>L4</f>
        <v>2020</v>
      </c>
      <c r="E239" s="1350"/>
      <c r="F239" s="1350"/>
      <c r="G239" s="10"/>
      <c r="H239" s="10"/>
      <c r="I239" s="10"/>
      <c r="J239" s="10"/>
      <c r="K239" s="10"/>
      <c r="L239" s="10"/>
      <c r="M239" s="13"/>
      <c r="N239" s="558"/>
      <c r="O239" s="2"/>
      <c r="P239" s="2"/>
      <c r="Q239" s="2"/>
    </row>
    <row r="240" spans="2:17" x14ac:dyDescent="0.35">
      <c r="B240" s="3"/>
      <c r="C240" s="20" t="s">
        <v>4</v>
      </c>
      <c r="D240" s="19"/>
      <c r="E240" s="19"/>
      <c r="F240" s="19"/>
      <c r="G240" s="10"/>
      <c r="H240" s="10"/>
      <c r="I240" s="10"/>
      <c r="J240" s="10"/>
      <c r="K240" s="10"/>
      <c r="L240" s="10"/>
      <c r="M240" s="12">
        <f>M236</f>
        <v>11015909</v>
      </c>
      <c r="N240" s="559"/>
      <c r="O240" s="2"/>
      <c r="P240" s="2"/>
      <c r="Q240" s="2"/>
    </row>
    <row r="241" spans="1:17" x14ac:dyDescent="0.35">
      <c r="B241" s="3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18"/>
      <c r="N241" s="558"/>
      <c r="O241" s="2"/>
      <c r="P241" s="2"/>
      <c r="Q241" s="2"/>
    </row>
    <row r="242" spans="1:17" x14ac:dyDescent="0.35">
      <c r="B242" s="3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88"/>
      <c r="N242" s="559"/>
      <c r="O242" s="2"/>
      <c r="P242" s="2"/>
      <c r="Q242" s="2"/>
    </row>
    <row r="243" spans="1:17" x14ac:dyDescent="0.35">
      <c r="B243" s="3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2">
        <f>M240+M241+M242</f>
        <v>11015909</v>
      </c>
      <c r="N243" s="559"/>
      <c r="O243" s="3"/>
      <c r="P243" s="2"/>
      <c r="Q243" s="2"/>
    </row>
    <row r="244" spans="1:17" x14ac:dyDescent="0.35">
      <c r="B244" s="3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3"/>
      <c r="N244" s="559"/>
      <c r="O244" s="3"/>
      <c r="P244" s="2"/>
      <c r="Q244" s="2"/>
    </row>
    <row r="245" spans="1:17" x14ac:dyDescent="0.35">
      <c r="B245" s="3"/>
      <c r="C245" s="11"/>
      <c r="D245" s="10" t="s">
        <v>2</v>
      </c>
      <c r="E245" s="10"/>
      <c r="F245" s="10"/>
      <c r="G245" s="10"/>
      <c r="H245" s="10"/>
      <c r="I245" s="10"/>
      <c r="J245" s="10"/>
      <c r="K245" s="10"/>
      <c r="L245" s="10"/>
      <c r="M245" s="282">
        <f>L19</f>
        <v>11014263</v>
      </c>
      <c r="N245" s="559"/>
      <c r="O245" s="3"/>
      <c r="P245" s="2"/>
      <c r="Q245" s="2"/>
    </row>
    <row r="246" spans="1:17" x14ac:dyDescent="0.35">
      <c r="B246" s="3"/>
      <c r="C246" s="11"/>
      <c r="D246" s="10" t="s">
        <v>1</v>
      </c>
      <c r="E246" s="10"/>
      <c r="F246" s="10"/>
      <c r="G246" s="10"/>
      <c r="H246" s="10"/>
      <c r="I246" s="10"/>
      <c r="J246" s="10"/>
      <c r="K246" s="10"/>
      <c r="L246" s="10"/>
      <c r="M246" s="12">
        <f>M243-M245</f>
        <v>1646</v>
      </c>
      <c r="N246" s="559"/>
      <c r="O246" s="3"/>
      <c r="P246" s="2"/>
      <c r="Q246" s="2"/>
    </row>
    <row r="247" spans="1:17" x14ac:dyDescent="0.35">
      <c r="B247" s="3"/>
      <c r="C247" s="11"/>
      <c r="D247" s="10" t="s">
        <v>0</v>
      </c>
      <c r="E247" s="10"/>
      <c r="F247" s="10"/>
      <c r="G247" s="10"/>
      <c r="H247" s="10"/>
      <c r="I247" s="10"/>
      <c r="J247" s="10"/>
      <c r="K247" s="10"/>
      <c r="L247" s="10"/>
      <c r="M247" s="9">
        <f>M243/M245-1</f>
        <v>1.4944259093874201E-4</v>
      </c>
      <c r="N247" s="559"/>
      <c r="O247" s="3"/>
      <c r="P247" s="2"/>
      <c r="Q247" s="2"/>
    </row>
    <row r="248" spans="1:17" ht="15" thickBot="1" x14ac:dyDescent="0.4">
      <c r="B248" s="3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60"/>
      <c r="O248" s="3"/>
      <c r="P248" s="2"/>
      <c r="Q248" s="2"/>
    </row>
    <row r="249" spans="1:17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</row>
    <row r="250" spans="1:17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</row>
    <row r="251" spans="1:17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</row>
    <row r="252" spans="1:17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</row>
    <row r="253" spans="1:17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N253" s="3"/>
      <c r="O253" s="3"/>
      <c r="P253" s="2"/>
    </row>
  </sheetData>
  <mergeCells count="12">
    <mergeCell ref="L142:N142"/>
    <mergeCell ref="I175:K175"/>
    <mergeCell ref="H118:J118"/>
    <mergeCell ref="M118:N118"/>
    <mergeCell ref="H61:J61"/>
    <mergeCell ref="L61:N61"/>
    <mergeCell ref="L72:N72"/>
    <mergeCell ref="D186:E186"/>
    <mergeCell ref="D239:F239"/>
    <mergeCell ref="D112:F112"/>
    <mergeCell ref="H112:J112"/>
    <mergeCell ref="H142:J142"/>
  </mergeCells>
  <printOptions horizontalCentered="1"/>
  <pageMargins left="0.2" right="0.2" top="0.5" bottom="0.5" header="0.3" footer="0.3"/>
  <pageSetup scale="45" orientation="landscape" r:id="rId1"/>
  <headerFooter>
    <oddFooter>&amp;C&amp;Z&amp;F (Tab: &amp;A)&amp;RPage &amp;P / &amp;N</oddFooter>
  </headerFooter>
  <rowBreaks count="3" manualBreakCount="3">
    <brk id="81" max="16383" man="1"/>
    <brk id="161" max="16383" man="1"/>
    <brk id="237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9">
    <pageSetUpPr fitToPage="1"/>
  </sheetPr>
  <dimension ref="A1:L23"/>
  <sheetViews>
    <sheetView workbookViewId="0">
      <selection activeCell="K18" sqref="K18"/>
    </sheetView>
  </sheetViews>
  <sheetFormatPr defaultRowHeight="14.5" x14ac:dyDescent="0.35"/>
  <cols>
    <col min="1" max="1" width="18.7265625" customWidth="1"/>
    <col min="2" max="2" width="13.1796875" customWidth="1"/>
    <col min="3" max="3" width="20.453125" customWidth="1"/>
    <col min="4" max="11" width="14.7265625" customWidth="1"/>
    <col min="17" max="17" width="16.453125" customWidth="1"/>
  </cols>
  <sheetData>
    <row r="1" spans="1:12" ht="18.5" x14ac:dyDescent="0.45">
      <c r="A1" s="189" t="s">
        <v>2244</v>
      </c>
    </row>
    <row r="2" spans="1:12" x14ac:dyDescent="0.35">
      <c r="A2" s="480" t="s">
        <v>806</v>
      </c>
      <c r="B2" s="771">
        <f>'7A.)CustCharge_Summary'!B2</f>
        <v>2017</v>
      </c>
    </row>
    <row r="3" spans="1:12" x14ac:dyDescent="0.35">
      <c r="A3" s="480" t="s">
        <v>296</v>
      </c>
      <c r="B3" s="771">
        <f>'7A.)CustCharge_Summary'!B3</f>
        <v>2019</v>
      </c>
    </row>
    <row r="4" spans="1:12" x14ac:dyDescent="0.35">
      <c r="A4" s="480" t="s">
        <v>805</v>
      </c>
      <c r="B4" s="771">
        <f>'7A.)CustCharge_Summary'!B4</f>
        <v>2020</v>
      </c>
      <c r="C4" t="s">
        <v>1180</v>
      </c>
    </row>
    <row r="6" spans="1:12" x14ac:dyDescent="0.35">
      <c r="A6" s="623" t="s">
        <v>1181</v>
      </c>
      <c r="D6" s="428" t="s">
        <v>639</v>
      </c>
      <c r="E6" s="428" t="s">
        <v>687</v>
      </c>
      <c r="F6" s="428" t="s">
        <v>690</v>
      </c>
      <c r="G6" s="428" t="s">
        <v>713</v>
      </c>
      <c r="H6" s="428" t="s">
        <v>714</v>
      </c>
      <c r="I6" s="428" t="s">
        <v>716</v>
      </c>
      <c r="J6" s="428" t="s">
        <v>739</v>
      </c>
      <c r="K6" s="428" t="s">
        <v>740</v>
      </c>
    </row>
    <row r="7" spans="1:12" ht="16.5" x14ac:dyDescent="0.35">
      <c r="A7" s="624" t="s">
        <v>1330</v>
      </c>
      <c r="D7" s="682">
        <f>ROUND('[3]2017 Customer Costs'!$K$22,2)</f>
        <v>322.99</v>
      </c>
      <c r="E7" s="682">
        <f>ROUND('[3]2017 Customer Costs'!$N$22,2)</f>
        <v>2615.39</v>
      </c>
      <c r="F7" s="682">
        <f>ROUND('[3]2017 Customer Costs'!$P$22,2)</f>
        <v>2893.24</v>
      </c>
      <c r="G7" s="682">
        <f>ROUND('[3]2017 Customer Costs'!$R$22,2)</f>
        <v>1117.17</v>
      </c>
      <c r="H7" s="682">
        <f>ROUND('[3]2017 Customer Costs'!$S$22,2)</f>
        <v>1949.29</v>
      </c>
      <c r="I7" s="682">
        <f>ROUND('[3]2017 Customer Costs'!$M$22,2)</f>
        <v>695.55</v>
      </c>
      <c r="J7" s="682">
        <f>ROUND('[3]2017 Customer Costs'!$O$22,2)</f>
        <v>246.11</v>
      </c>
      <c r="K7" s="682">
        <f>ROUND('[3]2017 Customer Costs'!$Q$22,2)</f>
        <v>310.61</v>
      </c>
      <c r="L7" s="529"/>
    </row>
    <row r="8" spans="1:12" ht="17" thickBot="1" x14ac:dyDescent="0.4">
      <c r="A8" t="s">
        <v>1329</v>
      </c>
      <c r="D8" s="682">
        <f>'7B.)CustCharge_RateDesign'!E15</f>
        <v>1.2</v>
      </c>
      <c r="E8" s="682">
        <f>$D8</f>
        <v>1.2</v>
      </c>
      <c r="F8" s="682">
        <f t="shared" ref="F8:K8" si="0">$D8</f>
        <v>1.2</v>
      </c>
      <c r="G8" s="682">
        <f t="shared" si="0"/>
        <v>1.2</v>
      </c>
      <c r="H8" s="682">
        <f t="shared" si="0"/>
        <v>1.2</v>
      </c>
      <c r="I8" s="682">
        <f t="shared" si="0"/>
        <v>1.2</v>
      </c>
      <c r="J8" s="682">
        <f t="shared" si="0"/>
        <v>1.2</v>
      </c>
      <c r="K8" s="682">
        <f t="shared" si="0"/>
        <v>1.2</v>
      </c>
      <c r="L8" s="529"/>
    </row>
    <row r="9" spans="1:12" ht="15.5" thickTop="1" thickBot="1" x14ac:dyDescent="0.4">
      <c r="A9" t="s">
        <v>1331</v>
      </c>
      <c r="D9" s="1179">
        <f>D7-D8</f>
        <v>321.79000000000002</v>
      </c>
      <c r="E9" s="1179">
        <f t="shared" ref="E9:K9" si="1">E7-E8</f>
        <v>2614.19</v>
      </c>
      <c r="F9" s="1179">
        <f t="shared" si="1"/>
        <v>2892.04</v>
      </c>
      <c r="G9" s="1179">
        <f t="shared" si="1"/>
        <v>1115.97</v>
      </c>
      <c r="H9" s="1179">
        <f t="shared" si="1"/>
        <v>1948.09</v>
      </c>
      <c r="I9" s="1179">
        <f t="shared" si="1"/>
        <v>694.34999999999991</v>
      </c>
      <c r="J9" s="1179">
        <f t="shared" si="1"/>
        <v>244.91000000000003</v>
      </c>
      <c r="K9" s="1179">
        <f t="shared" si="1"/>
        <v>309.41000000000003</v>
      </c>
      <c r="L9" s="529"/>
    </row>
    <row r="10" spans="1:12" ht="15" thickTop="1" x14ac:dyDescent="0.35"/>
    <row r="11" spans="1:12" x14ac:dyDescent="0.35">
      <c r="A11" t="s">
        <v>2246</v>
      </c>
      <c r="D11" s="682">
        <f>'[2]3A.)Metering_RateSummary'!C12+'[2]3A.)Metering_RateSummary'!C28+'[2]3A.)Metering_RateSummary'!C44</f>
        <v>143.09</v>
      </c>
      <c r="E11" s="682">
        <f>'[2]3A.)Metering_RateSummary'!C14+'[2]3A.)Metering_RateSummary'!C30+'[2]3A.)Metering_RateSummary'!C46</f>
        <v>143.09</v>
      </c>
      <c r="F11" s="682">
        <f>'[2]3A.)Metering_RateSummary'!C16+'[2]3A.)Metering_RateSummary'!C32+'[2]3A.)Metering_RateSummary'!C48</f>
        <v>143.09</v>
      </c>
      <c r="G11" s="682">
        <f>'[2]3A.)Metering_RateSummary'!C18+'[2]3A.)Metering_RateSummary'!C34+'[2]3A.)Metering_RateSummary'!C50</f>
        <v>143.09</v>
      </c>
      <c r="H11" s="682">
        <f>'[2]3A.)Metering_RateSummary'!C19+'[2]3A.)Metering_RateSummary'!C35+'[2]3A.)Metering_RateSummary'!C51</f>
        <v>143.09</v>
      </c>
      <c r="I11" s="682">
        <f>'[2]3A.)Metering_RateSummary'!C13+'[2]3A.)Metering_RateSummary'!C29+'[2]3A.)Metering_RateSummary'!C45</f>
        <v>11</v>
      </c>
      <c r="J11" s="682">
        <f>'[2]3A.)Metering_RateSummary'!C15+'[2]3A.)Metering_RateSummary'!C31+'[2]3A.)Metering_RateSummary'!C47</f>
        <v>6.6300000000000008</v>
      </c>
      <c r="K11" s="682">
        <f>'[2]3A.)Metering_RateSummary'!C17+'[2]3A.)Metering_RateSummary'!C33+'[2]3A.)Metering_RateSummary'!C49</f>
        <v>14.52</v>
      </c>
    </row>
    <row r="12" spans="1:12" ht="15" thickBot="1" x14ac:dyDescent="0.4"/>
    <row r="13" spans="1:12" ht="15" thickBot="1" x14ac:dyDescent="0.4">
      <c r="A13" s="1" t="s">
        <v>2281</v>
      </c>
      <c r="B13" s="1"/>
      <c r="C13" s="570" t="s">
        <v>2247</v>
      </c>
      <c r="D13" s="1261">
        <f>D11</f>
        <v>143.09</v>
      </c>
      <c r="E13" s="1261">
        <f t="shared" ref="E13:H13" si="2">E11</f>
        <v>143.09</v>
      </c>
      <c r="F13" s="1261">
        <f t="shared" si="2"/>
        <v>143.09</v>
      </c>
      <c r="G13" s="1261">
        <f t="shared" si="2"/>
        <v>143.09</v>
      </c>
      <c r="H13" s="1261">
        <f t="shared" si="2"/>
        <v>143.09</v>
      </c>
      <c r="I13" s="1261">
        <f>'[2]3A.)Metering_RateSummary'!$Q$22</f>
        <v>12.45</v>
      </c>
      <c r="J13" s="1261">
        <f>'[2]3A.)Metering_RateSummary'!$Q$22</f>
        <v>12.45</v>
      </c>
      <c r="K13" s="1261">
        <f>'[2]3A.)Metering_RateSummary'!$Q$22</f>
        <v>12.45</v>
      </c>
    </row>
    <row r="15" spans="1:12" x14ac:dyDescent="0.35">
      <c r="A15" s="1" t="s">
        <v>2248</v>
      </c>
      <c r="B15" s="1"/>
      <c r="C15" s="1"/>
      <c r="D15" s="682">
        <f>IF('[2]3A.)Metering_RateSummary'!$D$10="N",D13,0)</f>
        <v>143.09</v>
      </c>
      <c r="E15" s="682">
        <f>IF('[2]3A.)Metering_RateSummary'!$D$10="N",E13,0)</f>
        <v>143.09</v>
      </c>
      <c r="F15" s="682">
        <f>IF('[2]3A.)Metering_RateSummary'!$D$10="N",F13,0)</f>
        <v>143.09</v>
      </c>
      <c r="G15" s="682">
        <f>IF('[2]3A.)Metering_RateSummary'!$D$10="N",G13,0)</f>
        <v>143.09</v>
      </c>
      <c r="H15" s="682">
        <f>IF('[2]3A.)Metering_RateSummary'!$D$10="N",H13,0)</f>
        <v>143.09</v>
      </c>
      <c r="I15" s="682">
        <f>IF('[2]3A.)Metering_RateSummary'!$D$10="N",I13,0)</f>
        <v>12.45</v>
      </c>
      <c r="J15" s="682">
        <f>IF('[2]3A.)Metering_RateSummary'!$D$10="N",J13,0)</f>
        <v>12.45</v>
      </c>
      <c r="K15" s="682">
        <f>IF('[2]3A.)Metering_RateSummary'!$D$10="N",K13,0)</f>
        <v>12.45</v>
      </c>
    </row>
    <row r="19" spans="1:1" x14ac:dyDescent="0.35">
      <c r="A19" s="694" t="s">
        <v>2283</v>
      </c>
    </row>
    <row r="21" spans="1:1" x14ac:dyDescent="0.35">
      <c r="A21" s="1259" t="s">
        <v>1317</v>
      </c>
    </row>
    <row r="22" spans="1:1" ht="16.5" x14ac:dyDescent="0.35">
      <c r="A22" s="1260" t="s">
        <v>1515</v>
      </c>
    </row>
    <row r="23" spans="1:1" ht="16.5" x14ac:dyDescent="0.35">
      <c r="A23" s="1260" t="s">
        <v>1516</v>
      </c>
    </row>
  </sheetData>
  <printOptions horizontalCentered="1"/>
  <pageMargins left="0.45" right="0.45" top="0.75" bottom="0.75" header="0.3" footer="0.3"/>
  <pageSetup scale="72" orientation="landscape" r:id="rId1"/>
  <headerFooter>
    <oddFooter>&amp;C&amp;F (Tab: &amp;A)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9">
    <tabColor rgb="FF00B0F0"/>
    <pageSetUpPr fitToPage="1"/>
  </sheetPr>
  <dimension ref="A1:F19"/>
  <sheetViews>
    <sheetView workbookViewId="0">
      <selection activeCell="A14" sqref="A14"/>
    </sheetView>
  </sheetViews>
  <sheetFormatPr defaultRowHeight="14.5" x14ac:dyDescent="0.35"/>
  <cols>
    <col min="1" max="1" width="15.7265625" customWidth="1"/>
    <col min="2" max="2" width="12.1796875" customWidth="1"/>
    <col min="3" max="3" width="17.453125" customWidth="1"/>
    <col min="4" max="6" width="19.1796875" customWidth="1"/>
    <col min="7" max="8" width="18.453125" customWidth="1"/>
  </cols>
  <sheetData>
    <row r="1" spans="1:6" ht="18.5" x14ac:dyDescent="0.45">
      <c r="A1" s="189" t="s">
        <v>2245</v>
      </c>
    </row>
    <row r="2" spans="1:6" x14ac:dyDescent="0.35">
      <c r="A2" s="480" t="s">
        <v>806</v>
      </c>
      <c r="B2" s="771">
        <f>'7A.)CustCharge_Summary'!B2</f>
        <v>2017</v>
      </c>
    </row>
    <row r="3" spans="1:6" x14ac:dyDescent="0.35">
      <c r="A3" s="480" t="s">
        <v>296</v>
      </c>
      <c r="B3" s="771">
        <f>'7A.)CustCharge_Summary'!B3</f>
        <v>2019</v>
      </c>
    </row>
    <row r="4" spans="1:6" x14ac:dyDescent="0.35">
      <c r="A4" s="480" t="s">
        <v>805</v>
      </c>
      <c r="B4" s="771">
        <f>'7A.)CustCharge_Summary'!B4</f>
        <v>2020</v>
      </c>
      <c r="C4" t="s">
        <v>1180</v>
      </c>
    </row>
    <row r="7" spans="1:6" x14ac:dyDescent="0.35">
      <c r="A7" s="623" t="s">
        <v>1318</v>
      </c>
      <c r="D7" s="296" t="s">
        <v>1322</v>
      </c>
      <c r="E7" s="296"/>
      <c r="F7" s="296" t="s">
        <v>1323</v>
      </c>
    </row>
    <row r="8" spans="1:6" x14ac:dyDescent="0.35">
      <c r="D8" s="135">
        <f>B4</f>
        <v>2020</v>
      </c>
      <c r="E8" s="135">
        <f>B3</f>
        <v>2019</v>
      </c>
      <c r="F8" s="135">
        <v>2016</v>
      </c>
    </row>
    <row r="9" spans="1:6" x14ac:dyDescent="0.35">
      <c r="D9" s="135" t="s">
        <v>1354</v>
      </c>
      <c r="E9" s="135" t="s">
        <v>170</v>
      </c>
      <c r="F9" s="135" t="s">
        <v>1355</v>
      </c>
    </row>
    <row r="10" spans="1:6" x14ac:dyDescent="0.35">
      <c r="A10" t="s">
        <v>1320</v>
      </c>
      <c r="D10" s="795">
        <f>ROUND('[4]2017 Printing &amp; Mailing a Bill'!$H$49,2)</f>
        <v>0.61</v>
      </c>
      <c r="E10" s="87"/>
      <c r="F10" s="795">
        <f>ROUND('[5]Printing and Mailing a Bill Exh'!$D$55,2)</f>
        <v>0.6</v>
      </c>
    </row>
    <row r="11" spans="1:6" ht="15" thickBot="1" x14ac:dyDescent="0.4">
      <c r="A11" t="s">
        <v>1321</v>
      </c>
      <c r="D11" s="795">
        <f>ROUND('[4]2017 Receipts Processing'!$G$38,2)</f>
        <v>0.56999999999999995</v>
      </c>
      <c r="E11" s="87"/>
      <c r="F11" s="795">
        <f>ROUND('[5]Exhibit for Payment Processing'!$D$45,2)</f>
        <v>0.81</v>
      </c>
    </row>
    <row r="12" spans="1:6" ht="15.5" thickTop="1" thickBot="1" x14ac:dyDescent="0.4">
      <c r="A12" t="s">
        <v>1319</v>
      </c>
      <c r="D12" s="648">
        <f>D10+D11</f>
        <v>1.18</v>
      </c>
      <c r="E12" s="796">
        <f>'[1]A1.)RatesInput'!$D$18</f>
        <v>1.2</v>
      </c>
      <c r="F12" s="648">
        <f>F10+F11</f>
        <v>1.4100000000000001</v>
      </c>
    </row>
    <row r="13" spans="1:6" ht="15.5" thickTop="1" thickBot="1" x14ac:dyDescent="0.4"/>
    <row r="14" spans="1:6" ht="15.5" thickTop="1" thickBot="1" x14ac:dyDescent="0.4">
      <c r="A14" t="s">
        <v>2295</v>
      </c>
      <c r="D14" s="794">
        <f>E12</f>
        <v>1.2</v>
      </c>
      <c r="E14" t="s">
        <v>523</v>
      </c>
    </row>
    <row r="15" spans="1:6" ht="15" thickTop="1" x14ac:dyDescent="0.35">
      <c r="E15" s="529"/>
    </row>
    <row r="17" spans="1:1" x14ac:dyDescent="0.35">
      <c r="A17" s="133" t="s">
        <v>1317</v>
      </c>
    </row>
    <row r="18" spans="1:1" x14ac:dyDescent="0.35">
      <c r="A18" t="s">
        <v>1324</v>
      </c>
    </row>
    <row r="19" spans="1:1" x14ac:dyDescent="0.35">
      <c r="A19" t="s">
        <v>1325</v>
      </c>
    </row>
  </sheetData>
  <printOptions horizontalCentered="1"/>
  <pageMargins left="0.7" right="0.7" top="0.75" bottom="0.75" header="0.3" footer="0.3"/>
  <pageSetup scale="74" orientation="portrait" r:id="rId1"/>
  <headerFooter>
    <oddFooter>&amp;C&amp;F (Tab: &amp;A)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0">
    <tabColor theme="5"/>
  </sheetPr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65</vt:i4>
      </vt:variant>
    </vt:vector>
  </HeadingPairs>
  <TitlesOfParts>
    <vt:vector size="134" baseType="lpstr">
      <vt:lpstr>Demand Rates Summary</vt:lpstr>
      <vt:lpstr>RateDesignVarianceSummary</vt:lpstr>
      <vt:lpstr>Content</vt:lpstr>
      <vt:lpstr>CustChg_RateDesign=&gt;</vt:lpstr>
      <vt:lpstr>7A.)CustCharge_Summary</vt:lpstr>
      <vt:lpstr>7B.)CustCharge_RateDesign</vt:lpstr>
      <vt:lpstr>7C.)CustCharge_DemandClasses</vt:lpstr>
      <vt:lpstr>7D.)BPP_Rates</vt:lpstr>
      <vt:lpstr>ED_RevShifting=&gt;</vt:lpstr>
      <vt:lpstr>8A.)HY_ED RevShifting</vt:lpstr>
      <vt:lpstr>8B.)ED Shift_RedesignRateSum</vt:lpstr>
      <vt:lpstr>8C.)ED Shift_RedgnRate_SC5_I</vt:lpstr>
      <vt:lpstr>8D.)ED Shift_RedgnRate_SC8_I</vt:lpstr>
      <vt:lpstr>8E.)ED Shift_RedgnRate_SC9_I</vt:lpstr>
      <vt:lpstr>8F.)ED Shift_RedgnRate_SC12_I</vt:lpstr>
      <vt:lpstr>HL_Tension_Shifting=&gt;</vt:lpstr>
      <vt:lpstr>9A.)HL_RedesignRateSummary</vt:lpstr>
      <vt:lpstr>9B.)HL_RedesignRateComp</vt:lpstr>
      <vt:lpstr>9C.)HL_RedgnRate_SC5_I</vt:lpstr>
      <vt:lpstr>9D.)HL_RedgnRate_SC12_I</vt:lpstr>
      <vt:lpstr>9E.)HL_RedgnRate_NYPA_I</vt:lpstr>
      <vt:lpstr>9F.)HL_RedgnRate_SC5_II</vt:lpstr>
      <vt:lpstr>9G.)HL_RedgnRate_SC8_II</vt:lpstr>
      <vt:lpstr>9H.)HL_RedgnRate_SC9_II</vt:lpstr>
      <vt:lpstr>9I.)HL_RedgnRate_SC12_II</vt:lpstr>
      <vt:lpstr>9J.)HL_RedgnRate_SC8_I </vt:lpstr>
      <vt:lpstr>9K.)HL_RedgnRate_SC9_I</vt:lpstr>
      <vt:lpstr>9L.)HL_RedgnRate_NYPA_II</vt:lpstr>
      <vt:lpstr>Energy_RateDesign=&gt;</vt:lpstr>
      <vt:lpstr>10A.)EnergyRateDesignSummary</vt:lpstr>
      <vt:lpstr>10B.)Energy_RateDesign_SC1_I</vt:lpstr>
      <vt:lpstr>10C.)Energy_RateDesign_SC1_II</vt:lpstr>
      <vt:lpstr>10D.)Energy_RateDesign_SC1_III</vt:lpstr>
      <vt:lpstr>10E.)Energy_RateDesign_SC2_I</vt:lpstr>
      <vt:lpstr>10F.)Energy_RateDesign_SC2_II</vt:lpstr>
      <vt:lpstr>10G.)Energy_RateDesign_SC6</vt:lpstr>
      <vt:lpstr>10H.)Energy_RateDesign_SC12_EN</vt:lpstr>
      <vt:lpstr>Demand_RateDesign=&gt;</vt:lpstr>
      <vt:lpstr>11A.)DemandRateDesignSummary</vt:lpstr>
      <vt:lpstr>11B.)Demand_RateDesign_SC5_I</vt:lpstr>
      <vt:lpstr>11C.)Demand_RateDesign_SC8_I</vt:lpstr>
      <vt:lpstr>11D.)Demand_RateDesign_SC9_I</vt:lpstr>
      <vt:lpstr>11E.)Demand_RateDesign_SC12_I</vt:lpstr>
      <vt:lpstr>11F.)Demand_RateDesign_NYPA_I</vt:lpstr>
      <vt:lpstr>TODL_RateDesign=&gt;</vt:lpstr>
      <vt:lpstr>12A.)TODL_RateDesignSummary</vt:lpstr>
      <vt:lpstr>12B.)TODL_RateDesign_SC5_II</vt:lpstr>
      <vt:lpstr>12C.)TODL_RateDesign_SC8_II</vt:lpstr>
      <vt:lpstr>12D.)TODL_RateDesign_SC9_II</vt:lpstr>
      <vt:lpstr>12E.)TODL_RateDesign_SC12_II</vt:lpstr>
      <vt:lpstr>12F.)TODL_RateDesign_SC13_II</vt:lpstr>
      <vt:lpstr>12G.)TODL_RateDesign_NYPA_II</vt:lpstr>
      <vt:lpstr>TODM_RateDesign=&gt;</vt:lpstr>
      <vt:lpstr>13A.)TODM_RateDesignSummary</vt:lpstr>
      <vt:lpstr>13B.)TODM_RateDesign_SC8_III</vt:lpstr>
      <vt:lpstr>13C.)TODM_RateDesign_SC9_III</vt:lpstr>
      <vt:lpstr>13D.)TODM_RateDesign_SC12_III</vt:lpstr>
      <vt:lpstr>Riders_RateDesign=&gt;</vt:lpstr>
      <vt:lpstr>14A.)Riders__RateDesignSummary</vt:lpstr>
      <vt:lpstr>14B.)RateDesign_RiderD</vt:lpstr>
      <vt:lpstr>14C.)RateDesign_SC1(ProvD)</vt:lpstr>
      <vt:lpstr>14D.)RateDesign_kVar</vt:lpstr>
      <vt:lpstr>14E.)RateDesign_NY Facilities</vt:lpstr>
      <vt:lpstr>MD Rev_Shifting=&gt;</vt:lpstr>
      <vt:lpstr>15A.)MD Shift_RedesignRateSum</vt:lpstr>
      <vt:lpstr>15B.)MD Shift_RedgnRate_SC5 I </vt:lpstr>
      <vt:lpstr>15C.)MD Shift_RedgnRate_SC8 I </vt:lpstr>
      <vt:lpstr>15D.)MD Shift_RedgnRate_SC9 I </vt:lpstr>
      <vt:lpstr>15E.)MD Shift_RedgnRate_SC12 I </vt:lpstr>
      <vt:lpstr>L</vt:lpstr>
      <vt:lpstr>'10A.)EnergyRateDesignSummary'!Print_Area</vt:lpstr>
      <vt:lpstr>'10B.)Energy_RateDesign_SC1_I'!Print_Area</vt:lpstr>
      <vt:lpstr>'10C.)Energy_RateDesign_SC1_II'!Print_Area</vt:lpstr>
      <vt:lpstr>'10D.)Energy_RateDesign_SC1_III'!Print_Area</vt:lpstr>
      <vt:lpstr>'10E.)Energy_RateDesign_SC2_I'!Print_Area</vt:lpstr>
      <vt:lpstr>'10F.)Energy_RateDesign_SC2_II'!Print_Area</vt:lpstr>
      <vt:lpstr>'10G.)Energy_RateDesign_SC6'!Print_Area</vt:lpstr>
      <vt:lpstr>'10H.)Energy_RateDesign_SC12_EN'!Print_Area</vt:lpstr>
      <vt:lpstr>'11A.)DemandRateDesignSummary'!Print_Area</vt:lpstr>
      <vt:lpstr>'11B.)Demand_RateDesign_SC5_I'!Print_Area</vt:lpstr>
      <vt:lpstr>'11C.)Demand_RateDesign_SC8_I'!Print_Area</vt:lpstr>
      <vt:lpstr>'11D.)Demand_RateDesign_SC9_I'!Print_Area</vt:lpstr>
      <vt:lpstr>'11E.)Demand_RateDesign_SC12_I'!Print_Area</vt:lpstr>
      <vt:lpstr>'11F.)Demand_RateDesign_NYPA_I'!Print_Area</vt:lpstr>
      <vt:lpstr>'12A.)TODL_RateDesignSummary'!Print_Area</vt:lpstr>
      <vt:lpstr>'12B.)TODL_RateDesign_SC5_II'!Print_Area</vt:lpstr>
      <vt:lpstr>'12C.)TODL_RateDesign_SC8_II'!Print_Area</vt:lpstr>
      <vt:lpstr>'12D.)TODL_RateDesign_SC9_II'!Print_Area</vt:lpstr>
      <vt:lpstr>'12E.)TODL_RateDesign_SC12_II'!Print_Area</vt:lpstr>
      <vt:lpstr>'12F.)TODL_RateDesign_SC13_II'!Print_Area</vt:lpstr>
      <vt:lpstr>'12G.)TODL_RateDesign_NYPA_II'!Print_Area</vt:lpstr>
      <vt:lpstr>'13A.)TODM_RateDesignSummary'!Print_Area</vt:lpstr>
      <vt:lpstr>'13B.)TODM_RateDesign_SC8_III'!Print_Area</vt:lpstr>
      <vt:lpstr>'13C.)TODM_RateDesign_SC9_III'!Print_Area</vt:lpstr>
      <vt:lpstr>'13D.)TODM_RateDesign_SC12_III'!Print_Area</vt:lpstr>
      <vt:lpstr>'14A.)Riders__RateDesignSummary'!Print_Area</vt:lpstr>
      <vt:lpstr>'14B.)RateDesign_RiderD'!Print_Area</vt:lpstr>
      <vt:lpstr>'14C.)RateDesign_SC1(ProvD)'!Print_Area</vt:lpstr>
      <vt:lpstr>'14D.)RateDesign_kVar'!Print_Area</vt:lpstr>
      <vt:lpstr>'14E.)RateDesign_NY Facilities'!Print_Area</vt:lpstr>
      <vt:lpstr>'15A.)MD Shift_RedesignRateSum'!Print_Area</vt:lpstr>
      <vt:lpstr>'15B.)MD Shift_RedgnRate_SC5 I '!Print_Area</vt:lpstr>
      <vt:lpstr>'15C.)MD Shift_RedgnRate_SC8 I '!Print_Area</vt:lpstr>
      <vt:lpstr>'15D.)MD Shift_RedgnRate_SC9 I '!Print_Area</vt:lpstr>
      <vt:lpstr>'15E.)MD Shift_RedgnRate_SC12 I '!Print_Area</vt:lpstr>
      <vt:lpstr>'7A.)CustCharge_Summary'!Print_Area</vt:lpstr>
      <vt:lpstr>'7B.)CustCharge_RateDesign'!Print_Area</vt:lpstr>
      <vt:lpstr>'7C.)CustCharge_DemandClasses'!Print_Area</vt:lpstr>
      <vt:lpstr>'7D.)BPP_Rates'!Print_Area</vt:lpstr>
      <vt:lpstr>'8A.)HY_ED RevShifting'!Print_Area</vt:lpstr>
      <vt:lpstr>'8B.)ED Shift_RedesignRateSum'!Print_Area</vt:lpstr>
      <vt:lpstr>'8C.)ED Shift_RedgnRate_SC5_I'!Print_Area</vt:lpstr>
      <vt:lpstr>'8D.)ED Shift_RedgnRate_SC8_I'!Print_Area</vt:lpstr>
      <vt:lpstr>'8E.)ED Shift_RedgnRate_SC9_I'!Print_Area</vt:lpstr>
      <vt:lpstr>'8F.)ED Shift_RedgnRate_SC12_I'!Print_Area</vt:lpstr>
      <vt:lpstr>'9A.)HL_RedesignRateSummary'!Print_Area</vt:lpstr>
      <vt:lpstr>'9B.)HL_RedesignRateComp'!Print_Area</vt:lpstr>
      <vt:lpstr>'9C.)HL_RedgnRate_SC5_I'!Print_Area</vt:lpstr>
      <vt:lpstr>'9D.)HL_RedgnRate_SC12_I'!Print_Area</vt:lpstr>
      <vt:lpstr>'9E.)HL_RedgnRate_NYPA_I'!Print_Area</vt:lpstr>
      <vt:lpstr>'9F.)HL_RedgnRate_SC5_II'!Print_Area</vt:lpstr>
      <vt:lpstr>'9G.)HL_RedgnRate_SC8_II'!Print_Area</vt:lpstr>
      <vt:lpstr>'9H.)HL_RedgnRate_SC9_II'!Print_Area</vt:lpstr>
      <vt:lpstr>'9I.)HL_RedgnRate_SC12_II'!Print_Area</vt:lpstr>
      <vt:lpstr>'9J.)HL_RedgnRate_SC8_I '!Print_Area</vt:lpstr>
      <vt:lpstr>'9K.)HL_RedgnRate_SC9_I'!Print_Area</vt:lpstr>
      <vt:lpstr>'9L.)HL_RedgnRate_NYPA_II'!Print_Area</vt:lpstr>
      <vt:lpstr>'Demand Rates Summary'!Print_Area</vt:lpstr>
      <vt:lpstr>RateDesignVarianceSummary!Print_Area</vt:lpstr>
      <vt:lpstr>'11A.)DemandRateDesignSummary'!Print_Titles</vt:lpstr>
      <vt:lpstr>'12A.)TODL_RateDesignSummary'!Print_Titles</vt:lpstr>
      <vt:lpstr>'13A.)TODM_RateDesignSummary'!Print_Titles</vt:lpstr>
      <vt:lpstr>'7A.)CustCharge_Summary'!Print_Titles</vt:lpstr>
      <vt:lpstr>'7B.)CustCharge_RateDesign'!Print_Titles</vt:lpstr>
    </vt:vector>
  </TitlesOfParts>
  <Company>Con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Sung, Sherry</dc:creator>
  <cp:lastModifiedBy>Koropey, Boris</cp:lastModifiedBy>
  <cp:lastPrinted>2019-10-25T15:18:04Z</cp:lastPrinted>
  <dcterms:created xsi:type="dcterms:W3CDTF">2018-03-08T19:28:40Z</dcterms:created>
  <dcterms:modified xsi:type="dcterms:W3CDTF">2020-12-08T20:02:38Z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2020-12-08T20:02:21Z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ca08c525-3a0a-46ec-a33b-000038e99c4d</vt:lpwstr>
  </property>
  <property fmtid="{D5CDD505-2E9C-101B-9397-08002B2CF9AE}" pid="8" name="MSIP_Label_6490586b-6766-439a-826f-fa6da183971c_ContentBits">
    <vt:lpwstr>0</vt:lpwstr>
  </property>
</Properties>
</file>