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OPEYB\Desktop\Rate Engineering\EEI Survey (Sherry)\trial linProg 2_7_21\"/>
    </mc:Choice>
  </mc:AlternateContent>
  <xr:revisionPtr revIDLastSave="0" documentId="13_ncr:1_{6645DA9E-D389-43F2-BD88-A2B5E0F1907D}" xr6:coauthVersionLast="45" xr6:coauthVersionMax="45" xr10:uidLastSave="{00000000-0000-0000-0000-000000000000}"/>
  <bookViews>
    <workbookView xWindow="-110" yWindow="-110" windowWidth="22780" windowHeight="14660" xr2:uid="{C512B3A0-DC41-479A-BFD1-39CA6C475342}"/>
  </bookViews>
  <sheets>
    <sheet name="Sheet1" sheetId="1" r:id="rId1"/>
    <sheet name="python script &amp; prob setup" sheetId="2" r:id="rId2"/>
  </sheets>
  <externalReferences>
    <externalReference r:id="rId3"/>
    <externalReference r:id="rId4"/>
    <externalReference r:id="rId5"/>
  </externalReferences>
  <definedNames>
    <definedName name="GRTDlv1R1">Sheet1!$G$58:$G$61</definedName>
    <definedName name="GRTDlv2R1">Sheet1!$G$39:$G$42</definedName>
    <definedName name="GRTDlv9R1">Sheet1!$G$3:$G$6</definedName>
    <definedName name="MAC1R1">Sheet1!$C$58:$C$61</definedName>
    <definedName name="MAC2R1">Sheet1!$C$39:$C$42</definedName>
    <definedName name="MAC9R1">Sheet1!$C$3:$C$6</definedName>
    <definedName name="MAC9R2">Sheet1!$C$12:$C$15</definedName>
    <definedName name="MacRcncAdj1R1">Sheet1!$D$58:$D$61</definedName>
    <definedName name="MacRcncAdj2R1">Sheet1!$D$39:$D$42</definedName>
    <definedName name="MacRcncAdj9R1">Sheet1!$D$3:$D$6</definedName>
    <definedName name="MacRcncAdj9R2">Sheet1!$D$12:$D$15</definedName>
    <definedName name="MacTrnsAdj1R1">Sheet1!$F$58:$F$61</definedName>
    <definedName name="MacTrnsAdj2R1">Sheet1!$F$39:$F$42</definedName>
    <definedName name="MacTrnsAdj9R1">Sheet1!$F$3:$F$6</definedName>
    <definedName name="MacTrnsAdj9R2">Sheet1!$F$12:$F$15</definedName>
    <definedName name="MacUncDlv1R1">Sheet1!$E$58:$E$61</definedName>
    <definedName name="MacUncDlv2R1">Sheet1!$E$39:$E$42</definedName>
    <definedName name="MacUncDlv9R1">Sheet1!$E$3:$E$6</definedName>
    <definedName name="MacUncDlv9R2">Sheet1!$E$12:$E$15</definedName>
    <definedName name="MSCCap1R1">Sheet1!$H$58:$H$61</definedName>
    <definedName name="MSCCap2R1">Sheet1!$H$39:$H$42</definedName>
    <definedName name="MSCCap9R1">Sheet1!$H$3:$H$6</definedName>
    <definedName name="MSCCap9R2">Sheet1!$H$12:$H$15</definedName>
    <definedName name="MSCEnergy1R1">Sheet1!$I$58:$I$61</definedName>
    <definedName name="MSCEnergy2R1">Sheet1!$I$39:$I$42</definedName>
    <definedName name="MSCEnergy9R1">Sheet1!$I$3:$I$6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4" i="2" l="1"/>
  <c r="J36" i="1"/>
  <c r="F36" i="1"/>
  <c r="E36" i="1"/>
  <c r="D36" i="1"/>
  <c r="C36" i="1"/>
  <c r="A6" i="2" l="1" a="1"/>
  <c r="A6" i="2" s="1"/>
  <c r="A7" i="2" a="1"/>
  <c r="A7" i="2" s="1"/>
  <c r="C17" i="2"/>
  <c r="B18" i="2"/>
  <c r="B19" i="2"/>
  <c r="B20" i="2"/>
  <c r="J18" i="1"/>
  <c r="J5" i="1"/>
  <c r="G9" i="1"/>
  <c r="F10" i="1"/>
  <c r="F9" i="1"/>
  <c r="E10" i="1"/>
  <c r="E9" i="1"/>
  <c r="D9" i="1"/>
  <c r="D10" i="1"/>
  <c r="C10" i="1"/>
  <c r="C9" i="1"/>
  <c r="J3" i="1" l="1"/>
  <c r="C17" i="1" l="1"/>
  <c r="C29" i="1" l="1" a="1"/>
  <c r="C33" i="1" s="1"/>
  <c r="C30" i="1" l="1"/>
  <c r="C34" i="1"/>
  <c r="C35" i="1"/>
  <c r="C29" i="1"/>
  <c r="C32" i="1"/>
  <c r="C31" i="1"/>
  <c r="H17" i="1"/>
  <c r="H16" i="1"/>
  <c r="I16" i="1"/>
  <c r="I17" i="1"/>
  <c r="Q19" i="1"/>
  <c r="Q18" i="1"/>
  <c r="Q17" i="1"/>
  <c r="Q16" i="1"/>
  <c r="Q15" i="1"/>
  <c r="I34" i="1"/>
  <c r="R19" i="1" l="1"/>
  <c r="I61" i="1" l="1"/>
  <c r="I60" i="1"/>
  <c r="I59" i="1"/>
  <c r="I58" i="1"/>
  <c r="H61" i="1"/>
  <c r="H60" i="1"/>
  <c r="H59" i="1"/>
  <c r="H58" i="1"/>
  <c r="G61" i="1"/>
  <c r="G60" i="1"/>
  <c r="G59" i="1"/>
  <c r="G58" i="1"/>
  <c r="F61" i="1"/>
  <c r="F60" i="1"/>
  <c r="F59" i="1"/>
  <c r="F58" i="1"/>
  <c r="E61" i="1"/>
  <c r="E60" i="1"/>
  <c r="E59" i="1"/>
  <c r="E58" i="1"/>
  <c r="D61" i="1"/>
  <c r="D60" i="1"/>
  <c r="D59" i="1"/>
  <c r="D58" i="1"/>
  <c r="C61" i="1"/>
  <c r="C60" i="1"/>
  <c r="C59" i="1"/>
  <c r="C58" i="1"/>
  <c r="C66" i="1" a="1"/>
  <c r="C72" i="1" s="1"/>
  <c r="I42" i="1"/>
  <c r="I41" i="1"/>
  <c r="I40" i="1"/>
  <c r="I39" i="1"/>
  <c r="H42" i="1"/>
  <c r="H41" i="1"/>
  <c r="H40" i="1"/>
  <c r="H39" i="1"/>
  <c r="J72" i="1"/>
  <c r="J59" i="1" l="1"/>
  <c r="J60" i="1"/>
  <c r="F62" i="1"/>
  <c r="J58" i="1"/>
  <c r="J61" i="1"/>
  <c r="D62" i="1"/>
  <c r="D63" i="1"/>
  <c r="F63" i="1"/>
  <c r="F72" i="1"/>
  <c r="G72" i="1"/>
  <c r="H72" i="1"/>
  <c r="D72" i="1"/>
  <c r="I72" i="1"/>
  <c r="E72" i="1"/>
  <c r="I63" i="1" l="1"/>
  <c r="H63" i="1"/>
  <c r="E62" i="1"/>
  <c r="C62" i="1"/>
  <c r="E63" i="1"/>
  <c r="C68" i="1"/>
  <c r="G62" i="1"/>
  <c r="G63" i="1"/>
  <c r="C69" i="1"/>
  <c r="C63" i="1"/>
  <c r="C66" i="1"/>
  <c r="C67" i="1"/>
  <c r="H62" i="1"/>
  <c r="C70" i="1"/>
  <c r="I62" i="1"/>
  <c r="C71" i="1"/>
  <c r="G42" i="1"/>
  <c r="G41" i="1"/>
  <c r="G40" i="1"/>
  <c r="G39" i="1"/>
  <c r="F42" i="1"/>
  <c r="F41" i="1"/>
  <c r="F40" i="1"/>
  <c r="F39" i="1"/>
  <c r="E42" i="1"/>
  <c r="E41" i="1"/>
  <c r="E40" i="1"/>
  <c r="E39" i="1"/>
  <c r="D42" i="1"/>
  <c r="D41" i="1"/>
  <c r="D40" i="1"/>
  <c r="D39" i="1"/>
  <c r="C42" i="1"/>
  <c r="C41" i="1"/>
  <c r="C40" i="1"/>
  <c r="C39" i="1"/>
  <c r="C47" i="1" a="1"/>
  <c r="C52" i="1" s="1"/>
  <c r="I44" i="1"/>
  <c r="H44" i="1"/>
  <c r="I43" i="1"/>
  <c r="H43" i="1"/>
  <c r="J52" i="1"/>
  <c r="D67" i="1"/>
  <c r="D71" i="1"/>
  <c r="D69" i="1"/>
  <c r="D70" i="1"/>
  <c r="D66" i="1"/>
  <c r="D52" i="1"/>
  <c r="H69" i="1"/>
  <c r="G66" i="1"/>
  <c r="D68" i="1"/>
  <c r="J39" i="1" l="1"/>
  <c r="J40" i="1"/>
  <c r="J41" i="1"/>
  <c r="J42" i="1"/>
  <c r="J62" i="1"/>
  <c r="J63" i="1"/>
  <c r="F43" i="1"/>
  <c r="G43" i="1"/>
  <c r="G44" i="1"/>
  <c r="F44" i="1"/>
  <c r="E44" i="1"/>
  <c r="E43" i="1"/>
  <c r="D43" i="1"/>
  <c r="D44" i="1"/>
  <c r="C44" i="1"/>
  <c r="C43" i="1"/>
  <c r="C48" i="1"/>
  <c r="C49" i="1"/>
  <c r="C50" i="1"/>
  <c r="C53" i="1"/>
  <c r="C47" i="1"/>
  <c r="C51" i="1"/>
  <c r="E66" i="1"/>
  <c r="H53" i="1"/>
  <c r="F68" i="1"/>
  <c r="J50" i="1"/>
  <c r="J70" i="1"/>
  <c r="F52" i="1"/>
  <c r="J69" i="1"/>
  <c r="F69" i="1"/>
  <c r="I71" i="1"/>
  <c r="I69" i="1"/>
  <c r="H50" i="1"/>
  <c r="I48" i="1"/>
  <c r="G49" i="1"/>
  <c r="G71" i="1"/>
  <c r="F49" i="1"/>
  <c r="D48" i="1"/>
  <c r="J67" i="1"/>
  <c r="I53" i="1"/>
  <c r="E48" i="1"/>
  <c r="J49" i="1"/>
  <c r="F50" i="1"/>
  <c r="G67" i="1"/>
  <c r="I67" i="1"/>
  <c r="G69" i="1"/>
  <c r="J68" i="1"/>
  <c r="I68" i="1"/>
  <c r="I50" i="1"/>
  <c r="J48" i="1"/>
  <c r="I70" i="1"/>
  <c r="H67" i="1"/>
  <c r="H70" i="1"/>
  <c r="I52" i="1"/>
  <c r="G50" i="1"/>
  <c r="E53" i="1"/>
  <c r="F67" i="1"/>
  <c r="E70" i="1"/>
  <c r="G53" i="1"/>
  <c r="D47" i="1"/>
  <c r="E50" i="1"/>
  <c r="H51" i="1"/>
  <c r="G70" i="1"/>
  <c r="D49" i="1"/>
  <c r="I49" i="1"/>
  <c r="D51" i="1"/>
  <c r="E51" i="1"/>
  <c r="E49" i="1"/>
  <c r="F48" i="1"/>
  <c r="F71" i="1"/>
  <c r="F53" i="1"/>
  <c r="G48" i="1"/>
  <c r="J51" i="1"/>
  <c r="H66" i="1"/>
  <c r="E52" i="1"/>
  <c r="E69" i="1"/>
  <c r="G68" i="1"/>
  <c r="H71" i="1"/>
  <c r="G51" i="1"/>
  <c r="G47" i="1"/>
  <c r="H48" i="1"/>
  <c r="F51" i="1"/>
  <c r="E68" i="1"/>
  <c r="F66" i="1"/>
  <c r="F70" i="1"/>
  <c r="H49" i="1"/>
  <c r="J66" i="1"/>
  <c r="E67" i="1"/>
  <c r="D50" i="1"/>
  <c r="D53" i="1"/>
  <c r="I66" i="1"/>
  <c r="J71" i="1"/>
  <c r="H68" i="1"/>
  <c r="J53" i="1"/>
  <c r="E71" i="1"/>
  <c r="J43" i="1" l="1"/>
  <c r="J44" i="1"/>
  <c r="F47" i="1"/>
  <c r="J47" i="1"/>
  <c r="H47" i="1"/>
  <c r="G52" i="1"/>
  <c r="I47" i="1"/>
  <c r="H52" i="1"/>
  <c r="I51" i="1"/>
  <c r="E47" i="1"/>
  <c r="N19" i="1" l="1"/>
  <c r="N18" i="1"/>
  <c r="N17" i="1"/>
  <c r="N16" i="1"/>
  <c r="N15" i="1"/>
  <c r="Q9" i="1"/>
  <c r="N9" i="1"/>
  <c r="Q8" i="1"/>
  <c r="N8" i="1"/>
  <c r="Q7" i="1"/>
  <c r="N7" i="1"/>
  <c r="Q6" i="1"/>
  <c r="N6" i="1"/>
  <c r="Q5" i="1"/>
  <c r="N5" i="1"/>
  <c r="C20" i="1" a="1"/>
  <c r="C22" i="1" s="1"/>
  <c r="I6" i="1"/>
  <c r="I5" i="1"/>
  <c r="I4" i="1"/>
  <c r="I3" i="1"/>
  <c r="H6" i="1"/>
  <c r="H5" i="1"/>
  <c r="H4" i="1"/>
  <c r="H3" i="1"/>
  <c r="G6" i="1"/>
  <c r="G15" i="1" s="1"/>
  <c r="G5" i="1"/>
  <c r="G14" i="1" s="1"/>
  <c r="G4" i="1"/>
  <c r="G13" i="1" s="1"/>
  <c r="G3" i="1"/>
  <c r="G12" i="1" s="1"/>
  <c r="C3" i="1" a="1"/>
  <c r="C3" i="1" s="1"/>
  <c r="C12" i="1" s="1"/>
  <c r="G16" i="1" l="1"/>
  <c r="G17" i="1"/>
  <c r="H7" i="1"/>
  <c r="G7" i="1"/>
  <c r="I8" i="1"/>
  <c r="G8" i="1"/>
  <c r="I7" i="1"/>
  <c r="O9" i="1"/>
  <c r="H8" i="1"/>
  <c r="R9" i="1"/>
  <c r="O19" i="1"/>
  <c r="C26" i="1" l="1"/>
  <c r="C21" i="1"/>
  <c r="C20" i="1"/>
  <c r="C25" i="1"/>
  <c r="C24" i="1"/>
  <c r="C23" i="1"/>
  <c r="F3" i="1"/>
  <c r="F12" i="1" s="1"/>
  <c r="E3" i="1"/>
  <c r="E12" i="1" s="1"/>
  <c r="D3" i="1"/>
  <c r="D12" i="1" s="1"/>
  <c r="C6" i="1" a="1"/>
  <c r="C6" i="1" s="1"/>
  <c r="C15" i="1" s="1"/>
  <c r="C4" i="1" a="1"/>
  <c r="C4" i="1" s="1"/>
  <c r="C13" i="1" s="1"/>
  <c r="C5" i="1" a="1"/>
  <c r="C5" i="1" s="1"/>
  <c r="C14" i="1" s="1"/>
  <c r="D26" i="1"/>
  <c r="I20" i="1"/>
  <c r="J26" i="1"/>
  <c r="D20" i="1"/>
  <c r="J20" i="1"/>
  <c r="D24" i="1"/>
  <c r="H20" i="1"/>
  <c r="C16" i="1" l="1"/>
  <c r="J12" i="1"/>
  <c r="C8" i="1"/>
  <c r="C7" i="1"/>
  <c r="F6" i="1"/>
  <c r="F15" i="1" s="1"/>
  <c r="E6" i="1"/>
  <c r="E15" i="1" s="1"/>
  <c r="D6" i="1"/>
  <c r="F4" i="1"/>
  <c r="F13" i="1" s="1"/>
  <c r="E4" i="1"/>
  <c r="E13" i="1" s="1"/>
  <c r="D4" i="1"/>
  <c r="F5" i="1"/>
  <c r="F14" i="1" s="1"/>
  <c r="E5" i="1"/>
  <c r="E14" i="1" s="1"/>
  <c r="D5" i="1"/>
  <c r="I21" i="1"/>
  <c r="D25" i="1"/>
  <c r="L22" i="1" l="1"/>
  <c r="D13" i="1"/>
  <c r="E16" i="1"/>
  <c r="E17" i="1"/>
  <c r="F17" i="1"/>
  <c r="F16" i="1"/>
  <c r="D15" i="1"/>
  <c r="D14" i="1"/>
  <c r="J14" i="1" s="1"/>
  <c r="J6" i="1"/>
  <c r="J4" i="1"/>
  <c r="D8" i="1"/>
  <c r="D7" i="1"/>
  <c r="E7" i="1"/>
  <c r="E8" i="1"/>
  <c r="F7" i="1"/>
  <c r="F8" i="1"/>
  <c r="I26" i="1"/>
  <c r="J21" i="1"/>
  <c r="H26" i="1"/>
  <c r="H24" i="1"/>
  <c r="E24" i="1"/>
  <c r="D23" i="1"/>
  <c r="H21" i="1"/>
  <c r="I25" i="1"/>
  <c r="E23" i="1"/>
  <c r="E21" i="1"/>
  <c r="J25" i="1"/>
  <c r="G20" i="1"/>
  <c r="E25" i="1"/>
  <c r="E26" i="1"/>
  <c r="F21" i="1"/>
  <c r="G23" i="1"/>
  <c r="H23" i="1"/>
  <c r="D21" i="1"/>
  <c r="F26" i="1"/>
  <c r="F24" i="1"/>
  <c r="F23" i="1"/>
  <c r="H25" i="1"/>
  <c r="J24" i="1"/>
  <c r="J23" i="1"/>
  <c r="G26" i="1"/>
  <c r="G24" i="1"/>
  <c r="F25" i="1"/>
  <c r="G21" i="1"/>
  <c r="G25" i="1"/>
  <c r="E20" i="1"/>
  <c r="I24" i="1"/>
  <c r="F20" i="1"/>
  <c r="I23" i="1"/>
  <c r="D17" i="1" l="1"/>
  <c r="D16" i="1"/>
  <c r="J15" i="1"/>
  <c r="J13" i="1"/>
  <c r="J7" i="1"/>
  <c r="J8" i="1"/>
  <c r="E22" i="1"/>
  <c r="H22" i="1"/>
  <c r="J22" i="1"/>
  <c r="I22" i="1"/>
  <c r="G22" i="1"/>
  <c r="F22" i="1"/>
  <c r="D22" i="1"/>
  <c r="J17" i="1" l="1"/>
  <c r="J16" i="1"/>
  <c r="I15" i="1"/>
  <c r="E30" i="1"/>
  <c r="H34" i="1"/>
  <c r="D30" i="1"/>
  <c r="I33" i="1"/>
  <c r="H29" i="1"/>
  <c r="I30" i="1"/>
  <c r="E29" i="1"/>
  <c r="F32" i="1"/>
  <c r="G34" i="1"/>
  <c r="D29" i="1"/>
  <c r="G30" i="1"/>
  <c r="G32" i="1"/>
  <c r="F31" i="1"/>
  <c r="G29" i="1"/>
  <c r="E34" i="1"/>
  <c r="H30" i="1"/>
  <c r="H32" i="1"/>
  <c r="I32" i="1"/>
  <c r="D34" i="1"/>
  <c r="G33" i="1"/>
  <c r="F33" i="1"/>
  <c r="H31" i="1"/>
  <c r="H33" i="1"/>
  <c r="F30" i="1"/>
  <c r="D32" i="1"/>
  <c r="I31" i="1"/>
  <c r="E32" i="1"/>
  <c r="D33" i="1"/>
  <c r="D31" i="1"/>
  <c r="E33" i="1"/>
  <c r="E31" i="1"/>
  <c r="F34" i="1"/>
  <c r="I29" i="1"/>
  <c r="F29" i="1"/>
  <c r="G31" i="1"/>
  <c r="L3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<sst xmlns="http://schemas.openxmlformats.org/spreadsheetml/2006/main" count="207" uniqueCount="169">
  <si>
    <t>BS6</t>
  </si>
  <si>
    <t>SC9 Rate I HT</t>
  </si>
  <si>
    <t>75kW x 50,000 kWh</t>
  </si>
  <si>
    <t>BX6</t>
  </si>
  <si>
    <t>1000kW x 200,000 kWh</t>
  </si>
  <si>
    <t>I15</t>
  </si>
  <si>
    <t>I25</t>
  </si>
  <si>
    <t>I16</t>
  </si>
  <si>
    <t>!17</t>
  </si>
  <si>
    <t>I33</t>
  </si>
  <si>
    <t>MONTHLY ADJUSTMENT CLAUSE (MAC EST), PER KWH</t>
  </si>
  <si>
    <t>MAC, PER KWH (MAC Reconciliation)</t>
  </si>
  <si>
    <t>UNCOLLECTIBLE DELIVERY</t>
  </si>
  <si>
    <t>TRANSITION ADJUSTMENT - DELIVERY</t>
  </si>
  <si>
    <t>GRT Delivery</t>
  </si>
  <si>
    <t>L15</t>
  </si>
  <si>
    <t>L25</t>
  </si>
  <si>
    <t>L17</t>
  </si>
  <si>
    <t>L33</t>
  </si>
  <si>
    <t>L16</t>
  </si>
  <si>
    <t>SC9 Rate II HT</t>
  </si>
  <si>
    <t>50kW  25,000,000 kWh</t>
  </si>
  <si>
    <t>CH6</t>
  </si>
  <si>
    <t>MAC</t>
  </si>
  <si>
    <t>MAC Rcnc/Adj</t>
  </si>
  <si>
    <t>MAC UncDel</t>
  </si>
  <si>
    <t>MAC TrnAdj</t>
  </si>
  <si>
    <t>CAGR</t>
  </si>
  <si>
    <t>YOY</t>
  </si>
  <si>
    <t>SC9 Rate I</t>
  </si>
  <si>
    <t>SC2 Rate I</t>
  </si>
  <si>
    <t>MSC CAP</t>
  </si>
  <si>
    <t>MSC Energy</t>
  </si>
  <si>
    <t>MAC9R1</t>
  </si>
  <si>
    <t>MacRcncAdj9R1</t>
  </si>
  <si>
    <t>MacUncDlv9R1</t>
  </si>
  <si>
    <t>MacTrnsAdj9R1</t>
  </si>
  <si>
    <t>GRTDlv9R1</t>
  </si>
  <si>
    <t>MSCCap9R1</t>
  </si>
  <si>
    <t>MSCEnergy9R1</t>
  </si>
  <si>
    <t>MAC2R1</t>
  </si>
  <si>
    <t>MacRcncAdj2R1</t>
  </si>
  <si>
    <t>MacUncDlv2R1</t>
  </si>
  <si>
    <t>MacTrnsAdj2R1</t>
  </si>
  <si>
    <t>GRTDlv2R1</t>
  </si>
  <si>
    <t>MSCCap2R1</t>
  </si>
  <si>
    <t>MSCEnergy2R1</t>
  </si>
  <si>
    <t>SC1 Rate I</t>
  </si>
  <si>
    <t>MAC1R1</t>
  </si>
  <si>
    <t>MacRcncAdj1R1</t>
  </si>
  <si>
    <t>MacUncDlv1R1</t>
  </si>
  <si>
    <t>MacTrnsAdj1R1</t>
  </si>
  <si>
    <t>GRTDlv1R1</t>
  </si>
  <si>
    <t>MSCCap1R1</t>
  </si>
  <si>
    <t>MSCEnergy1R1</t>
  </si>
  <si>
    <t>SC9 Rate II</t>
  </si>
  <si>
    <t>CR6</t>
  </si>
  <si>
    <t>50000kW x 25,000,000 kWh</t>
  </si>
  <si>
    <t>R^2</t>
  </si>
  <si>
    <t>SC9 Rate I Correl</t>
  </si>
  <si>
    <t>SC9 Rate II Correl</t>
  </si>
  <si>
    <t>MAC9R2</t>
  </si>
  <si>
    <t>MacRcncAdj9R2</t>
  </si>
  <si>
    <t>MacUncDlv9R2</t>
  </si>
  <si>
    <t>MacTrnsAdj9R2</t>
  </si>
  <si>
    <t>MSCCap9R2</t>
  </si>
  <si>
    <t>MSCEnergy9R2</t>
  </si>
  <si>
    <t>MSC CAP (Rider M)</t>
  </si>
  <si>
    <t xml:space="preserve">Total MAC with Adjusted GRT = </t>
  </si>
  <si>
    <t xml:space="preserve">(MonthlyAdjustedMAC </t>
  </si>
  <si>
    <t xml:space="preserve">+  TransitionAdjustmentMACCharge) </t>
  </si>
  <si>
    <t xml:space="preserve">* (1 + GRT Delivery Tax) </t>
  </si>
  <si>
    <t>* Sales volume (kWh).</t>
  </si>
  <si>
    <t>Steps:</t>
  </si>
  <si>
    <t>1) define your variables (e.g. 4 variables, x1, x2, x3, x4);</t>
  </si>
  <si>
    <t>NOTES:</t>
  </si>
  <si>
    <t>PYTHON COEFF</t>
  </si>
  <si>
    <t xml:space="preserve">MAC </t>
  </si>
  <si>
    <t xml:space="preserve">MACRcncAdj </t>
  </si>
  <si>
    <t>MACUncDel</t>
  </si>
  <si>
    <t>MACTrnAdj</t>
  </si>
  <si>
    <t>GRTDel</t>
  </si>
  <si>
    <t>= avg of 4 yr historical = 2.478%</t>
  </si>
  <si>
    <t>2) write your constraint as equations (or inequalities) in-terms</t>
  </si>
  <si>
    <t>of the variables above (these are the Max/Mins for 4yrs Decembers on each)</t>
  </si>
  <si>
    <t>x1 &lt;= 0.0113,   x1 &gt;= 0.0084</t>
  </si>
  <si>
    <t>x2 &lt;= 0.008283, x2 &gt;= -0.003412</t>
  </si>
  <si>
    <t>x3 &lt;= 0.000075, x3 &gt;= 0.000027</t>
  </si>
  <si>
    <t>x4 &lt;= 0.000001, x4 &gt;= -0.000079</t>
  </si>
  <si>
    <t>3) write the objective Function (to maximize or minimize some expressions)</t>
  </si>
  <si>
    <t xml:space="preserve">e.g. Profit = 20x1 + 12x2 + 40x3 + 25x4 </t>
  </si>
  <si>
    <t>Objective is to Maximize Profit</t>
  </si>
  <si>
    <t>TOTALMAC = (x1+x2+x3+x4) * (1 + 0.02478) * 50,000</t>
  </si>
  <si>
    <t>TOTALMAC = (x1+x2+x3+x4) * (51,239)</t>
  </si>
  <si>
    <t xml:space="preserve">4) code the system of equations or inequalities using the approach above </t>
  </si>
  <si>
    <t xml:space="preserve">where we extract the coeffients of the Left Hand side inequaltiy </t>
  </si>
  <si>
    <t>(e.g. [1,1,1,1] from x1+x2+x3+x4 &lt;= 50</t>
  </si>
  <si>
    <t xml:space="preserve">and the </t>
  </si>
  <si>
    <t>Right Hand side inequality (e.g. 50, 100, 90 = right hand side of the contraint)</t>
  </si>
  <si>
    <t>[50,100,90]</t>
  </si>
  <si>
    <t xml:space="preserve"> because we have only 1</t>
  </si>
  <si>
    <t xml:space="preserve"> variable in each constraint</t>
  </si>
  <si>
    <t xml:space="preserve">LS: x1 x2  x3  x4  </t>
  </si>
  <si>
    <t xml:space="preserve">        RS:</t>
  </si>
  <si>
    <t xml:space="preserve">  [ 1  0   0   0   ]</t>
  </si>
  <si>
    <t xml:space="preserve"> </t>
  </si>
  <si>
    <t xml:space="preserve">  [ 0  1   0   0   ]</t>
  </si>
  <si>
    <t xml:space="preserve">  [ 0  0   1   0   ]</t>
  </si>
  <si>
    <t xml:space="preserve">  [ 0  0   0   1   ]</t>
  </si>
  <si>
    <t xml:space="preserve">  [ 0  0   0   0   ]</t>
  </si>
  <si>
    <t xml:space="preserve">  [-1  0   0   0   ]</t>
  </si>
  <si>
    <t xml:space="preserve">  [0   -1  0   0   ]</t>
  </si>
  <si>
    <t xml:space="preserve">  [0   0   -1  0   ]</t>
  </si>
  <si>
    <t xml:space="preserve">  [0   0   0  -1   ]</t>
  </si>
  <si>
    <t xml:space="preserve">  [0   0   0   0   ]</t>
  </si>
  <si>
    <t>from scipy.optimize import linprog</t>
  </si>
  <si>
    <t>obj = [51239, 51239, 51239, 51239]</t>
  </si>
  <si>
    <t>lhs_ineq = [[1, 0, 0, 0],</t>
  </si>
  <si>
    <t># MAC (&gt;= min)</t>
  </si>
  <si>
    <t xml:space="preserve">        [0, 1, 0, 0],  # MACRcncAdj (&gt;=min) </t>
  </si>
  <si>
    <t xml:space="preserve">        [0, 0, 1, 0],  # MACUncDel (&gt;=min)</t>
  </si>
  <si>
    <t xml:space="preserve">        [0, 0, 0, 1],  # MACTrnAdj (&gt;=min)</t>
  </si>
  <si>
    <t xml:space="preserve">        [-1, 0, 0, 0],  # MAC (&lt;= max)</t>
  </si>
  <si>
    <t xml:space="preserve">        [0, -1, 0, 0],  # MACRcncAdj (&lt;=max)</t>
  </si>
  <si>
    <t xml:space="preserve">        [0, 0, -1, 0],  # MACUncDel (&lt;=max)</t>
  </si>
  <si>
    <t xml:space="preserve">        [0, 0, 0, -1]]</t>
  </si>
  <si>
    <t># MACTrnAdj (&lt;=max)</t>
  </si>
  <si>
    <t xml:space="preserve">rhs_ineq = [ 0.0113,  </t>
  </si>
  <si>
    <t xml:space="preserve">            0.008283, </t>
  </si>
  <si>
    <t># MACRcncAdj (&gt;=min)</t>
  </si>
  <si>
    <t xml:space="preserve">    0.000075, </t>
  </si>
  <si>
    <t># MACUncDel (&gt;=min)</t>
  </si>
  <si>
    <t xml:space="preserve">    0.000001,   # MACTrnAdj (&gt;=min)</t>
  </si>
  <si>
    <t xml:space="preserve">    -0.0084,</t>
  </si>
  <si>
    <t># MAC (&lt;= max)</t>
  </si>
  <si>
    <t xml:space="preserve">    0.003412,   # MACRcncAdj (&lt;=max)</t>
  </si>
  <si>
    <t xml:space="preserve">    -0.000027,  # MACUncDel (&lt;=max)</t>
  </si>
  <si>
    <t xml:space="preserve">    0.000079]   # MACTrnAdj (&lt;=max)</t>
  </si>
  <si>
    <t>opt = linprog(c = obj, A_ub = lhs_ineq, b_ub=rhs_ineq,</t>
  </si>
  <si>
    <t xml:space="preserve">              method="revised simplex")</t>
  </si>
  <si>
    <t>print(opt)</t>
  </si>
  <si>
    <t>5) print out of solution:</t>
  </si>
  <si>
    <t xml:space="preserve">  con: array([], dtype=float64)</t>
  </si>
  <si>
    <t xml:space="preserve">     </t>
  </si>
  <si>
    <t>fun: 431.7910529999999</t>
  </si>
  <si>
    <t xml:space="preserve"> message: 'The solution was determined in presolve as there are no non-trivial constraints.'</t>
  </si>
  <si>
    <t>nit: 0</t>
  </si>
  <si>
    <t xml:space="preserve">   </t>
  </si>
  <si>
    <t>slack: array([2.900e-03, 8.283e-03, 4.800e-05, 1.000e-06, 0.000e+00, 3.412e-03,</t>
  </si>
  <si>
    <t xml:space="preserve">       </t>
  </si>
  <si>
    <t>0.000e+00, 7.900e-05])</t>
  </si>
  <si>
    <t xml:space="preserve">  </t>
  </si>
  <si>
    <t>status: 0</t>
  </si>
  <si>
    <t>success: True</t>
  </si>
  <si>
    <t>x: array([8.4e-03, 0.0e+00, 2.7e-05, 0.0e+00])</t>
  </si>
  <si>
    <t>ANOTHER WORDS: the answer is x1 = 0.0084, x2 = 0.0, x3 = 0.000027, x4 = 0.0</t>
  </si>
  <si>
    <t>These are the values for x1, x2, x3 &amp; x4 to OPTIMIZE the Value of the</t>
  </si>
  <si>
    <t>Objective Function (or the Minimum possible value for the objective function</t>
  </si>
  <si>
    <t>in  this case)</t>
  </si>
  <si>
    <t>So we plug our values back in and get the answer:</t>
  </si>
  <si>
    <t>SUM(0.0084, 0.0, 0.000027, 0.0) * (1 + 2.4780%) * 50000 = $431.79</t>
  </si>
  <si>
    <t>2/7/21 Linear Program for MAC variables (using the SciPy Library, not using Pulp library - different approach:</t>
  </si>
  <si>
    <t>MinimizedObjFunct</t>
  </si>
  <si>
    <t>MaximizedObjFunct</t>
  </si>
  <si>
    <t xml:space="preserve">via </t>
  </si>
  <si>
    <t>obj = [-51239, -51239, -51239, -51239]</t>
  </si>
  <si>
    <t xml:space="preserve">  x: array([1.130e-02, 8.283e-03, 7.500e-05, 1.000e-06])</t>
  </si>
  <si>
    <t xml:space="preserve">if we maximized the objective functions instead of above's minimization (by putting negatives in front of the obj constants _ reversing their signs), </t>
  </si>
  <si>
    <r>
      <t xml:space="preserve">    1.13/100 = </t>
    </r>
    <r>
      <rPr>
        <b/>
        <sz val="11"/>
        <color theme="1"/>
        <rFont val="Calibri"/>
        <family val="2"/>
        <scheme val="minor"/>
      </rPr>
      <t>0.0113</t>
    </r>
    <r>
      <rPr>
        <sz val="11"/>
        <color theme="1"/>
        <rFont val="Calibri"/>
        <family val="2"/>
        <scheme val="minor"/>
      </rPr>
      <t xml:space="preserve"> + 8.283/1000 = </t>
    </r>
    <r>
      <rPr>
        <b/>
        <sz val="11"/>
        <color theme="1"/>
        <rFont val="Calibri"/>
        <family val="2"/>
        <scheme val="minor"/>
      </rPr>
      <t>0.00823</t>
    </r>
    <r>
      <rPr>
        <sz val="11"/>
        <color theme="1"/>
        <rFont val="Calibri"/>
        <family val="2"/>
        <scheme val="minor"/>
      </rPr>
      <t xml:space="preserve"> + 7.5/100000 = </t>
    </r>
    <r>
      <rPr>
        <b/>
        <sz val="11"/>
        <color theme="1"/>
        <rFont val="Calibri"/>
        <family val="2"/>
        <scheme val="minor"/>
      </rPr>
      <t>0.000075</t>
    </r>
    <r>
      <rPr>
        <sz val="11"/>
        <color theme="1"/>
        <rFont val="Calibri"/>
        <family val="2"/>
        <scheme val="minor"/>
      </rPr>
      <t xml:space="preserve"> + 1.0/1000000 = </t>
    </r>
    <r>
      <rPr>
        <b/>
        <sz val="11"/>
        <color theme="1"/>
        <rFont val="Calibri"/>
        <family val="2"/>
        <scheme val="minor"/>
      </rPr>
      <t>0.000001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</si>
</sst>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_);\(0.00000\)"/>
    <numFmt numFmtId="165" formatCode="0.0000%"/>
    <numFmt numFmtId="166" formatCode="_(&quot;$&quot;* #,##0.000000_);_(&quot;$&quot;* \(#,##0.000000\);_(&quot;$&quot;* &quot;-&quot;??_);_(@_)"/>
    <numFmt numFmtId="167" formatCode="_(&quot;$&quot;* #,##0.0000_);_(&quot;$&quot;* \(#,##0.0000\);_(&quot;$&quot;* &quot;-&quot;??_);_(@_)"/>
    <numFmt numFmtId="168" formatCode="_(&quot;$&quot;* #,##0.00000_);_(&quot;$&quot;* \(#,##0.00000\);_(&quot;$&quot;* &quot;-&quot;??_);_(@_)"/>
    <numFmt numFmtId="169" formatCode="0.0000000"/>
    <numFmt numFmtId="170" formatCode="0.00000000"/>
    <numFmt numFmtId="171" formatCode="0.000000_);\(0.000000\)"/>
    <numFmt numFmtId="172" formatCode="_(* #,##0.000000_);_(* \(#,##0.0000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rgb="FF00B050"/>
      <name val="Arial"/>
      <family val="2"/>
    </font>
    <font>
      <b/>
      <sz val="11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name val="Arial"/>
      <family val="2"/>
    </font>
    <font>
      <i/>
      <sz val="10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7" fontId="2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2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2" applyNumberFormat="1" applyFon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0" xfId="0" applyFont="1" applyFill="1" applyAlignment="1">
      <alignment horizontal="center"/>
    </xf>
    <xf numFmtId="17" fontId="2" fillId="0" borderId="0" xfId="0" applyNumberFormat="1" applyFont="1"/>
    <xf numFmtId="166" fontId="0" fillId="0" borderId="0" xfId="0" applyNumberFormat="1" applyAlignment="1">
      <alignment horizontal="center"/>
    </xf>
    <xf numFmtId="168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2" fontId="0" fillId="3" borderId="1" xfId="0" applyNumberFormat="1" applyFont="1" applyFill="1" applyBorder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71" fontId="0" fillId="0" borderId="0" xfId="0" applyNumberFormat="1" applyFont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9" fontId="0" fillId="2" borderId="0" xfId="2" applyFont="1" applyFill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44" fontId="2" fillId="0" borderId="0" xfId="1" applyFont="1" applyAlignment="1">
      <alignment horizontal="center"/>
    </xf>
    <xf numFmtId="9" fontId="2" fillId="0" borderId="0" xfId="2" applyFont="1" applyAlignment="1">
      <alignment horizontal="center"/>
    </xf>
    <xf numFmtId="43" fontId="0" fillId="0" borderId="0" xfId="3" applyFont="1"/>
    <xf numFmtId="39" fontId="2" fillId="5" borderId="0" xfId="3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9" fontId="2" fillId="2" borderId="0" xfId="2" applyFont="1" applyFill="1" applyAlignment="1">
      <alignment horizontal="center"/>
    </xf>
    <xf numFmtId="9" fontId="8" fillId="2" borderId="0" xfId="4" applyNumberFormat="1" applyFill="1" applyAlignment="1">
      <alignment horizontal="right"/>
    </xf>
    <xf numFmtId="172" fontId="10" fillId="6" borderId="0" xfId="3" applyNumberFormat="1" applyFont="1" applyFill="1" applyAlignment="1">
      <alignment horizontal="center" vertical="center"/>
    </xf>
    <xf numFmtId="9" fontId="0" fillId="6" borderId="0" xfId="2" applyFont="1" applyFill="1" applyAlignment="1">
      <alignment horizontal="center"/>
    </xf>
    <xf numFmtId="0" fontId="0" fillId="6" borderId="0" xfId="0" applyFill="1" applyAlignment="1">
      <alignment horizontal="center"/>
    </xf>
    <xf numFmtId="0" fontId="10" fillId="6" borderId="0" xfId="0" applyFont="1" applyFill="1" applyAlignment="1">
      <alignment horizontal="center"/>
    </xf>
    <xf numFmtId="165" fontId="10" fillId="6" borderId="0" xfId="2" applyNumberFormat="1" applyFont="1" applyFill="1" applyAlignment="1">
      <alignment horizontal="center"/>
    </xf>
    <xf numFmtId="44" fontId="11" fillId="6" borderId="0" xfId="4" applyNumberFormat="1" applyFont="1" applyFill="1" applyAlignment="1">
      <alignment horizontal="center" vertical="center"/>
    </xf>
    <xf numFmtId="0" fontId="0" fillId="6" borderId="0" xfId="0" applyFill="1"/>
    <xf numFmtId="0" fontId="12" fillId="0" borderId="0" xfId="0" applyFont="1" applyAlignment="1">
      <alignment horizontal="center"/>
    </xf>
    <xf numFmtId="0" fontId="13" fillId="0" borderId="0" xfId="0" applyFont="1"/>
    <xf numFmtId="0" fontId="0" fillId="2" borderId="0" xfId="0" applyFill="1"/>
    <xf numFmtId="0" fontId="2" fillId="2" borderId="0" xfId="0" applyFont="1" applyFill="1"/>
  </cellXfs>
  <cellStyles count="5">
    <cellStyle name="Comma" xfId="3" builtinId="3"/>
    <cellStyle name="Currency" xfId="1" builtinId="4"/>
    <cellStyle name="Hyperlink" xfId="4" builtinId="8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EB7B9A2B-F27D-48D1-8FB9-47CDAEF9A918}"/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ROPEYB/Desktop/Rate%20Engineering/LIPA%20calc/December%202020/Master%20Bill%20Template-%20For%20Monthly%20Actu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02009fi\datadirs\Rate%20Engineering\ELECRATE\EEISURVEY\01-01-2021\EEI_Bill_Calc%20for%20Dec2020%20(Jan%20202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%20Bill%20Template-%20For%20Monthly%20Actu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e Chart Division - Bar chart"/>
      <sheetName val="Ancillaries &amp; NTAC &amp; TfC"/>
      <sheetName val="Pie Chart Division"/>
      <sheetName val="Pie Chart"/>
      <sheetName val="Pie Chart Division for Info Ex"/>
      <sheetName val="Summary for Info Ex"/>
      <sheetName val="O&amp;R Comp (Winter) - NYC"/>
      <sheetName val="O&amp;R Comp (Winter) - West"/>
      <sheetName val="Estimated Bill SC 1 NYC"/>
      <sheetName val="Estimated Bill SC 1 West"/>
      <sheetName val="Estimated Bill SC 2 NYC"/>
      <sheetName val="Estimated Bill SC 9 NYC"/>
      <sheetName val="Estimated Bill SC 9 NYC big"/>
      <sheetName val="Estimated Bill SC 9 NYC TOD"/>
      <sheetName val="Bill Comparison Summer"/>
      <sheetName val="Bill Comparison Summer SC2"/>
      <sheetName val="Summer Detailed Breakdown OLD"/>
      <sheetName val="MSC breakdown"/>
      <sheetName val="Summer Detailed Breakdown"/>
      <sheetName val="Bill Comparison Winter"/>
      <sheetName val="Bill Comparison Winter ALT"/>
      <sheetName val="Winter Detailed Breakdown"/>
      <sheetName val="Bill Comparison Winter ALT MS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DD11">
            <v>2.5108999999999999E-2</v>
          </cell>
          <cell r="DP11">
            <v>2.4822E-2</v>
          </cell>
          <cell r="EB11">
            <v>2.3906E-2</v>
          </cell>
          <cell r="EN11">
            <v>2.5281999999999999E-2</v>
          </cell>
        </row>
        <row r="39">
          <cell r="DD39">
            <v>3.38</v>
          </cell>
          <cell r="DP39">
            <v>2.9</v>
          </cell>
          <cell r="EB39">
            <v>3.45</v>
          </cell>
          <cell r="EN39">
            <v>7.21</v>
          </cell>
        </row>
        <row r="40">
          <cell r="DD40">
            <v>5.6084000000000002E-2</v>
          </cell>
          <cell r="DP40">
            <v>4.5977999999999998E-2</v>
          </cell>
          <cell r="EB40">
            <v>3.4521000000000003E-2</v>
          </cell>
          <cell r="EN40">
            <v>3.925E-2</v>
          </cell>
        </row>
        <row r="43">
          <cell r="DD43">
            <v>8.3999999999999995E-3</v>
          </cell>
          <cell r="DP43">
            <v>1.0359999999999999E-2</v>
          </cell>
          <cell r="EB43">
            <v>9.3600000000000003E-3</v>
          </cell>
          <cell r="EN43">
            <v>1.1299999999999999E-2</v>
          </cell>
        </row>
        <row r="44">
          <cell r="DD44">
            <v>2.8050000000000002E-3</v>
          </cell>
          <cell r="DP44">
            <v>-3.4120000000000001E-3</v>
          </cell>
          <cell r="EB44">
            <v>2.1849999999999999E-3</v>
          </cell>
          <cell r="EN44">
            <v>8.2830000000000004E-3</v>
          </cell>
        </row>
        <row r="45">
          <cell r="DD45">
            <v>7.4999999999999993E-5</v>
          </cell>
          <cell r="DP45">
            <v>4.1999999999999998E-5</v>
          </cell>
          <cell r="EB45">
            <v>5.8999999999999998E-5</v>
          </cell>
          <cell r="EN45">
            <v>2.6999999999999999E-5</v>
          </cell>
        </row>
        <row r="46">
          <cell r="DD46">
            <v>-7.8999999999999996E-5</v>
          </cell>
          <cell r="DP46">
            <v>-7.0642293810987833E-6</v>
          </cell>
          <cell r="EB46">
            <v>-1.4105520141055202E-8</v>
          </cell>
          <cell r="EN46">
            <v>9.9999999999999995E-7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1(Rate I)"/>
      <sheetName val="SC2(Rate I)"/>
      <sheetName val="SC9(Rate I)LT"/>
      <sheetName val="SC9(Rate I)HT"/>
      <sheetName val="SC9(Rate II)HT"/>
      <sheetName val="Special Check =&gt;"/>
      <sheetName val="Check Real Bill2"/>
    </sheetNames>
    <sheetDataSet>
      <sheetData sheetId="0">
        <row r="18">
          <cell r="C18">
            <v>2.6999999999999999E-5</v>
          </cell>
        </row>
      </sheetData>
      <sheetData sheetId="1">
        <row r="18">
          <cell r="C18">
            <v>2.6999999999999999E-5</v>
          </cell>
        </row>
      </sheetData>
      <sheetData sheetId="2">
        <row r="16">
          <cell r="C16">
            <v>2.6999999999999999E-5</v>
          </cell>
        </row>
      </sheetData>
      <sheetData sheetId="3">
        <row r="15">
          <cell r="I15">
            <v>1.1299999999999999E-2</v>
          </cell>
          <cell r="L15">
            <v>1.1299999999999999E-2</v>
          </cell>
        </row>
        <row r="16">
          <cell r="I16">
            <v>2.6999999999999999E-5</v>
          </cell>
          <cell r="L16">
            <v>2.6999999999999999E-5</v>
          </cell>
        </row>
        <row r="17">
          <cell r="I17">
            <v>9.9999999999999995E-7</v>
          </cell>
          <cell r="L17">
            <v>9.9999999999999995E-7</v>
          </cell>
        </row>
        <row r="25">
          <cell r="I25">
            <v>8.2830000000000004E-3</v>
          </cell>
          <cell r="L25">
            <v>8.2830000000000004E-3</v>
          </cell>
        </row>
        <row r="33">
          <cell r="I33">
            <v>2.5281999999999999E-2</v>
          </cell>
          <cell r="L33">
            <v>2.5281999999999999E-2</v>
          </cell>
        </row>
      </sheetData>
      <sheetData sheetId="4">
        <row r="15">
          <cell r="F15">
            <v>1.1299999999999999E-2</v>
          </cell>
        </row>
        <row r="16">
          <cell r="F16">
            <v>2.6999999999999999E-5</v>
          </cell>
        </row>
        <row r="17">
          <cell r="F17">
            <v>9.9999999999999995E-7</v>
          </cell>
        </row>
        <row r="25">
          <cell r="F25">
            <v>8.2830000000000004E-3</v>
          </cell>
        </row>
        <row r="33">
          <cell r="F33">
            <v>2.5281999999999999E-2</v>
          </cell>
        </row>
        <row r="36">
          <cell r="C36">
            <v>4.1486000000000002E-2</v>
          </cell>
        </row>
        <row r="37">
          <cell r="C37">
            <v>3.7871000000000002E-2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e Chart Division - Bar chart"/>
      <sheetName val="Ancillaries &amp; NTAC &amp; TfC"/>
      <sheetName val="Pie Chart Division"/>
      <sheetName val="Pie Chart"/>
      <sheetName val="Pie Chart Division for Info Ex"/>
      <sheetName val="Summary for Info Ex"/>
      <sheetName val="O&amp;R Comp (Winter) - NYC"/>
      <sheetName val="O&amp;R Comp (Winter) - West"/>
      <sheetName val="Estimated Bill SC 1 NYC"/>
      <sheetName val="Estimated Bill SC 1 West"/>
      <sheetName val="Estimated Bill SC 2 NYC"/>
      <sheetName val="Estimated Bill SC 9 NYC"/>
      <sheetName val="Estimated Bill SC 9 NYC big"/>
      <sheetName val="Estimated Bill SC 9 NYC TOD"/>
      <sheetName val="Bill Comparison Summer"/>
      <sheetName val="Bill Comparison Summer SC2"/>
      <sheetName val="Summer Detailed Breakdown OLD"/>
      <sheetName val="MSC breakdown"/>
      <sheetName val="Summer Detailed Breakdown"/>
      <sheetName val="Bill Comparison Winter"/>
      <sheetName val="Bill Comparison Winter ALT"/>
      <sheetName val="Winter Detailed Breakdown"/>
      <sheetName val="Bill Comparison Winter ALT MS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0">
          <cell r="DC10">
            <v>5.0517000000000006E-2</v>
          </cell>
          <cell r="DO10">
            <v>4.9892000000000006E-2</v>
          </cell>
          <cell r="EA10">
            <v>4.9089000000000001E-2</v>
          </cell>
          <cell r="EM10">
            <v>5.0505000000000001E-2</v>
          </cell>
        </row>
        <row r="31">
          <cell r="DC31">
            <v>6.9903000000000007E-2</v>
          </cell>
          <cell r="DO31">
            <v>6.3325999999999993E-2</v>
          </cell>
          <cell r="EA31">
            <v>4.9214000000000001E-2</v>
          </cell>
          <cell r="EM31">
            <v>8.5391999999999996E-2</v>
          </cell>
        </row>
        <row r="32">
          <cell r="DC32">
            <v>5.4144000000000012E-2</v>
          </cell>
          <cell r="DO32">
            <v>4.2050999999999991E-2</v>
          </cell>
          <cell r="EM32">
            <v>1.1885000000000007E-2</v>
          </cell>
          <cell r="EN32">
            <v>1.5450000000000005E-2</v>
          </cell>
        </row>
        <row r="39">
          <cell r="DC39">
            <v>8.3999999999999995E-3</v>
          </cell>
          <cell r="DO39">
            <v>1.0359999999999999E-2</v>
          </cell>
          <cell r="EA39">
            <v>9.3600000000000003E-3</v>
          </cell>
          <cell r="EM39">
            <v>1.1299999999999999E-2</v>
          </cell>
        </row>
        <row r="40">
          <cell r="DC40">
            <v>2.8050000000000002E-3</v>
          </cell>
          <cell r="DO40">
            <v>-3.4120000000000001E-3</v>
          </cell>
          <cell r="EA40">
            <v>2.1849999999999999E-3</v>
          </cell>
          <cell r="EM40">
            <v>8.2830000000000004E-3</v>
          </cell>
        </row>
        <row r="41">
          <cell r="DC41">
            <v>7.4999999999999993E-5</v>
          </cell>
          <cell r="DO41">
            <v>4.1999999999999998E-5</v>
          </cell>
          <cell r="EA41">
            <v>5.8999999999999998E-5</v>
          </cell>
          <cell r="EM41">
            <v>2.6999999999999999E-5</v>
          </cell>
        </row>
        <row r="42">
          <cell r="DC42">
            <v>-7.8999999999999996E-5</v>
          </cell>
          <cell r="DO42">
            <v>-7.0642293810987833E-6</v>
          </cell>
          <cell r="EA42">
            <v>-1.4105520141055202E-8</v>
          </cell>
          <cell r="EM42">
            <v>9.9999999999999995E-7</v>
          </cell>
        </row>
      </sheetData>
      <sheetData sheetId="9"/>
      <sheetData sheetId="10">
        <row r="10">
          <cell r="DC10">
            <v>2.5108999999999999E-2</v>
          </cell>
          <cell r="DO10">
            <v>2.4822E-2</v>
          </cell>
          <cell r="EA10">
            <v>2.3906E-2</v>
          </cell>
          <cell r="EM10">
            <v>2.5281999999999999E-2</v>
          </cell>
        </row>
        <row r="32">
          <cell r="DC32">
            <v>6.9033999999999998E-2</v>
          </cell>
          <cell r="DO32">
            <v>5.8680000000000003E-2</v>
          </cell>
          <cell r="EA32">
            <v>4.7673E-2</v>
          </cell>
          <cell r="EM32">
            <v>6.0547999999999998E-2</v>
          </cell>
        </row>
        <row r="33">
          <cell r="DC33">
            <v>5.3694999999999993E-2</v>
          </cell>
          <cell r="DO33">
            <v>4.2044999999999999E-2</v>
          </cell>
          <cell r="EA33">
            <v>3.0933000000000002E-2</v>
          </cell>
          <cell r="EM33">
            <v>3.820999999999998E-3</v>
          </cell>
        </row>
        <row r="40">
          <cell r="DC40">
            <v>8.3999999999999995E-3</v>
          </cell>
          <cell r="DO40">
            <v>1.0359999999999999E-2</v>
          </cell>
          <cell r="EA40">
            <v>9.3600000000000003E-3</v>
          </cell>
          <cell r="EM40">
            <v>1.1299999999999999E-2</v>
          </cell>
        </row>
        <row r="41">
          <cell r="DC41">
            <v>2.8050000000000002E-3</v>
          </cell>
          <cell r="DO41">
            <v>-3.4120000000000001E-3</v>
          </cell>
          <cell r="EA41">
            <v>2.1849999999999999E-3</v>
          </cell>
          <cell r="EM41">
            <v>8.2830000000000004E-3</v>
          </cell>
        </row>
        <row r="42">
          <cell r="DC42">
            <v>7.4999999999999993E-5</v>
          </cell>
          <cell r="DO42">
            <v>4.1999999999999998E-5</v>
          </cell>
          <cell r="EA42">
            <v>5.8999999999999998E-5</v>
          </cell>
          <cell r="EM42">
            <v>2.6999999999999999E-5</v>
          </cell>
        </row>
        <row r="43">
          <cell r="DC43">
            <v>-7.8999999999999996E-5</v>
          </cell>
          <cell r="DO43">
            <v>-7.0642293810987833E-6</v>
          </cell>
          <cell r="EA43">
            <v>-1.4105520141055202E-8</v>
          </cell>
          <cell r="EM43">
            <v>9.9999999999999995E-7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ed.com/_external/cerates/documents/elecPSC10/electric-tariff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oned.com/_external/cerates/documents/elecPSC10/StatMSCCAP-68.pdf" TargetMode="External"/><Relationship Id="rId1" Type="http://schemas.openxmlformats.org/officeDocument/2006/relationships/hyperlink" Target="https://www.coned.com/_external/cerates/documents/elecPSC10/StatMSCCAP-68.pdf" TargetMode="External"/><Relationship Id="rId6" Type="http://schemas.openxmlformats.org/officeDocument/2006/relationships/hyperlink" Target="https://www.coned.com/_external/cerates/documents/elecPSC10/StatMSCCAP-43.pdf" TargetMode="External"/><Relationship Id="rId5" Type="http://schemas.openxmlformats.org/officeDocument/2006/relationships/hyperlink" Target="https://www.coned.com/_external/cerates/documents/elecPSC10/StatMSCCAP-31.pdf" TargetMode="External"/><Relationship Id="rId4" Type="http://schemas.openxmlformats.org/officeDocument/2006/relationships/hyperlink" Target="https://www.coned.com/_external/cerates/documents/elecPSC10/StatMSCCAP-5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9E6B-298E-4BA0-8D95-AB528DAAA0B8}">
  <dimension ref="A1:S72"/>
  <sheetViews>
    <sheetView tabSelected="1" zoomScale="90" zoomScaleNormal="90" workbookViewId="0">
      <selection activeCell="F36" sqref="F36"/>
    </sheetView>
  </sheetViews>
  <sheetFormatPr defaultRowHeight="14.5" x14ac:dyDescent="0.35"/>
  <cols>
    <col min="1" max="1" width="7.453125" customWidth="1"/>
    <col min="2" max="2" width="14.08984375" customWidth="1"/>
    <col min="3" max="3" width="19.81640625" style="1" bestFit="1" customWidth="1"/>
    <col min="4" max="4" width="17.26953125" style="1" customWidth="1"/>
    <col min="5" max="5" width="13.36328125" style="1" customWidth="1"/>
    <col min="6" max="6" width="20.26953125" style="1" bestFit="1" customWidth="1"/>
    <col min="7" max="7" width="12.81640625" style="1" customWidth="1"/>
    <col min="8" max="8" width="10.453125" style="1" customWidth="1"/>
    <col min="9" max="9" width="13.36328125" style="1" bestFit="1" customWidth="1"/>
    <col min="10" max="10" width="13.7265625" style="1" customWidth="1"/>
    <col min="11" max="11" width="9.54296875" style="1" customWidth="1"/>
    <col min="12" max="12" width="14.453125" customWidth="1"/>
    <col min="13" max="19" width="13.7265625" customWidth="1"/>
  </cols>
  <sheetData>
    <row r="1" spans="1:19" ht="15.5" x14ac:dyDescent="0.35">
      <c r="C1" s="10"/>
      <c r="D1" s="10"/>
      <c r="E1" s="10"/>
      <c r="F1" s="10"/>
      <c r="G1" s="10"/>
      <c r="H1" s="10"/>
      <c r="I1" s="10"/>
      <c r="J1" s="30" t="s">
        <v>29</v>
      </c>
    </row>
    <row r="2" spans="1:19" x14ac:dyDescent="0.35">
      <c r="C2" s="36" t="s">
        <v>23</v>
      </c>
      <c r="D2" s="36" t="s">
        <v>24</v>
      </c>
      <c r="E2" s="36" t="s">
        <v>25</v>
      </c>
      <c r="F2" s="36" t="s">
        <v>26</v>
      </c>
      <c r="G2" s="36" t="s">
        <v>14</v>
      </c>
      <c r="H2" s="36" t="s">
        <v>31</v>
      </c>
      <c r="I2" s="1" t="s">
        <v>32</v>
      </c>
      <c r="O2" s="1"/>
      <c r="P2" t="s">
        <v>4</v>
      </c>
      <c r="Q2" s="1"/>
      <c r="R2" s="1"/>
    </row>
    <row r="3" spans="1:19" x14ac:dyDescent="0.35">
      <c r="A3" s="24">
        <v>43070</v>
      </c>
      <c r="B3" s="1">
        <v>0</v>
      </c>
      <c r="C3" s="1">
        <f t="array" ref="C3:F3">TRANSPOSE('[1]Estimated Bill SC 9 NYC'!$DD$43:$DD$46)</f>
        <v>8.3999999999999995E-3</v>
      </c>
      <c r="D3" s="1">
        <v>2.8050000000000002E-3</v>
      </c>
      <c r="E3" s="1">
        <v>7.4999999999999993E-5</v>
      </c>
      <c r="F3" s="1">
        <v>-7.8999999999999996E-5</v>
      </c>
      <c r="G3" s="11">
        <f>'[1]Estimated Bill SC 9 NYC'!$DD$11</f>
        <v>2.5108999999999999E-2</v>
      </c>
      <c r="H3" s="13">
        <f>'[1]Estimated Bill SC 9 NYC'!$DD$39</f>
        <v>3.38</v>
      </c>
      <c r="I3" s="25">
        <f>'[1]Estimated Bill SC 9 NYC'!$DD$40</f>
        <v>5.6084000000000002E-2</v>
      </c>
      <c r="J3" s="12">
        <f>SUM(C3:F3)*(1+G3)*$N$4</f>
        <v>574.11229545000015</v>
      </c>
      <c r="L3" t="s">
        <v>1</v>
      </c>
      <c r="M3" t="s">
        <v>2</v>
      </c>
      <c r="N3" s="1"/>
      <c r="O3" s="1"/>
      <c r="P3" s="31" t="s">
        <v>3</v>
      </c>
      <c r="Q3" s="1">
        <v>200000</v>
      </c>
      <c r="R3" s="1"/>
    </row>
    <row r="4" spans="1:19" x14ac:dyDescent="0.35">
      <c r="A4" s="24">
        <v>43435</v>
      </c>
      <c r="B4" s="1">
        <v>1</v>
      </c>
      <c r="C4" s="1">
        <f t="array" ref="C4:F4">TRANSPOSE('[1]Estimated Bill SC 9 NYC'!$DP$43:$DP$46)</f>
        <v>1.0359999999999999E-2</v>
      </c>
      <c r="D4" s="1">
        <v>-3.4120000000000001E-3</v>
      </c>
      <c r="E4" s="1">
        <v>4.1999999999999998E-5</v>
      </c>
      <c r="F4" s="7">
        <v>-7.0642293810987833E-6</v>
      </c>
      <c r="G4" s="11">
        <f>'[1]Estimated Bill SC 9 NYC'!$DP$11</f>
        <v>2.4822E-2</v>
      </c>
      <c r="H4" s="13">
        <f>'[1]Estimated Bill SC 9 NYC'!$DP$39</f>
        <v>2.9</v>
      </c>
      <c r="I4" s="25">
        <f>'[1]Estimated Bill SC 9 NYC'!$DP$40</f>
        <v>4.5977999999999998E-2</v>
      </c>
      <c r="J4" s="12">
        <f>SUM(C4:F4)*(1+G4)*$N$4</f>
        <v>357.81331011586013</v>
      </c>
      <c r="M4" s="31" t="s">
        <v>0</v>
      </c>
      <c r="N4" s="1">
        <v>50000</v>
      </c>
      <c r="O4" s="1"/>
      <c r="P4" s="1"/>
      <c r="Q4" s="1"/>
      <c r="R4" s="1"/>
    </row>
    <row r="5" spans="1:19" x14ac:dyDescent="0.35">
      <c r="A5" s="24">
        <v>43800</v>
      </c>
      <c r="B5" s="1">
        <v>2</v>
      </c>
      <c r="C5" s="1">
        <f t="array" ref="C5:F5">TRANSPOSE('[1]Estimated Bill SC 9 NYC'!$EB$43:$EB$46)</f>
        <v>9.3600000000000003E-3</v>
      </c>
      <c r="D5" s="1">
        <v>2.1849999999999999E-3</v>
      </c>
      <c r="E5" s="1">
        <v>5.8999999999999998E-5</v>
      </c>
      <c r="F5" s="7">
        <v>-1.4105520141055202E-8</v>
      </c>
      <c r="G5" s="11">
        <f>'[1]Estimated Bill SC 9 NYC'!$EB$11</f>
        <v>2.3906E-2</v>
      </c>
      <c r="H5" s="13">
        <f>'[1]Estimated Bill SC 9 NYC'!$EB$39</f>
        <v>3.45</v>
      </c>
      <c r="I5" s="25">
        <f>'[1]Estimated Bill SC 9 NYC'!$EB$40</f>
        <v>3.4521000000000003E-2</v>
      </c>
      <c r="J5" s="12">
        <f>SUM(C5:F5)*(1+G5)*$N$4</f>
        <v>594.06953906366471</v>
      </c>
      <c r="L5" s="2" t="s">
        <v>10</v>
      </c>
      <c r="M5" s="1" t="s">
        <v>5</v>
      </c>
      <c r="N5" s="1">
        <f>'[2]SC9(Rate I)HT'!$I$15</f>
        <v>1.1299999999999999E-2</v>
      </c>
      <c r="O5" s="1"/>
      <c r="P5" s="1" t="s">
        <v>15</v>
      </c>
      <c r="Q5" s="1">
        <f>'[2]SC9(Rate I)HT'!$L$15</f>
        <v>1.1299999999999999E-2</v>
      </c>
      <c r="R5" s="1"/>
    </row>
    <row r="6" spans="1:19" x14ac:dyDescent="0.35">
      <c r="A6" s="24">
        <v>44166</v>
      </c>
      <c r="B6" s="1">
        <v>3</v>
      </c>
      <c r="C6" s="37">
        <f t="array" ref="C6:F6">TRANSPOSE('[1]Estimated Bill SC 9 NYC'!$EN$43:$EN$46)</f>
        <v>1.1299999999999999E-2</v>
      </c>
      <c r="D6" s="37">
        <v>8.2830000000000004E-3</v>
      </c>
      <c r="E6" s="37">
        <v>2.6999999999999999E-5</v>
      </c>
      <c r="F6" s="38">
        <v>9.9999999999999995E-7</v>
      </c>
      <c r="G6" s="11">
        <f>'[1]Estimated Bill SC 9 NYC'!$EN$11</f>
        <v>2.5281999999999999E-2</v>
      </c>
      <c r="H6" s="13">
        <f>'[1]Estimated Bill SC 9 NYC'!$EN$39</f>
        <v>7.21</v>
      </c>
      <c r="I6" s="25">
        <f>'[1]Estimated Bill SC 9 NYC'!$EN$40</f>
        <v>3.925E-2</v>
      </c>
      <c r="J6" s="43">
        <f>SUM(C6:F6)*(1+G6)*$N$4</f>
        <v>1005.3402651</v>
      </c>
      <c r="L6" s="3" t="s">
        <v>11</v>
      </c>
      <c r="M6" s="1" t="s">
        <v>6</v>
      </c>
      <c r="N6" s="1">
        <f>'[2]SC9(Rate I)HT'!$I$25</f>
        <v>8.2830000000000004E-3</v>
      </c>
      <c r="O6" s="1"/>
      <c r="P6" s="1" t="s">
        <v>16</v>
      </c>
      <c r="Q6" s="1">
        <f>'[2]SC9(Rate I)HT'!$L$25</f>
        <v>8.2830000000000004E-3</v>
      </c>
      <c r="R6" s="1"/>
    </row>
    <row r="7" spans="1:19" x14ac:dyDescent="0.35">
      <c r="B7" s="1" t="s">
        <v>27</v>
      </c>
      <c r="C7" s="9">
        <f t="shared" ref="C7:J7" si="0">(C6/C3)^(1/$B$6)-1</f>
        <v>0.10390843667722827</v>
      </c>
      <c r="D7" s="9">
        <f t="shared" si="0"/>
        <v>0.43466861784686661</v>
      </c>
      <c r="E7" s="9">
        <f t="shared" si="0"/>
        <v>-0.2886213391019874</v>
      </c>
      <c r="F7" s="9">
        <f t="shared" si="0"/>
        <v>-1.2330545768380057</v>
      </c>
      <c r="G7" s="9">
        <f t="shared" si="0"/>
        <v>2.2913987399384439E-3</v>
      </c>
      <c r="H7" s="9">
        <f t="shared" si="0"/>
        <v>0.28727950495325305</v>
      </c>
      <c r="I7" s="9">
        <f t="shared" si="0"/>
        <v>-0.11216234549759463</v>
      </c>
      <c r="J7" s="9">
        <f t="shared" si="0"/>
        <v>0.20532845575543224</v>
      </c>
      <c r="L7" s="3" t="s">
        <v>12</v>
      </c>
      <c r="M7" s="1" t="s">
        <v>7</v>
      </c>
      <c r="N7" s="1">
        <f>'[2]SC9(Rate I)HT'!$I$16</f>
        <v>2.6999999999999999E-5</v>
      </c>
      <c r="O7" s="1"/>
      <c r="P7" s="1" t="s">
        <v>19</v>
      </c>
      <c r="Q7" s="1">
        <f>'[2]SC9(Rate I)HT'!$L$16</f>
        <v>2.6999999999999999E-5</v>
      </c>
      <c r="R7" s="1"/>
    </row>
    <row r="8" spans="1:19" x14ac:dyDescent="0.35">
      <c r="B8" s="1" t="s">
        <v>28</v>
      </c>
      <c r="C8" s="8">
        <f>C6/C5-1</f>
        <v>0.20726495726495719</v>
      </c>
      <c r="D8" s="8">
        <f t="shared" ref="D8:F8" si="1">D6/D5-1</f>
        <v>2.7908466819221971</v>
      </c>
      <c r="E8" s="8">
        <f t="shared" si="1"/>
        <v>-0.5423728813559322</v>
      </c>
      <c r="F8" s="8">
        <f t="shared" si="1"/>
        <v>-71.894230769230759</v>
      </c>
      <c r="G8" s="8">
        <f t="shared" ref="G8:J8" si="2">G6/G5-1</f>
        <v>5.7558771856437652E-2</v>
      </c>
      <c r="H8" s="44">
        <f t="shared" si="2"/>
        <v>1.0898550724637679</v>
      </c>
      <c r="I8" s="8">
        <f t="shared" si="2"/>
        <v>0.13698907911126557</v>
      </c>
      <c r="J8" s="8">
        <f t="shared" si="2"/>
        <v>0.69229391341046465</v>
      </c>
      <c r="L8" s="3" t="s">
        <v>13</v>
      </c>
      <c r="M8" s="1" t="s">
        <v>8</v>
      </c>
      <c r="N8" s="1">
        <f>'[2]SC9(Rate I)HT'!$I$17</f>
        <v>9.9999999999999995E-7</v>
      </c>
      <c r="O8" s="1"/>
      <c r="P8" s="1" t="s">
        <v>17</v>
      </c>
      <c r="Q8" s="1">
        <f>'[2]SC9(Rate I)HT'!$L$17</f>
        <v>9.9999999999999995E-7</v>
      </c>
      <c r="R8" s="1"/>
    </row>
    <row r="9" spans="1:19" x14ac:dyDescent="0.35">
      <c r="B9" s="1"/>
      <c r="C9" s="56">
        <f>MAX(MAC9R2)</f>
        <v>1.1299999999999999E-2</v>
      </c>
      <c r="D9" s="56">
        <f>MAX(MacRcncAdj9R2)</f>
        <v>8.2830000000000004E-3</v>
      </c>
      <c r="E9" s="56">
        <f>MAX(MacUncDlv9R2)</f>
        <v>7.4999999999999993E-5</v>
      </c>
      <c r="F9" s="56">
        <f>MAX(MacTrnsAdj9R2)</f>
        <v>9.9999999999999995E-7</v>
      </c>
      <c r="G9" s="57">
        <f>AVERAGE(G12:G15)</f>
        <v>2.477975E-2</v>
      </c>
      <c r="H9" s="44"/>
      <c r="I9" s="8"/>
      <c r="J9" s="8"/>
      <c r="L9" s="2" t="s">
        <v>14</v>
      </c>
      <c r="M9" s="1" t="s">
        <v>9</v>
      </c>
      <c r="N9" s="1">
        <f>'[2]SC9(Rate I)HT'!$I$33</f>
        <v>2.5281999999999999E-2</v>
      </c>
      <c r="O9" s="4">
        <f>SUM(N5:N8)*(1+N9)*N4</f>
        <v>1005.3402651</v>
      </c>
      <c r="P9" s="1" t="s">
        <v>18</v>
      </c>
      <c r="Q9" s="1">
        <f>'[2]SC9(Rate I)HT'!$L$33</f>
        <v>2.5281999999999999E-2</v>
      </c>
      <c r="R9" s="4">
        <f>SUM(Q5:Q8)*(1+Q9)*Q3</f>
        <v>4021.3610604</v>
      </c>
      <c r="S9" s="1"/>
    </row>
    <row r="10" spans="1:19" x14ac:dyDescent="0.35">
      <c r="B10" s="1"/>
      <c r="C10" s="56">
        <f>MIN(MAC9R2)</f>
        <v>8.3999999999999995E-3</v>
      </c>
      <c r="D10" s="56">
        <f>MIN(MacRcncAdj9R2)</f>
        <v>-3.4120000000000001E-3</v>
      </c>
      <c r="E10" s="56">
        <f>MIN(MacUncDlv9R2)</f>
        <v>2.6999999999999999E-5</v>
      </c>
      <c r="F10" s="56">
        <f>MIN(MacTrnsAdj9R2)</f>
        <v>-7.8999999999999996E-5</v>
      </c>
      <c r="G10" s="57"/>
      <c r="H10" s="36"/>
      <c r="J10" s="8"/>
      <c r="N10" s="1"/>
      <c r="O10" s="1"/>
      <c r="P10" s="1"/>
      <c r="Q10" s="1"/>
      <c r="R10" s="1"/>
      <c r="S10" s="1"/>
    </row>
    <row r="11" spans="1:19" ht="15.5" x14ac:dyDescent="0.35">
      <c r="B11" s="1"/>
      <c r="C11" s="51" t="s">
        <v>23</v>
      </c>
      <c r="D11" s="51" t="s">
        <v>24</v>
      </c>
      <c r="E11" s="51" t="s">
        <v>25</v>
      </c>
      <c r="F11" s="51" t="s">
        <v>26</v>
      </c>
      <c r="G11" s="23" t="s">
        <v>14</v>
      </c>
      <c r="H11" s="52" t="s">
        <v>67</v>
      </c>
      <c r="I11" s="40" t="s">
        <v>32</v>
      </c>
      <c r="J11" s="30" t="s">
        <v>55</v>
      </c>
      <c r="N11" s="1"/>
      <c r="O11" s="1"/>
      <c r="P11" s="1"/>
      <c r="Q11" s="1"/>
      <c r="R11" s="1"/>
      <c r="S11" s="1"/>
    </row>
    <row r="12" spans="1:19" x14ac:dyDescent="0.35">
      <c r="A12" s="24">
        <v>43070</v>
      </c>
      <c r="B12" s="1"/>
      <c r="C12" s="1">
        <f t="shared" ref="C12:G15" si="3">C3</f>
        <v>8.3999999999999995E-3</v>
      </c>
      <c r="D12" s="1">
        <f t="shared" si="3"/>
        <v>2.8050000000000002E-3</v>
      </c>
      <c r="E12" s="1">
        <f t="shared" si="3"/>
        <v>7.4999999999999993E-5</v>
      </c>
      <c r="F12" s="1">
        <f t="shared" si="3"/>
        <v>-7.8999999999999996E-5</v>
      </c>
      <c r="G12" s="11">
        <f t="shared" si="3"/>
        <v>2.5108999999999999E-2</v>
      </c>
      <c r="H12" s="28">
        <v>3.38</v>
      </c>
      <c r="I12" s="8"/>
      <c r="J12" s="12">
        <f>SUM(C12:F12)*(1+G12)*$N$14</f>
        <v>287056.14772500005</v>
      </c>
      <c r="N12" s="1"/>
      <c r="O12" s="1"/>
      <c r="P12" s="1"/>
      <c r="Q12" s="1"/>
      <c r="R12" s="1"/>
      <c r="S12" s="1"/>
    </row>
    <row r="13" spans="1:19" x14ac:dyDescent="0.35">
      <c r="A13" s="24">
        <v>43435</v>
      </c>
      <c r="B13" s="1"/>
      <c r="C13" s="1">
        <f t="shared" si="3"/>
        <v>1.0359999999999999E-2</v>
      </c>
      <c r="D13" s="1">
        <f t="shared" si="3"/>
        <v>-3.4120000000000001E-3</v>
      </c>
      <c r="E13" s="1">
        <f t="shared" si="3"/>
        <v>4.1999999999999998E-5</v>
      </c>
      <c r="F13" s="7">
        <f t="shared" si="3"/>
        <v>-7.0642293810987833E-6</v>
      </c>
      <c r="G13" s="11">
        <f t="shared" si="3"/>
        <v>2.4822E-2</v>
      </c>
      <c r="H13" s="28">
        <v>1.89</v>
      </c>
      <c r="I13" s="8"/>
      <c r="J13" s="12">
        <f>SUM(C13:F13)*(1+G13)*$N$14</f>
        <v>178906.65505793007</v>
      </c>
      <c r="L13" t="s">
        <v>20</v>
      </c>
      <c r="M13" s="5" t="s">
        <v>21</v>
      </c>
      <c r="O13" s="1"/>
      <c r="P13" t="s">
        <v>57</v>
      </c>
      <c r="Q13" s="1"/>
      <c r="R13" s="1"/>
      <c r="S13" s="1"/>
    </row>
    <row r="14" spans="1:19" x14ac:dyDescent="0.35">
      <c r="A14" s="24">
        <v>43800</v>
      </c>
      <c r="B14" s="1"/>
      <c r="C14" s="1">
        <f t="shared" si="3"/>
        <v>9.3600000000000003E-3</v>
      </c>
      <c r="D14" s="1">
        <f t="shared" si="3"/>
        <v>2.1849999999999999E-3</v>
      </c>
      <c r="E14" s="1">
        <f t="shared" si="3"/>
        <v>5.8999999999999998E-5</v>
      </c>
      <c r="F14" s="7">
        <f t="shared" si="3"/>
        <v>-1.4105520141055202E-8</v>
      </c>
      <c r="G14" s="11">
        <f t="shared" si="3"/>
        <v>2.3906E-2</v>
      </c>
      <c r="H14" s="28">
        <v>3.71</v>
      </c>
      <c r="I14" s="8"/>
      <c r="J14" s="12">
        <f>SUM(C14:F14)*(1+G14)*$N$14</f>
        <v>297034.76953183237</v>
      </c>
      <c r="M14" s="32" t="s">
        <v>22</v>
      </c>
      <c r="N14" s="6">
        <v>25000000</v>
      </c>
      <c r="O14" s="1"/>
      <c r="P14" t="s">
        <v>56</v>
      </c>
      <c r="Q14" s="6">
        <v>25000000</v>
      </c>
      <c r="R14" s="1"/>
      <c r="S14" s="1"/>
    </row>
    <row r="15" spans="1:19" x14ac:dyDescent="0.35">
      <c r="A15" s="24">
        <v>44166</v>
      </c>
      <c r="B15" s="1"/>
      <c r="C15" s="37">
        <f t="shared" si="3"/>
        <v>1.1299999999999999E-2</v>
      </c>
      <c r="D15" s="37">
        <f t="shared" si="3"/>
        <v>8.2830000000000004E-3</v>
      </c>
      <c r="E15" s="37">
        <f t="shared" si="3"/>
        <v>2.6999999999999999E-5</v>
      </c>
      <c r="F15" s="38">
        <f t="shared" si="3"/>
        <v>9.9999999999999995E-7</v>
      </c>
      <c r="G15" s="11">
        <f t="shared" si="3"/>
        <v>2.5281999999999999E-2</v>
      </c>
      <c r="H15" s="28">
        <v>8.06</v>
      </c>
      <c r="I15" s="25">
        <f>(85%*I16)+(15%*I17)</f>
        <v>4.0943750000000001E-2</v>
      </c>
      <c r="J15" s="43">
        <f>SUM(C15:F15)*(1+G15)*$N$14</f>
        <v>502670.13254999998</v>
      </c>
      <c r="L15" s="2" t="s">
        <v>10</v>
      </c>
      <c r="M15" s="1"/>
      <c r="N15" s="1">
        <f>'[2]SC9(Rate II)HT'!$F$15</f>
        <v>1.1299999999999999E-2</v>
      </c>
      <c r="O15" s="1"/>
      <c r="Q15" s="1">
        <f>'[2]SC9(Rate II)HT'!$F$15</f>
        <v>1.1299999999999999E-2</v>
      </c>
      <c r="R15" s="1"/>
      <c r="S15" s="1"/>
    </row>
    <row r="16" spans="1:19" x14ac:dyDescent="0.35">
      <c r="B16" s="1" t="s">
        <v>27</v>
      </c>
      <c r="C16" s="9">
        <f>(C15/C12)^(1/$B$6)-1</f>
        <v>0.10390843667722827</v>
      </c>
      <c r="D16" s="9">
        <f t="shared" ref="D16:H16" si="4">(D15/D12)^(1/$B$6)-1</f>
        <v>0.43466861784686661</v>
      </c>
      <c r="E16" s="9">
        <f t="shared" si="4"/>
        <v>-0.2886213391019874</v>
      </c>
      <c r="F16" s="9">
        <f t="shared" si="4"/>
        <v>-1.2330545768380057</v>
      </c>
      <c r="G16" s="9">
        <f t="shared" si="4"/>
        <v>2.2913987399384439E-3</v>
      </c>
      <c r="H16" s="9">
        <f t="shared" si="4"/>
        <v>0.33599894085535675</v>
      </c>
      <c r="I16" s="1">
        <f>'[2]SC9(Rate II)HT'!$C$36</f>
        <v>4.1486000000000002E-2</v>
      </c>
      <c r="J16" s="9">
        <f t="shared" ref="J16" si="5">(J15/J12)^(1/$B$6)-1</f>
        <v>0.20532845575543224</v>
      </c>
      <c r="L16" s="3" t="s">
        <v>11</v>
      </c>
      <c r="M16" s="1"/>
      <c r="N16" s="1">
        <f>'[2]SC9(Rate II)HT'!$F$25</f>
        <v>8.2830000000000004E-3</v>
      </c>
      <c r="O16" s="1"/>
      <c r="Q16" s="1">
        <f>'[2]SC9(Rate II)HT'!$F$25</f>
        <v>8.2830000000000004E-3</v>
      </c>
      <c r="R16" s="1"/>
      <c r="S16" s="1"/>
    </row>
    <row r="17" spans="2:19" x14ac:dyDescent="0.35">
      <c r="B17" s="1" t="s">
        <v>28</v>
      </c>
      <c r="C17" s="8">
        <f>C15/C14-1</f>
        <v>0.20726495726495719</v>
      </c>
      <c r="D17" s="8">
        <f t="shared" ref="D17:G17" si="6">D15/D14-1</f>
        <v>2.7908466819221971</v>
      </c>
      <c r="E17" s="8">
        <f t="shared" si="6"/>
        <v>-0.5423728813559322</v>
      </c>
      <c r="F17" s="8">
        <f t="shared" si="6"/>
        <v>-71.894230769230759</v>
      </c>
      <c r="G17" s="8">
        <f t="shared" si="6"/>
        <v>5.7558771856437652E-2</v>
      </c>
      <c r="H17" s="44">
        <f>H15/H14-1</f>
        <v>1.1725067385444747</v>
      </c>
      <c r="I17" s="1">
        <f>'[2]SC9(Rate II)HT'!$C$37</f>
        <v>3.7871000000000002E-2</v>
      </c>
      <c r="J17" s="8">
        <f t="shared" ref="J17" si="7">J15/J14-1</f>
        <v>0.69229391341046442</v>
      </c>
      <c r="L17" s="3" t="s">
        <v>12</v>
      </c>
      <c r="M17" s="1"/>
      <c r="N17" s="1">
        <f>'[2]SC9(Rate II)HT'!$F$16</f>
        <v>2.6999999999999999E-5</v>
      </c>
      <c r="O17" s="1"/>
      <c r="Q17" s="1">
        <f>'[2]SC9(Rate II)HT'!$F$16</f>
        <v>2.6999999999999999E-5</v>
      </c>
      <c r="R17" s="1"/>
      <c r="S17" s="1"/>
    </row>
    <row r="18" spans="2:19" x14ac:dyDescent="0.35">
      <c r="B18" s="61" t="s">
        <v>162</v>
      </c>
      <c r="C18" s="53">
        <v>8.3999999999999995E-3</v>
      </c>
      <c r="D18" s="53">
        <v>0</v>
      </c>
      <c r="E18" s="53">
        <v>2.6999999999999999E-5</v>
      </c>
      <c r="F18" s="53">
        <v>0</v>
      </c>
      <c r="G18" s="54"/>
      <c r="H18" s="54"/>
      <c r="I18" s="55"/>
      <c r="J18" s="58">
        <f>SUM(C18:F18)*(1+$G$9)*50000</f>
        <v>431.79094766249989</v>
      </c>
      <c r="L18" s="3" t="s">
        <v>13</v>
      </c>
      <c r="M18" s="1"/>
      <c r="N18" s="1">
        <f>'[2]SC9(Rate II)HT'!$F$17</f>
        <v>9.9999999999999995E-7</v>
      </c>
      <c r="O18" s="1"/>
      <c r="Q18" s="1">
        <f>'[2]SC9(Rate II)HT'!$F$17</f>
        <v>9.9999999999999995E-7</v>
      </c>
      <c r="R18" s="1"/>
      <c r="S18" s="1"/>
    </row>
    <row r="19" spans="2:19" x14ac:dyDescent="0.35">
      <c r="C19" s="22" t="s">
        <v>59</v>
      </c>
      <c r="D19" s="15" t="s">
        <v>33</v>
      </c>
      <c r="E19" s="15" t="s">
        <v>34</v>
      </c>
      <c r="F19" s="15" t="s">
        <v>35</v>
      </c>
      <c r="G19" s="15" t="s">
        <v>36</v>
      </c>
      <c r="H19" s="15" t="s">
        <v>37</v>
      </c>
      <c r="I19" s="42" t="s">
        <v>38</v>
      </c>
      <c r="J19" s="15" t="s">
        <v>39</v>
      </c>
      <c r="L19" s="2" t="s">
        <v>14</v>
      </c>
      <c r="M19" s="1"/>
      <c r="N19" s="1">
        <f>'[2]SC9(Rate II)HT'!$F$33</f>
        <v>2.5281999999999999E-2</v>
      </c>
      <c r="O19" s="4">
        <f>SUM(N15:N18)*(1+N19)*N14</f>
        <v>502670.13254999998</v>
      </c>
      <c r="Q19" s="1">
        <f>'[2]SC9(Rate II)HT'!$F$33</f>
        <v>2.5281999999999999E-2</v>
      </c>
      <c r="R19" s="4">
        <f>SUM(Q15:Q18)*(1+Q19)*Q14</f>
        <v>502670.13254999998</v>
      </c>
    </row>
    <row r="20" spans="2:19" x14ac:dyDescent="0.35">
      <c r="C20" s="15" t="str">
        <f t="array" ref="C20:C26">TRANSPOSE(D19:J19)</f>
        <v>MAC9R1</v>
      </c>
      <c r="D20" s="16">
        <f t="shared" ref="D20:J26" ca="1" si="8">CORREL(INDIRECT($C20,FALSE),INDIRECT(D$19,FALSE))</f>
        <v>1</v>
      </c>
      <c r="E20" s="16">
        <f t="shared" ca="1" si="8"/>
        <v>0.28296449343988173</v>
      </c>
      <c r="F20" s="16">
        <f t="shared" ca="1" si="8"/>
        <v>-0.9999223582831902</v>
      </c>
      <c r="G20" s="16">
        <f t="shared" ca="1" si="8"/>
        <v>0.77693887041248877</v>
      </c>
      <c r="H20" s="16">
        <f t="shared" ca="1" si="8"/>
        <v>0.30436761476418844</v>
      </c>
      <c r="I20" s="19">
        <f t="shared" ca="1" si="8"/>
        <v>0.70024192509398109</v>
      </c>
      <c r="J20" s="16">
        <f t="shared" ca="1" si="8"/>
        <v>-0.53382354724445791</v>
      </c>
      <c r="L20" s="45"/>
    </row>
    <row r="21" spans="2:19" x14ac:dyDescent="0.35">
      <c r="C21" s="41" t="str">
        <v>MacRcncAdj9R1</v>
      </c>
      <c r="D21" s="16">
        <f t="shared" ca="1" si="8"/>
        <v>0.28296449343988173</v>
      </c>
      <c r="E21" s="16">
        <f t="shared" ca="1" si="8"/>
        <v>1</v>
      </c>
      <c r="F21" s="16">
        <f t="shared" ca="1" si="8"/>
        <v>-0.27100551410719431</v>
      </c>
      <c r="G21" s="16">
        <f t="shared" ca="1" si="8"/>
        <v>3.6973449214931987E-2</v>
      </c>
      <c r="H21" s="17">
        <f t="shared" ca="1" si="8"/>
        <v>0.34486138809382855</v>
      </c>
      <c r="I21" s="39">
        <f t="shared" ca="1" si="8"/>
        <v>0.87508670975851577</v>
      </c>
      <c r="J21" s="18">
        <f t="shared" ca="1" si="8"/>
        <v>-0.24227552037227248</v>
      </c>
      <c r="L21" s="47" t="s">
        <v>58</v>
      </c>
    </row>
    <row r="22" spans="2:19" x14ac:dyDescent="0.35">
      <c r="C22" s="14" t="str">
        <v>MacUncDlv9R1</v>
      </c>
      <c r="D22" s="16">
        <f t="shared" ca="1" si="8"/>
        <v>-0.9999223582831902</v>
      </c>
      <c r="E22" s="16">
        <f t="shared" ca="1" si="8"/>
        <v>-0.27100551410719431</v>
      </c>
      <c r="F22" s="16">
        <f t="shared" ca="1" si="8"/>
        <v>1.0000000000000002</v>
      </c>
      <c r="G22" s="16">
        <f t="shared" ca="1" si="8"/>
        <v>-0.77888017951327659</v>
      </c>
      <c r="H22" s="16">
        <f t="shared" ca="1" si="8"/>
        <v>-0.30155198892735269</v>
      </c>
      <c r="I22" s="20">
        <f t="shared" ca="1" si="8"/>
        <v>-0.69146998949521343</v>
      </c>
      <c r="J22" s="16">
        <f t="shared" ca="1" si="8"/>
        <v>0.53207841810553713</v>
      </c>
      <c r="L22" s="46">
        <f ca="1">I21^2</f>
        <v>0.76577674959598485</v>
      </c>
    </row>
    <row r="23" spans="2:19" x14ac:dyDescent="0.35">
      <c r="C23" s="14" t="str">
        <v>MacTrnsAdj9R1</v>
      </c>
      <c r="D23" s="16">
        <f t="shared" ca="1" si="8"/>
        <v>0.77693887041248877</v>
      </c>
      <c r="E23" s="16">
        <f t="shared" ca="1" si="8"/>
        <v>3.6973449214931987E-2</v>
      </c>
      <c r="F23" s="16">
        <f t="shared" ca="1" si="8"/>
        <v>-0.77888017951327659</v>
      </c>
      <c r="G23" s="16">
        <f t="shared" ca="1" si="8"/>
        <v>0.99999999999999978</v>
      </c>
      <c r="H23" s="16">
        <f t="shared" ca="1" si="8"/>
        <v>-0.36310390747320187</v>
      </c>
      <c r="I23" s="16">
        <f t="shared" ca="1" si="8"/>
        <v>0.34506497579470496</v>
      </c>
      <c r="J23" s="16">
        <f t="shared" ca="1" si="8"/>
        <v>-0.9007612354980743</v>
      </c>
    </row>
    <row r="24" spans="2:19" x14ac:dyDescent="0.35">
      <c r="C24" s="14" t="str">
        <v>GRTDlv9R1</v>
      </c>
      <c r="D24" s="16">
        <f t="shared" ca="1" si="8"/>
        <v>0.30436761476418844</v>
      </c>
      <c r="E24" s="16">
        <f t="shared" ca="1" si="8"/>
        <v>0.34486138809382855</v>
      </c>
      <c r="F24" s="16">
        <f t="shared" ca="1" si="8"/>
        <v>-0.30155198892735269</v>
      </c>
      <c r="G24" s="16">
        <f t="shared" ca="1" si="8"/>
        <v>-0.36310390747320187</v>
      </c>
      <c r="H24" s="16">
        <f t="shared" ca="1" si="8"/>
        <v>1</v>
      </c>
      <c r="I24" s="16">
        <f t="shared" ca="1" si="8"/>
        <v>0.50159557237428898</v>
      </c>
      <c r="J24" s="16">
        <f t="shared" ca="1" si="8"/>
        <v>0.57946394299166537</v>
      </c>
    </row>
    <row r="25" spans="2:19" x14ac:dyDescent="0.35">
      <c r="C25" s="14" t="str">
        <v>MSCCap9R1</v>
      </c>
      <c r="D25" s="16">
        <f t="shared" ca="1" si="8"/>
        <v>0.70024192509398109</v>
      </c>
      <c r="E25" s="16">
        <f t="shared" ca="1" si="8"/>
        <v>0.87508670975851577</v>
      </c>
      <c r="F25" s="16">
        <f t="shared" ca="1" si="8"/>
        <v>-0.69146998949521343</v>
      </c>
      <c r="G25" s="16">
        <f t="shared" ca="1" si="8"/>
        <v>0.34506497579470496</v>
      </c>
      <c r="H25" s="16">
        <f t="shared" ca="1" si="8"/>
        <v>0.50159557237428898</v>
      </c>
      <c r="I25" s="16">
        <f t="shared" ca="1" si="8"/>
        <v>1</v>
      </c>
      <c r="J25" s="16">
        <f t="shared" ca="1" si="8"/>
        <v>-0.35073432165260771</v>
      </c>
    </row>
    <row r="26" spans="2:19" x14ac:dyDescent="0.35">
      <c r="C26" s="14" t="str">
        <v>MSCEnergy9R1</v>
      </c>
      <c r="D26" s="16">
        <f t="shared" ca="1" si="8"/>
        <v>-0.53382354724445791</v>
      </c>
      <c r="E26" s="16">
        <f t="shared" ca="1" si="8"/>
        <v>-0.24227552037227248</v>
      </c>
      <c r="F26" s="16">
        <f t="shared" ca="1" si="8"/>
        <v>0.53207841810553713</v>
      </c>
      <c r="G26" s="16">
        <f t="shared" ca="1" si="8"/>
        <v>-0.9007612354980743</v>
      </c>
      <c r="H26" s="16">
        <f t="shared" ca="1" si="8"/>
        <v>0.57946394299166537</v>
      </c>
      <c r="I26" s="16">
        <f t="shared" ca="1" si="8"/>
        <v>-0.35073432165260771</v>
      </c>
      <c r="J26" s="16">
        <f t="shared" ca="1" si="8"/>
        <v>0.99999999999999978</v>
      </c>
      <c r="L26" s="31"/>
    </row>
    <row r="27" spans="2:19" x14ac:dyDescent="0.35">
      <c r="C27" s="48"/>
      <c r="D27" s="49"/>
      <c r="E27" s="49"/>
      <c r="F27" s="49"/>
      <c r="G27" s="49"/>
      <c r="H27" s="49"/>
      <c r="I27" s="49"/>
      <c r="J27" s="49"/>
    </row>
    <row r="28" spans="2:19" x14ac:dyDescent="0.35">
      <c r="C28" s="22" t="s">
        <v>60</v>
      </c>
      <c r="D28" s="15" t="s">
        <v>61</v>
      </c>
      <c r="E28" s="15" t="s">
        <v>62</v>
      </c>
      <c r="F28" s="15" t="s">
        <v>63</v>
      </c>
      <c r="G28" s="15" t="s">
        <v>64</v>
      </c>
      <c r="H28" s="15" t="s">
        <v>37</v>
      </c>
      <c r="I28" s="42" t="s">
        <v>65</v>
      </c>
      <c r="J28" s="15" t="s">
        <v>66</v>
      </c>
    </row>
    <row r="29" spans="2:19" x14ac:dyDescent="0.35">
      <c r="C29" s="15" t="str">
        <f t="array" ref="C29:C35">TRANSPOSE(D28:J28)</f>
        <v>MAC9R2</v>
      </c>
      <c r="D29" s="16">
        <f ca="1">CORREL(INDIRECT($C29,FALSE),INDIRECT(D$28,FALSE))</f>
        <v>1</v>
      </c>
      <c r="E29" s="16">
        <f ca="1">CORREL(INDIRECT($C29,FALSE),INDIRECT(E$28,FALSE))</f>
        <v>0.28296449343988173</v>
      </c>
      <c r="F29" s="16">
        <f ca="1">CORREL(INDIRECT($C29,FALSE),INDIRECT(F$28,FALSE))</f>
        <v>-0.9999223582831902</v>
      </c>
      <c r="G29" s="16">
        <f t="shared" ref="E29:I34" ca="1" si="9">CORREL(INDIRECT($C29,FALSE),INDIRECT(G$28,FALSE))</f>
        <v>0.77693887041248877</v>
      </c>
      <c r="H29" s="16">
        <f t="shared" ca="1" si="9"/>
        <v>0.30436761476418844</v>
      </c>
      <c r="I29" s="16">
        <f t="shared" ca="1" si="9"/>
        <v>0.58633391103160459</v>
      </c>
      <c r="J29" s="16"/>
    </row>
    <row r="30" spans="2:19" x14ac:dyDescent="0.35">
      <c r="C30" s="41" t="str">
        <v>MacRcncAdj9R2</v>
      </c>
      <c r="D30" s="16">
        <f t="shared" ref="D30:D34" ca="1" si="10">CORREL(INDIRECT($C30,FALSE),INDIRECT(D$28,FALSE))</f>
        <v>0.28296449343988173</v>
      </c>
      <c r="E30" s="16">
        <f t="shared" ca="1" si="9"/>
        <v>1</v>
      </c>
      <c r="F30" s="16">
        <f ca="1">CORREL(INDIRECT($C30,FALSE),INDIRECT(F$28,FALSE))</f>
        <v>-0.27100551410719431</v>
      </c>
      <c r="G30" s="16">
        <f t="shared" ca="1" si="9"/>
        <v>3.6973449214931987E-2</v>
      </c>
      <c r="H30" s="16">
        <f t="shared" ca="1" si="9"/>
        <v>0.34486138809382855</v>
      </c>
      <c r="I30" s="50">
        <f ca="1">CORREL(INDIRECT($C30,FALSE),INDIRECT(I$28,FALSE))</f>
        <v>0.9427558549182391</v>
      </c>
      <c r="J30" s="16"/>
      <c r="L30" s="46">
        <f ca="1">I30^2</f>
        <v>0.88878860198261989</v>
      </c>
    </row>
    <row r="31" spans="2:19" x14ac:dyDescent="0.35">
      <c r="C31" s="14" t="str">
        <v>MacUncDlv9R2</v>
      </c>
      <c r="D31" s="16">
        <f t="shared" ca="1" si="10"/>
        <v>-0.9999223582831902</v>
      </c>
      <c r="E31" s="16">
        <f t="shared" ca="1" si="9"/>
        <v>-0.27100551410719431</v>
      </c>
      <c r="F31" s="16">
        <f t="shared" ca="1" si="9"/>
        <v>1.0000000000000002</v>
      </c>
      <c r="G31" s="16">
        <f t="shared" ca="1" si="9"/>
        <v>-0.77888017951327659</v>
      </c>
      <c r="H31" s="16">
        <f t="shared" ca="1" si="9"/>
        <v>-0.30155198892735269</v>
      </c>
      <c r="I31" s="16">
        <f t="shared" ca="1" si="9"/>
        <v>-0.57621681007235659</v>
      </c>
      <c r="J31" s="16"/>
    </row>
    <row r="32" spans="2:19" x14ac:dyDescent="0.35">
      <c r="C32" s="14" t="str">
        <v>MacTrnsAdj9R2</v>
      </c>
      <c r="D32" s="16">
        <f t="shared" ca="1" si="10"/>
        <v>0.77693887041248877</v>
      </c>
      <c r="E32" s="16">
        <f t="shared" ca="1" si="9"/>
        <v>3.6973449214931987E-2</v>
      </c>
      <c r="F32" s="16">
        <f t="shared" ca="1" si="9"/>
        <v>-0.77888017951327659</v>
      </c>
      <c r="G32" s="16">
        <f t="shared" ca="1" si="9"/>
        <v>0.99999999999999978</v>
      </c>
      <c r="H32" s="16">
        <f t="shared" ca="1" si="9"/>
        <v>-0.36310390747320187</v>
      </c>
      <c r="I32" s="16">
        <f t="shared" ca="1" si="9"/>
        <v>0.29264406078395866</v>
      </c>
      <c r="J32" s="16"/>
    </row>
    <row r="33" spans="1:14" x14ac:dyDescent="0.35">
      <c r="C33" s="14" t="str">
        <v>GRTDlv9R1</v>
      </c>
      <c r="D33" s="16">
        <f t="shared" ca="1" si="10"/>
        <v>0.30436761476418844</v>
      </c>
      <c r="E33" s="16">
        <f t="shared" ca="1" si="9"/>
        <v>0.34486138809382855</v>
      </c>
      <c r="F33" s="16">
        <f t="shared" ca="1" si="9"/>
        <v>-0.30155198892735269</v>
      </c>
      <c r="G33" s="16">
        <f t="shared" ca="1" si="9"/>
        <v>-0.36310390747320187</v>
      </c>
      <c r="H33" s="16">
        <f t="shared" ca="1" si="9"/>
        <v>1</v>
      </c>
      <c r="I33" s="16">
        <f t="shared" ca="1" si="9"/>
        <v>0.40985399009029749</v>
      </c>
      <c r="J33" s="16"/>
    </row>
    <row r="34" spans="1:14" x14ac:dyDescent="0.35">
      <c r="C34" s="14" t="str">
        <v>MSCCap9R2</v>
      </c>
      <c r="D34" s="16">
        <f t="shared" ca="1" si="10"/>
        <v>0.58633391103160459</v>
      </c>
      <c r="E34" s="16">
        <f t="shared" ca="1" si="9"/>
        <v>0.9427558549182391</v>
      </c>
      <c r="F34" s="16">
        <f t="shared" ca="1" si="9"/>
        <v>-0.57621681007235659</v>
      </c>
      <c r="G34" s="16">
        <f t="shared" ca="1" si="9"/>
        <v>0.29264406078395866</v>
      </c>
      <c r="H34" s="16">
        <f t="shared" ca="1" si="9"/>
        <v>0.40985399009029749</v>
      </c>
      <c r="I34" s="16">
        <f t="shared" ca="1" si="9"/>
        <v>1</v>
      </c>
      <c r="J34" s="16"/>
    </row>
    <row r="35" spans="1:14" x14ac:dyDescent="0.35">
      <c r="C35" s="14" t="str">
        <v>MSCEnergy9R2</v>
      </c>
      <c r="D35" s="16"/>
      <c r="E35" s="16"/>
      <c r="F35" s="16"/>
      <c r="G35" s="16"/>
      <c r="H35" s="16"/>
      <c r="I35" s="16"/>
      <c r="J35" s="16"/>
    </row>
    <row r="36" spans="1:14" x14ac:dyDescent="0.35">
      <c r="B36" s="61" t="s">
        <v>163</v>
      </c>
      <c r="C36" s="60">
        <f>1.13/100</f>
        <v>1.1299999999999999E-2</v>
      </c>
      <c r="D36" s="60">
        <f>8.283/1000</f>
        <v>8.2829999999999987E-3</v>
      </c>
      <c r="E36" s="60">
        <f>7.5/100000</f>
        <v>7.4999999999999993E-5</v>
      </c>
      <c r="F36" s="60">
        <f>1/1000000</f>
        <v>9.9999999999999995E-7</v>
      </c>
      <c r="J36" s="58">
        <f>SUM(C36:F36)*(1+G9)*50000</f>
        <v>1007.3072552624999</v>
      </c>
    </row>
    <row r="37" spans="1:14" ht="15.5" x14ac:dyDescent="0.35">
      <c r="C37" s="10"/>
      <c r="D37" s="10"/>
      <c r="E37" s="10"/>
      <c r="F37" s="10"/>
      <c r="G37" s="10"/>
      <c r="H37" s="23"/>
      <c r="I37" s="10"/>
      <c r="J37" s="29" t="s">
        <v>30</v>
      </c>
    </row>
    <row r="38" spans="1:14" x14ac:dyDescent="0.35">
      <c r="C38" s="1" t="s">
        <v>23</v>
      </c>
      <c r="D38" s="1" t="s">
        <v>24</v>
      </c>
      <c r="E38" s="1" t="s">
        <v>25</v>
      </c>
      <c r="F38" s="1" t="s">
        <v>26</v>
      </c>
      <c r="G38" s="1" t="s">
        <v>14</v>
      </c>
      <c r="H38" s="1" t="s">
        <v>31</v>
      </c>
      <c r="I38" s="1" t="s">
        <v>32</v>
      </c>
      <c r="N38">
        <v>1500</v>
      </c>
    </row>
    <row r="39" spans="1:14" x14ac:dyDescent="0.35">
      <c r="A39" s="24">
        <v>43070</v>
      </c>
      <c r="B39" s="1">
        <v>0</v>
      </c>
      <c r="C39" s="1">
        <f>'[3]Estimated Bill SC 2 NYC'!$DC$40</f>
        <v>8.3999999999999995E-3</v>
      </c>
      <c r="D39" s="1">
        <f>'[3]Estimated Bill SC 2 NYC'!$DC$41</f>
        <v>2.8050000000000002E-3</v>
      </c>
      <c r="E39" s="1">
        <f>'[3]Estimated Bill SC 2 NYC'!$DC$42</f>
        <v>7.4999999999999993E-5</v>
      </c>
      <c r="F39" s="1">
        <f>'[3]Estimated Bill SC 2 NYC'!$DC$43</f>
        <v>-7.8999999999999996E-5</v>
      </c>
      <c r="G39" s="11">
        <f>'[3]Estimated Bill SC 2 NYC'!$DC$10</f>
        <v>2.5108999999999999E-2</v>
      </c>
      <c r="H39" s="27">
        <f>'[3]Estimated Bill SC 2 NYC'!$DC$32</f>
        <v>6.9033999999999998E-2</v>
      </c>
      <c r="I39" s="26">
        <f>'[3]Estimated Bill SC 2 NYC'!$DC$33</f>
        <v>5.3694999999999993E-2</v>
      </c>
      <c r="J39" s="12">
        <f>SUM(C39:F39)*(1+G39)*$N$38</f>
        <v>17.223368863500003</v>
      </c>
    </row>
    <row r="40" spans="1:14" x14ac:dyDescent="0.35">
      <c r="A40" s="24">
        <v>43435</v>
      </c>
      <c r="B40" s="1">
        <v>1</v>
      </c>
      <c r="C40" s="1">
        <f>'[3]Estimated Bill SC 2 NYC'!$DO$40</f>
        <v>1.0359999999999999E-2</v>
      </c>
      <c r="D40" s="7">
        <f>'[3]Estimated Bill SC 2 NYC'!$DO$41</f>
        <v>-3.4120000000000001E-3</v>
      </c>
      <c r="E40" s="1">
        <f>'[3]Estimated Bill SC 2 NYC'!$DO$42</f>
        <v>4.1999999999999998E-5</v>
      </c>
      <c r="F40" s="7">
        <f>'[3]Estimated Bill SC 2 NYC'!$DO$43</f>
        <v>-7.0642293810987833E-6</v>
      </c>
      <c r="G40" s="11">
        <f>'[3]Estimated Bill SC 2 NYC'!$DO$10</f>
        <v>2.4822E-2</v>
      </c>
      <c r="H40" s="27">
        <f>'[3]Estimated Bill SC 2 NYC'!$DO$32</f>
        <v>5.8680000000000003E-2</v>
      </c>
      <c r="I40" s="26">
        <f>'[3]Estimated Bill SC 2 NYC'!$DO$33</f>
        <v>4.2044999999999999E-2</v>
      </c>
      <c r="J40" s="12">
        <f t="shared" ref="J40:J41" si="11">SUM(C40:F40)*(1+G40)*$N$38</f>
        <v>10.734399303475804</v>
      </c>
    </row>
    <row r="41" spans="1:14" x14ac:dyDescent="0.35">
      <c r="A41" s="24">
        <v>43800</v>
      </c>
      <c r="B41" s="1">
        <v>2</v>
      </c>
      <c r="C41" s="1">
        <f>'[3]Estimated Bill SC 2 NYC'!$EA$40</f>
        <v>9.3600000000000003E-3</v>
      </c>
      <c r="D41" s="7">
        <f>'[3]Estimated Bill SC 2 NYC'!$EA$41</f>
        <v>2.1849999999999999E-3</v>
      </c>
      <c r="E41" s="1">
        <f>'[3]Estimated Bill SC 2 NYC'!$EA$42</f>
        <v>5.8999999999999998E-5</v>
      </c>
      <c r="F41" s="7">
        <f>'[3]Estimated Bill SC 2 NYC'!$EA$43</f>
        <v>-1.4105520141055202E-8</v>
      </c>
      <c r="G41" s="11">
        <f>'[3]Estimated Bill SC 2 NYC'!$EA$10</f>
        <v>2.3906E-2</v>
      </c>
      <c r="H41" s="27">
        <f>'[3]Estimated Bill SC 2 NYC'!$EA$32</f>
        <v>4.7673E-2</v>
      </c>
      <c r="I41" s="26">
        <f>'[3]Estimated Bill SC 2 NYC'!$EA$33</f>
        <v>3.0933000000000002E-2</v>
      </c>
      <c r="J41" s="12">
        <f t="shared" si="11"/>
        <v>17.822086171909941</v>
      </c>
    </row>
    <row r="42" spans="1:14" x14ac:dyDescent="0.35">
      <c r="A42" s="24">
        <v>44166</v>
      </c>
      <c r="B42" s="1">
        <v>3</v>
      </c>
      <c r="C42" s="1">
        <f>'[3]Estimated Bill SC 2 NYC'!$EM$40</f>
        <v>1.1299999999999999E-2</v>
      </c>
      <c r="D42" s="7">
        <f>'[3]Estimated Bill SC 2 NYC'!$EM$41</f>
        <v>8.2830000000000004E-3</v>
      </c>
      <c r="E42" s="1">
        <f>'[3]Estimated Bill SC 2 NYC'!$EM$42</f>
        <v>2.6999999999999999E-5</v>
      </c>
      <c r="F42" s="7">
        <f>'[3]Estimated Bill SC 2 NYC'!$EM$43</f>
        <v>9.9999999999999995E-7</v>
      </c>
      <c r="G42" s="11">
        <f>'[3]Estimated Bill SC 2 NYC'!$EM$10</f>
        <v>2.5281999999999999E-2</v>
      </c>
      <c r="H42" s="27">
        <f>'[3]Estimated Bill SC 2 NYC'!$EM$32</f>
        <v>6.0547999999999998E-2</v>
      </c>
      <c r="I42" s="26">
        <f>'[3]Estimated Bill SC 2 NYC'!$EM$33</f>
        <v>3.820999999999998E-3</v>
      </c>
      <c r="J42" s="12">
        <f>SUM(C42:F42)*(1+G42)*$N$38</f>
        <v>30.160207953</v>
      </c>
    </row>
    <row r="43" spans="1:14" x14ac:dyDescent="0.35">
      <c r="B43" s="1" t="s">
        <v>27</v>
      </c>
      <c r="C43" s="9">
        <f t="shared" ref="C43" si="12">(C42/C39)^(1/$B$6)-1</f>
        <v>0.10390843667722827</v>
      </c>
      <c r="D43" s="9">
        <f t="shared" ref="D43" si="13">(D42/D39)^(1/$B$6)-1</f>
        <v>0.43466861784686661</v>
      </c>
      <c r="E43" s="9">
        <f t="shared" ref="E43" si="14">(E42/E39)^(1/$B$6)-1</f>
        <v>-0.2886213391019874</v>
      </c>
      <c r="F43" s="9">
        <f t="shared" ref="F43" si="15">(F42/F39)^(1/$B$6)-1</f>
        <v>-1.2330545768380057</v>
      </c>
      <c r="G43" s="9">
        <f t="shared" ref="G43" si="16">(G42/G39)^(1/$B$6)-1</f>
        <v>2.2913987399384439E-3</v>
      </c>
      <c r="H43" s="9">
        <f t="shared" ref="H43" si="17">(H42/H39)^(1/$B$6)-1</f>
        <v>-4.2778918750234318E-2</v>
      </c>
      <c r="I43" s="9">
        <f t="shared" ref="I43" si="18">(I42/I39)^(1/$B$6)-1</f>
        <v>-0.58560510464926374</v>
      </c>
      <c r="J43" s="9">
        <f t="shared" ref="J43" si="19">(J42/J39)^(1/$B$6)-1</f>
        <v>0.20532845575543224</v>
      </c>
    </row>
    <row r="44" spans="1:14" x14ac:dyDescent="0.35">
      <c r="B44" s="1" t="s">
        <v>28</v>
      </c>
      <c r="C44" s="8">
        <f>C42/C41-1</f>
        <v>0.20726495726495719</v>
      </c>
      <c r="D44" s="8">
        <f t="shared" ref="D44:I44" si="20">D42/D41-1</f>
        <v>2.7908466819221971</v>
      </c>
      <c r="E44" s="8">
        <f t="shared" si="20"/>
        <v>-0.5423728813559322</v>
      </c>
      <c r="F44" s="8">
        <f t="shared" si="20"/>
        <v>-71.894230769230759</v>
      </c>
      <c r="G44" s="8">
        <f t="shared" si="20"/>
        <v>5.7558771856437652E-2</v>
      </c>
      <c r="H44" s="8">
        <f t="shared" si="20"/>
        <v>0.27006901180961962</v>
      </c>
      <c r="I44" s="8">
        <f t="shared" si="20"/>
        <v>-0.87647496201467701</v>
      </c>
      <c r="J44" s="8">
        <f t="shared" ref="J44" si="21">J42/J41-1</f>
        <v>0.69229391341046465</v>
      </c>
    </row>
    <row r="45" spans="1:14" x14ac:dyDescent="0.35">
      <c r="C45"/>
      <c r="D45"/>
      <c r="E45"/>
      <c r="F45"/>
      <c r="G45"/>
      <c r="H45"/>
      <c r="I45"/>
      <c r="J45"/>
    </row>
    <row r="46" spans="1:14" x14ac:dyDescent="0.35">
      <c r="C46" s="14"/>
      <c r="D46" s="15" t="s">
        <v>40</v>
      </c>
      <c r="E46" s="15" t="s">
        <v>41</v>
      </c>
      <c r="F46" s="15" t="s">
        <v>42</v>
      </c>
      <c r="G46" s="15" t="s">
        <v>43</v>
      </c>
      <c r="H46" s="15" t="s">
        <v>44</v>
      </c>
      <c r="I46" s="21" t="s">
        <v>45</v>
      </c>
      <c r="J46" s="15" t="s">
        <v>46</v>
      </c>
    </row>
    <row r="47" spans="1:14" x14ac:dyDescent="0.35">
      <c r="C47" s="15" t="str">
        <f t="array" ref="C47:C53">TRANSPOSE(D46:J46)</f>
        <v>MAC2R1</v>
      </c>
      <c r="D47" s="16">
        <f t="shared" ref="D47:J53" ca="1" si="22">CORREL(INDIRECT($C47,FALSE),INDIRECT(D$46,FALSE))</f>
        <v>1</v>
      </c>
      <c r="E47" s="16">
        <f t="shared" ca="1" si="22"/>
        <v>0.28296449343988173</v>
      </c>
      <c r="F47" s="16">
        <f t="shared" ca="1" si="22"/>
        <v>-0.9999223582831902</v>
      </c>
      <c r="G47" s="16">
        <f t="shared" ca="1" si="22"/>
        <v>0.77693887041248877</v>
      </c>
      <c r="H47" s="16">
        <f t="shared" ca="1" si="22"/>
        <v>0.30436761476418844</v>
      </c>
      <c r="I47" s="19">
        <f t="shared" ca="1" si="22"/>
        <v>-0.20960349564093392</v>
      </c>
      <c r="J47" s="16">
        <f t="shared" ca="1" si="22"/>
        <v>-0.83202560421126959</v>
      </c>
    </row>
    <row r="48" spans="1:14" x14ac:dyDescent="0.35">
      <c r="C48" s="22" t="str">
        <v>MacRcncAdj2R1</v>
      </c>
      <c r="D48" s="16">
        <f t="shared" ca="1" si="22"/>
        <v>0.28296449343988173</v>
      </c>
      <c r="E48" s="16">
        <f t="shared" ca="1" si="22"/>
        <v>1</v>
      </c>
      <c r="F48" s="16">
        <f t="shared" ca="1" si="22"/>
        <v>-0.27100551410719431</v>
      </c>
      <c r="G48" s="16">
        <f t="shared" ca="1" si="22"/>
        <v>3.6973449214931987E-2</v>
      </c>
      <c r="H48" s="17">
        <f t="shared" ca="1" si="22"/>
        <v>0.34486138809382855</v>
      </c>
      <c r="I48" s="33">
        <f t="shared" ca="1" si="22"/>
        <v>0.13865372646679225</v>
      </c>
      <c r="J48" s="18">
        <f t="shared" ca="1" si="22"/>
        <v>-0.70363704090060031</v>
      </c>
    </row>
    <row r="49" spans="1:14" x14ac:dyDescent="0.35">
      <c r="C49" s="14" t="str">
        <v>MacUncDlv2R1</v>
      </c>
      <c r="D49" s="16">
        <f t="shared" ca="1" si="22"/>
        <v>-0.9999223582831902</v>
      </c>
      <c r="E49" s="16">
        <f t="shared" ca="1" si="22"/>
        <v>-0.27100551410719431</v>
      </c>
      <c r="F49" s="16">
        <f t="shared" ca="1" si="22"/>
        <v>1.0000000000000002</v>
      </c>
      <c r="G49" s="16">
        <f t="shared" ca="1" si="22"/>
        <v>-0.77888017951327659</v>
      </c>
      <c r="H49" s="16">
        <f t="shared" ca="1" si="22"/>
        <v>-0.30155198892735269</v>
      </c>
      <c r="I49" s="20">
        <f t="shared" ca="1" si="22"/>
        <v>0.21156452548336155</v>
      </c>
      <c r="J49" s="16">
        <f t="shared" ca="1" si="22"/>
        <v>0.82572252949526181</v>
      </c>
    </row>
    <row r="50" spans="1:14" x14ac:dyDescent="0.35">
      <c r="C50" s="14" t="str">
        <v>MacTrnsAdj2R1</v>
      </c>
      <c r="D50" s="16">
        <f t="shared" ca="1" si="22"/>
        <v>0.77693887041248877</v>
      </c>
      <c r="E50" s="16">
        <f t="shared" ca="1" si="22"/>
        <v>3.6973449214931987E-2</v>
      </c>
      <c r="F50" s="16">
        <f t="shared" ca="1" si="22"/>
        <v>-0.77888017951327659</v>
      </c>
      <c r="G50" s="16">
        <f t="shared" ca="1" si="22"/>
        <v>0.99999999999999978</v>
      </c>
      <c r="H50" s="16">
        <f t="shared" ca="1" si="22"/>
        <v>-0.36310390747320187</v>
      </c>
      <c r="I50" s="16">
        <f t="shared" ca="1" si="22"/>
        <v>-0.77566486587706884</v>
      </c>
      <c r="J50" s="16">
        <f t="shared" ca="1" si="22"/>
        <v>-0.71146968639395669</v>
      </c>
    </row>
    <row r="51" spans="1:14" x14ac:dyDescent="0.35">
      <c r="C51" s="14" t="str">
        <v>GRTDlv2R1</v>
      </c>
      <c r="D51" s="16">
        <f t="shared" ca="1" si="22"/>
        <v>0.30436761476418844</v>
      </c>
      <c r="E51" s="16">
        <f t="shared" ca="1" si="22"/>
        <v>0.34486138809382855</v>
      </c>
      <c r="F51" s="16">
        <f t="shared" ca="1" si="22"/>
        <v>-0.30155198892735269</v>
      </c>
      <c r="G51" s="16">
        <f t="shared" ca="1" si="22"/>
        <v>-0.36310390747320187</v>
      </c>
      <c r="H51" s="16">
        <f t="shared" ca="1" si="22"/>
        <v>1</v>
      </c>
      <c r="I51" s="16">
        <f t="shared" ca="1" si="22"/>
        <v>0.86501927425895508</v>
      </c>
      <c r="J51" s="16">
        <f t="shared" ca="1" si="22"/>
        <v>-0.14419216481205543</v>
      </c>
    </row>
    <row r="52" spans="1:14" x14ac:dyDescent="0.35">
      <c r="C52" s="14" t="str">
        <v>MSCCap2R1</v>
      </c>
      <c r="D52" s="16">
        <f t="shared" ca="1" si="22"/>
        <v>-0.20960349564093392</v>
      </c>
      <c r="E52" s="16">
        <f t="shared" ca="1" si="22"/>
        <v>0.13865372646679225</v>
      </c>
      <c r="F52" s="16">
        <f t="shared" ca="1" si="22"/>
        <v>0.21156452548336155</v>
      </c>
      <c r="G52" s="16">
        <f t="shared" ca="1" si="22"/>
        <v>-0.77566486587706884</v>
      </c>
      <c r="H52" s="16">
        <f t="shared" ca="1" si="22"/>
        <v>0.86501927425895508</v>
      </c>
      <c r="I52" s="16">
        <f t="shared" ca="1" si="22"/>
        <v>0.99999999999999989</v>
      </c>
      <c r="J52" s="16">
        <f t="shared" ca="1" si="22"/>
        <v>0.32549423151679063</v>
      </c>
    </row>
    <row r="53" spans="1:14" x14ac:dyDescent="0.35">
      <c r="C53" s="14" t="str">
        <v>MSCEnergy2R1</v>
      </c>
      <c r="D53" s="16">
        <f t="shared" ca="1" si="22"/>
        <v>-0.83202560421126959</v>
      </c>
      <c r="E53" s="16">
        <f t="shared" ca="1" si="22"/>
        <v>-0.70363704090060031</v>
      </c>
      <c r="F53" s="16">
        <f t="shared" ca="1" si="22"/>
        <v>0.82572252949526181</v>
      </c>
      <c r="G53" s="16">
        <f t="shared" ca="1" si="22"/>
        <v>-0.71146968639395669</v>
      </c>
      <c r="H53" s="16">
        <f t="shared" ca="1" si="22"/>
        <v>-0.14419216481205543</v>
      </c>
      <c r="I53" s="16">
        <f t="shared" ca="1" si="22"/>
        <v>0.32549423151679063</v>
      </c>
      <c r="J53" s="16">
        <f t="shared" ca="1" si="22"/>
        <v>1</v>
      </c>
    </row>
    <row r="56" spans="1:14" ht="15.5" x14ac:dyDescent="0.35">
      <c r="C56" s="10"/>
      <c r="D56" s="10"/>
      <c r="E56" s="10"/>
      <c r="F56" s="10"/>
      <c r="G56" s="10"/>
      <c r="H56" s="23"/>
      <c r="I56" s="10"/>
      <c r="J56" s="29" t="s">
        <v>47</v>
      </c>
    </row>
    <row r="57" spans="1:14" x14ac:dyDescent="0.35">
      <c r="C57" s="1" t="s">
        <v>23</v>
      </c>
      <c r="D57" s="1" t="s">
        <v>24</v>
      </c>
      <c r="E57" s="1" t="s">
        <v>25</v>
      </c>
      <c r="F57" s="1" t="s">
        <v>26</v>
      </c>
      <c r="G57" s="1" t="s">
        <v>14</v>
      </c>
      <c r="H57" s="1" t="s">
        <v>31</v>
      </c>
      <c r="I57" s="1" t="s">
        <v>32</v>
      </c>
      <c r="N57">
        <v>1000</v>
      </c>
    </row>
    <row r="58" spans="1:14" x14ac:dyDescent="0.35">
      <c r="A58" s="24">
        <v>43070</v>
      </c>
      <c r="B58" s="1">
        <v>0</v>
      </c>
      <c r="C58" s="1">
        <f>'[3]Estimated Bill SC 1 NYC'!$DC$39</f>
        <v>8.3999999999999995E-3</v>
      </c>
      <c r="D58" s="1">
        <f>'[3]Estimated Bill SC 1 NYC'!$DC$40</f>
        <v>2.8050000000000002E-3</v>
      </c>
      <c r="E58" s="1">
        <f>'[3]Estimated Bill SC 1 NYC'!$DC$41</f>
        <v>7.4999999999999993E-5</v>
      </c>
      <c r="F58" s="34">
        <f>'[3]Estimated Bill SC 1 NYC'!$DC$42</f>
        <v>-7.8999999999999996E-5</v>
      </c>
      <c r="G58" s="11">
        <f>'[3]Estimated Bill SC 1 NYC'!$DC$10</f>
        <v>5.0517000000000006E-2</v>
      </c>
      <c r="H58" s="27">
        <f>'[3]Estimated Bill SC 1 NYC'!$DC$31</f>
        <v>6.9903000000000007E-2</v>
      </c>
      <c r="I58" s="26">
        <f>'[3]Estimated Bill SC 1 NYC'!$DC$32</f>
        <v>5.4144000000000012E-2</v>
      </c>
      <c r="J58" s="12">
        <f>SUM(C58:F58)*(1+G58)*$N$57</f>
        <v>11.766840917000001</v>
      </c>
    </row>
    <row r="59" spans="1:14" x14ac:dyDescent="0.35">
      <c r="A59" s="24">
        <v>43435</v>
      </c>
      <c r="B59" s="1">
        <v>1</v>
      </c>
      <c r="C59" s="1">
        <f>'[3]Estimated Bill SC 1 NYC'!$DO$39</f>
        <v>1.0359999999999999E-2</v>
      </c>
      <c r="D59" s="7">
        <f>'[3]Estimated Bill SC 1 NYC'!$DO$40</f>
        <v>-3.4120000000000001E-3</v>
      </c>
      <c r="E59" s="1">
        <f>'[3]Estimated Bill SC 1 NYC'!$DO$41</f>
        <v>4.1999999999999998E-5</v>
      </c>
      <c r="F59" s="34">
        <f>'[3]Estimated Bill SC 1 NYC'!$DO$42</f>
        <v>-7.0642293810987833E-6</v>
      </c>
      <c r="G59" s="11">
        <f>'[3]Estimated Bill SC 1 NYC'!$DO$10</f>
        <v>4.9892000000000006E-2</v>
      </c>
      <c r="H59" s="27">
        <f>'[3]Estimated Bill SC 1 NYC'!$DO$31</f>
        <v>6.3325999999999993E-2</v>
      </c>
      <c r="I59" s="26">
        <f>'[3]Estimated Bill SC 1 NYC'!$DO$32</f>
        <v>4.2050999999999991E-2</v>
      </c>
      <c r="J59" s="12">
        <f t="shared" ref="J59:J61" si="23">SUM(C59:F59)*(1+G59)*$N$57</f>
        <v>7.3313284020866201</v>
      </c>
    </row>
    <row r="60" spans="1:14" x14ac:dyDescent="0.35">
      <c r="A60" s="24">
        <v>43800</v>
      </c>
      <c r="B60" s="1">
        <v>2</v>
      </c>
      <c r="C60" s="1">
        <f>'[3]Estimated Bill SC 1 NYC'!$EA$39</f>
        <v>9.3600000000000003E-3</v>
      </c>
      <c r="D60" s="7">
        <f>'[3]Estimated Bill SC 1 NYC'!$EA$40</f>
        <v>2.1849999999999999E-3</v>
      </c>
      <c r="E60" s="1">
        <f>'[3]Estimated Bill SC 1 NYC'!$EA$41</f>
        <v>5.8999999999999998E-5</v>
      </c>
      <c r="F60" s="35">
        <f>'[3]Estimated Bill SC 1 NYC'!$EA$42</f>
        <v>-1.4105520141055202E-8</v>
      </c>
      <c r="G60" s="11">
        <f>'[3]Estimated Bill SC 1 NYC'!$EA$10</f>
        <v>4.9089000000000001E-2</v>
      </c>
      <c r="H60" s="27">
        <f>'[3]Estimated Bill SC 1 NYC'!$EA$31</f>
        <v>4.9214000000000001E-2</v>
      </c>
      <c r="I60" s="26">
        <f>'[3]Estimated Bill SC 1 NYC'!$EM$32</f>
        <v>1.1885000000000007E-2</v>
      </c>
      <c r="J60" s="12">
        <f t="shared" si="23"/>
        <v>12.173613958053979</v>
      </c>
    </row>
    <row r="61" spans="1:14" x14ac:dyDescent="0.35">
      <c r="A61" s="24">
        <v>44166</v>
      </c>
      <c r="B61" s="1">
        <v>3</v>
      </c>
      <c r="C61" s="1">
        <f>'[3]Estimated Bill SC 1 NYC'!$EM$39</f>
        <v>1.1299999999999999E-2</v>
      </c>
      <c r="D61" s="7">
        <f>'[3]Estimated Bill SC 1 NYC'!$EM$40</f>
        <v>8.2830000000000004E-3</v>
      </c>
      <c r="E61" s="1">
        <f>'[3]Estimated Bill SC 1 NYC'!$EM$41</f>
        <v>2.6999999999999999E-5</v>
      </c>
      <c r="F61" s="35">
        <f>'[3]Estimated Bill SC 1 NYC'!$EM$42</f>
        <v>9.9999999999999995E-7</v>
      </c>
      <c r="G61" s="11">
        <f>'[3]Estimated Bill SC 1 NYC'!$EM$10</f>
        <v>5.0505000000000001E-2</v>
      </c>
      <c r="H61" s="27">
        <f>'[3]Estimated Bill SC 1 NYC'!$EM$31</f>
        <v>8.5391999999999996E-2</v>
      </c>
      <c r="I61" s="26">
        <f>'[3]Estimated Bill SC 1 NYC'!$EN$32</f>
        <v>1.5450000000000005E-2</v>
      </c>
      <c r="J61" s="12">
        <f t="shared" si="23"/>
        <v>20.601453554999999</v>
      </c>
    </row>
    <row r="62" spans="1:14" x14ac:dyDescent="0.35">
      <c r="B62" s="1" t="s">
        <v>27</v>
      </c>
      <c r="C62" s="9">
        <f t="shared" ref="C62:J62" si="24">(C61/C58)^(1/$B$6)-1</f>
        <v>0.10390843667722827</v>
      </c>
      <c r="D62" s="9">
        <f>(D61/D58)^(1/$B$6)-1</f>
        <v>0.43466861784686661</v>
      </c>
      <c r="E62" s="9">
        <f t="shared" si="24"/>
        <v>-0.2886213391019874</v>
      </c>
      <c r="F62" s="9">
        <f>(F61/F58)^(1/$B$6)-1</f>
        <v>-1.2330545768380057</v>
      </c>
      <c r="G62" s="9">
        <f t="shared" si="24"/>
        <v>-7.9187536212943499E-5</v>
      </c>
      <c r="H62" s="9">
        <f t="shared" si="24"/>
        <v>6.8990363610328398E-2</v>
      </c>
      <c r="I62" s="9">
        <f t="shared" si="24"/>
        <v>-0.34164614602990717</v>
      </c>
      <c r="J62" s="9">
        <f t="shared" si="24"/>
        <v>0.20525606939157215</v>
      </c>
    </row>
    <row r="63" spans="1:14" x14ac:dyDescent="0.35">
      <c r="B63" s="1" t="s">
        <v>28</v>
      </c>
      <c r="C63" s="8">
        <f>C61/C60-1</f>
        <v>0.20726495726495719</v>
      </c>
      <c r="D63" s="8">
        <f>D61/D60-1</f>
        <v>2.7908466819221971</v>
      </c>
      <c r="E63" s="8">
        <f t="shared" ref="E63:J63" si="25">E61/E60-1</f>
        <v>-0.5423728813559322</v>
      </c>
      <c r="F63" s="8">
        <f>F61/F60-1</f>
        <v>-71.894230769230759</v>
      </c>
      <c r="G63" s="8">
        <f t="shared" si="25"/>
        <v>2.8845566216463947E-2</v>
      </c>
      <c r="H63" s="8">
        <f t="shared" si="25"/>
        <v>0.73511602389563935</v>
      </c>
      <c r="I63" s="8">
        <f t="shared" si="25"/>
        <v>0.29995793016407202</v>
      </c>
      <c r="J63" s="8">
        <f t="shared" si="25"/>
        <v>0.69230383236936954</v>
      </c>
    </row>
    <row r="64" spans="1:14" x14ac:dyDescent="0.35">
      <c r="C64"/>
      <c r="D64"/>
      <c r="E64"/>
      <c r="F64"/>
      <c r="G64"/>
      <c r="H64"/>
      <c r="I64"/>
      <c r="J64"/>
    </row>
    <row r="65" spans="3:12" x14ac:dyDescent="0.35">
      <c r="C65" s="14"/>
      <c r="D65" s="15" t="s">
        <v>48</v>
      </c>
      <c r="E65" s="15" t="s">
        <v>49</v>
      </c>
      <c r="F65" s="15" t="s">
        <v>50</v>
      </c>
      <c r="G65" s="15" t="s">
        <v>51</v>
      </c>
      <c r="H65" s="15" t="s">
        <v>52</v>
      </c>
      <c r="I65" s="21" t="s">
        <v>53</v>
      </c>
      <c r="J65" s="15" t="s">
        <v>54</v>
      </c>
    </row>
    <row r="66" spans="3:12" x14ac:dyDescent="0.35">
      <c r="C66" s="15" t="str">
        <f t="array" ref="C66:C72">TRANSPOSE(D65:J65)</f>
        <v>MAC1R1</v>
      </c>
      <c r="D66" s="16">
        <f t="shared" ref="D66:J66" ca="1" si="26">CORREL(INDIRECT($C66,FALSE),INDIRECT(D$65,FALSE))</f>
        <v>1</v>
      </c>
      <c r="E66" s="16">
        <f t="shared" ca="1" si="26"/>
        <v>0.28296449343988173</v>
      </c>
      <c r="F66" s="16">
        <f t="shared" ca="1" si="26"/>
        <v>-0.9999223582831902</v>
      </c>
      <c r="G66" s="16">
        <f t="shared" ca="1" si="26"/>
        <v>0.77693887041248877</v>
      </c>
      <c r="H66" s="16">
        <f t="shared" ca="1" si="26"/>
        <v>0.14759596374600994</v>
      </c>
      <c r="I66" s="16">
        <f t="shared" ca="1" si="26"/>
        <v>0.51934952011708801</v>
      </c>
      <c r="J66" s="16">
        <f t="shared" ca="1" si="26"/>
        <v>-0.53277780633095462</v>
      </c>
      <c r="L66" s="45"/>
    </row>
    <row r="67" spans="3:12" x14ac:dyDescent="0.35">
      <c r="C67" s="22" t="str">
        <v>MacRcncAdj1R1</v>
      </c>
      <c r="D67" s="16">
        <f t="shared" ref="D67:D72" ca="1" si="27">CORREL(INDIRECT($C67,FALSE),INDIRECT(D$65,FALSE))</f>
        <v>0.28296449343988173</v>
      </c>
      <c r="E67" s="16">
        <f t="shared" ref="E67:J72" ca="1" si="28">CORREL(INDIRECT($C67,FALSE),INDIRECT(E$65,FALSE))</f>
        <v>1</v>
      </c>
      <c r="F67" s="16">
        <f t="shared" ca="1" si="28"/>
        <v>-0.27100551410719431</v>
      </c>
      <c r="G67" s="16">
        <f t="shared" ca="1" si="28"/>
        <v>3.6973449214931987E-2</v>
      </c>
      <c r="H67" s="16">
        <f t="shared" ca="1" si="28"/>
        <v>0.41396263060399946</v>
      </c>
      <c r="I67" s="16">
        <f t="shared" ca="1" si="28"/>
        <v>0.62471268184649253</v>
      </c>
      <c r="J67" s="16">
        <f t="shared" ca="1" si="28"/>
        <v>-0.48278242459594306</v>
      </c>
    </row>
    <row r="68" spans="3:12" x14ac:dyDescent="0.35">
      <c r="C68" s="14" t="str">
        <v>MacUncDlv1R1</v>
      </c>
      <c r="D68" s="16">
        <f t="shared" ca="1" si="27"/>
        <v>-0.9999223582831902</v>
      </c>
      <c r="E68" s="16">
        <f t="shared" ca="1" si="28"/>
        <v>-0.27100551410719431</v>
      </c>
      <c r="F68" s="16">
        <f t="shared" ca="1" si="28"/>
        <v>1.0000000000000002</v>
      </c>
      <c r="G68" s="16">
        <f t="shared" ca="1" si="28"/>
        <v>-0.77888017951327659</v>
      </c>
      <c r="H68" s="16">
        <f t="shared" ca="1" si="28"/>
        <v>-0.14331786505515159</v>
      </c>
      <c r="I68" s="16">
        <f t="shared" ca="1" si="28"/>
        <v>-0.51353957363152425</v>
      </c>
      <c r="J68" s="16">
        <f t="shared" ca="1" si="28"/>
        <v>0.52795019860245063</v>
      </c>
    </row>
    <row r="69" spans="3:12" x14ac:dyDescent="0.35">
      <c r="C69" s="14" t="str">
        <v>MacTrnsAdj1R1</v>
      </c>
      <c r="D69" s="16">
        <f t="shared" ca="1" si="27"/>
        <v>0.77693887041248877</v>
      </c>
      <c r="E69" s="16">
        <f t="shared" ca="1" si="28"/>
        <v>3.6973449214931987E-2</v>
      </c>
      <c r="F69" s="16">
        <f t="shared" ca="1" si="28"/>
        <v>-0.77888017951327659</v>
      </c>
      <c r="G69" s="16">
        <f t="shared" ca="1" si="28"/>
        <v>0.99999999999999978</v>
      </c>
      <c r="H69" s="16">
        <f t="shared" ca="1" si="28"/>
        <v>-0.50516963850177965</v>
      </c>
      <c r="I69" s="16">
        <f t="shared" ca="1" si="28"/>
        <v>-0.10810360935769352</v>
      </c>
      <c r="J69" s="16">
        <f t="shared" ca="1" si="28"/>
        <v>-0.81126831958424916</v>
      </c>
    </row>
    <row r="70" spans="3:12" x14ac:dyDescent="0.35">
      <c r="C70" s="14" t="str">
        <v>GRTDlv1R1</v>
      </c>
      <c r="D70" s="16">
        <f t="shared" ca="1" si="27"/>
        <v>0.14759596374600994</v>
      </c>
      <c r="E70" s="16">
        <f t="shared" ca="1" si="28"/>
        <v>0.41396263060399946</v>
      </c>
      <c r="F70" s="16">
        <f t="shared" ca="1" si="28"/>
        <v>-0.14331786505515159</v>
      </c>
      <c r="G70" s="16">
        <f t="shared" ca="1" si="28"/>
        <v>-0.50516963850177965</v>
      </c>
      <c r="H70" s="16">
        <f t="shared" ca="1" si="28"/>
        <v>1</v>
      </c>
      <c r="I70" s="16">
        <f t="shared" ca="1" si="28"/>
        <v>0.90165308023267865</v>
      </c>
      <c r="J70" s="16">
        <f t="shared" ca="1" si="28"/>
        <v>0.48954116040385548</v>
      </c>
    </row>
    <row r="71" spans="3:12" x14ac:dyDescent="0.35">
      <c r="C71" s="14" t="str">
        <v>MSCCap1R1</v>
      </c>
      <c r="D71" s="16">
        <f t="shared" ca="1" si="27"/>
        <v>0.51934952011708801</v>
      </c>
      <c r="E71" s="16">
        <f t="shared" ca="1" si="28"/>
        <v>0.62471268184649253</v>
      </c>
      <c r="F71" s="16">
        <f t="shared" ca="1" si="28"/>
        <v>-0.51353957363152425</v>
      </c>
      <c r="G71" s="16">
        <f t="shared" ca="1" si="28"/>
        <v>-0.10810360935769352</v>
      </c>
      <c r="H71" s="16">
        <f t="shared" ca="1" si="28"/>
        <v>0.90165308023267865</v>
      </c>
      <c r="I71" s="16">
        <f t="shared" ca="1" si="28"/>
        <v>0.99999999999999989</v>
      </c>
      <c r="J71" s="16">
        <f t="shared" ca="1" si="28"/>
        <v>8.7075393944949953E-2</v>
      </c>
    </row>
    <row r="72" spans="3:12" x14ac:dyDescent="0.35">
      <c r="C72" s="14" t="str">
        <v>MSCEnergy1R1</v>
      </c>
      <c r="D72" s="16">
        <f t="shared" ca="1" si="27"/>
        <v>-0.53277780633095462</v>
      </c>
      <c r="E72" s="16">
        <f t="shared" ca="1" si="28"/>
        <v>-0.48278242459594306</v>
      </c>
      <c r="F72" s="16">
        <f t="shared" ca="1" si="28"/>
        <v>0.52795019860245063</v>
      </c>
      <c r="G72" s="16">
        <f t="shared" ca="1" si="28"/>
        <v>-0.81126831958424916</v>
      </c>
      <c r="H72" s="16">
        <f t="shared" ca="1" si="28"/>
        <v>0.48954116040385548</v>
      </c>
      <c r="I72" s="16">
        <f t="shared" ca="1" si="28"/>
        <v>8.7075393944949953E-2</v>
      </c>
      <c r="J72" s="16">
        <f t="shared" ca="1" si="28"/>
        <v>1.0000000000000002</v>
      </c>
    </row>
  </sheetData>
  <conditionalFormatting sqref="E20:J20 F21:J21 G22:J22 H23:J23 I24:J24 J2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1 E29 I29:I33 F29:H30 H31:H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H15" r:id="rId1" display="https://www.coned.com/_external/cerates/documents/elecPSC10/StatMSCCAP-68.pdf" xr:uid="{91980C07-E62F-466D-A0F4-021EF2527000}"/>
    <hyperlink ref="H6" r:id="rId2" display="https://www.coned.com/_external/cerates/documents/elecPSC10/StatMSCCAP-68.pdf" xr:uid="{E9688221-4764-4DBD-BCD6-F89EE51FC396}"/>
    <hyperlink ref="H11" r:id="rId3" location="page=240" display="https://www.coned.com/_external/cerates/documents/elecPSC10/electric-tariff.pdf#page=240" xr:uid="{0B3CC675-388D-4983-B0EC-4A27649D1C73}"/>
    <hyperlink ref="H14" r:id="rId4" display="https://www.coned.com/_external/cerates/documents/elecPSC10/StatMSCCAP-55.pdf" xr:uid="{1222903F-4F1D-402D-AD69-370CFDFB0F83}"/>
    <hyperlink ref="H12" r:id="rId5" display="https://www.coned.com/_external/cerates/documents/elecPSC10/StatMSCCAP-31.pdf" xr:uid="{C32EC728-97C9-4BEF-9EE7-EAE03E4B03F2}"/>
    <hyperlink ref="H13" r:id="rId6" display="https://www.coned.com/_external/cerates/documents/elecPSC10/StatMSCCAP-43.pdf" xr:uid="{9F426B97-93B6-4B06-A543-4BD56973982B}"/>
    <hyperlink ref="J18" location="'python script &amp; prob setup'!B105" display="'python script &amp; prob setup'!B105" xr:uid="{936DC076-D95D-435F-B55D-4F2102EE1DF1}"/>
  </hyperlinks>
  <pageMargins left="0.7" right="0.7" top="0.75" bottom="0.75" header="0.3" footer="0.3"/>
  <pageSetup orientation="portrait" horizontalDpi="1200" verticalDpi="1200" r:id="rId7"/>
  <ignoredErrors>
    <ignoredError sqref="I16:I17 D9:D1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A459-746D-4A36-879B-14F06D3B62FF}">
  <dimension ref="A1:K114"/>
  <sheetViews>
    <sheetView topLeftCell="A83" workbookViewId="0">
      <selection activeCell="A107" sqref="A107:B107"/>
    </sheetView>
  </sheetViews>
  <sheetFormatPr defaultRowHeight="14.5" x14ac:dyDescent="0.35"/>
  <sheetData>
    <row r="1" spans="1:5" x14ac:dyDescent="0.35">
      <c r="A1" t="s">
        <v>161</v>
      </c>
    </row>
    <row r="3" spans="1:5" x14ac:dyDescent="0.35">
      <c r="A3" t="s">
        <v>68</v>
      </c>
    </row>
    <row r="5" spans="1:5" x14ac:dyDescent="0.35">
      <c r="A5" t="s">
        <v>69</v>
      </c>
    </row>
    <row r="6" spans="1:5" x14ac:dyDescent="0.35">
      <c r="A6" t="e" cm="1">
        <f t="array" ref="A6">+ MonthlyAdjustmentMACCharge</f>
        <v>#NAME?</v>
      </c>
    </row>
    <row r="7" spans="1:5" x14ac:dyDescent="0.35">
      <c r="A7" t="e" cm="1">
        <f t="array" ref="A7">+ UncollectibleDeliveryMACCharge</f>
        <v>#NAME?</v>
      </c>
    </row>
    <row r="8" spans="1:5" x14ac:dyDescent="0.35">
      <c r="A8" t="s">
        <v>70</v>
      </c>
    </row>
    <row r="9" spans="1:5" x14ac:dyDescent="0.35">
      <c r="A9" t="s">
        <v>71</v>
      </c>
    </row>
    <row r="10" spans="1:5" x14ac:dyDescent="0.35">
      <c r="A10" t="s">
        <v>72</v>
      </c>
    </row>
    <row r="13" spans="1:5" x14ac:dyDescent="0.35">
      <c r="A13" t="s">
        <v>73</v>
      </c>
    </row>
    <row r="15" spans="1:5" x14ac:dyDescent="0.35">
      <c r="A15" t="s">
        <v>74</v>
      </c>
    </row>
    <row r="16" spans="1:5" x14ac:dyDescent="0.35">
      <c r="C16" t="s">
        <v>75</v>
      </c>
      <c r="E16" t="s">
        <v>76</v>
      </c>
    </row>
    <row r="17" spans="1:3" x14ac:dyDescent="0.35">
      <c r="A17" t="s">
        <v>77</v>
      </c>
      <c r="C17">
        <f xml:space="preserve"> X1</f>
        <v>0</v>
      </c>
    </row>
    <row r="18" spans="1:3" x14ac:dyDescent="0.35">
      <c r="A18" t="s">
        <v>78</v>
      </c>
      <c r="B18">
        <f xml:space="preserve"> X2</f>
        <v>0</v>
      </c>
    </row>
    <row r="19" spans="1:3" x14ac:dyDescent="0.35">
      <c r="A19" t="s">
        <v>79</v>
      </c>
      <c r="B19">
        <f xml:space="preserve"> X3</f>
        <v>0</v>
      </c>
    </row>
    <row r="20" spans="1:3" x14ac:dyDescent="0.35">
      <c r="A20" t="s">
        <v>80</v>
      </c>
      <c r="B20">
        <f xml:space="preserve"> X4</f>
        <v>0</v>
      </c>
    </row>
    <row r="21" spans="1:3" x14ac:dyDescent="0.35">
      <c r="A21" t="s">
        <v>81</v>
      </c>
      <c r="C21" t="s">
        <v>82</v>
      </c>
    </row>
    <row r="23" spans="1:3" x14ac:dyDescent="0.35">
      <c r="A23" t="s">
        <v>83</v>
      </c>
    </row>
    <row r="24" spans="1:3" x14ac:dyDescent="0.35">
      <c r="B24" t="s">
        <v>84</v>
      </c>
    </row>
    <row r="26" spans="1:3" x14ac:dyDescent="0.35">
      <c r="A26" t="s">
        <v>85</v>
      </c>
    </row>
    <row r="27" spans="1:3" x14ac:dyDescent="0.35">
      <c r="A27" t="s">
        <v>86</v>
      </c>
    </row>
    <row r="28" spans="1:3" x14ac:dyDescent="0.35">
      <c r="A28" t="s">
        <v>87</v>
      </c>
    </row>
    <row r="29" spans="1:3" x14ac:dyDescent="0.35">
      <c r="A29" t="s">
        <v>88</v>
      </c>
    </row>
    <row r="32" spans="1:3" x14ac:dyDescent="0.35">
      <c r="A32" t="s">
        <v>89</v>
      </c>
    </row>
    <row r="33" spans="1:4" x14ac:dyDescent="0.35">
      <c r="C33" t="s">
        <v>90</v>
      </c>
    </row>
    <row r="34" spans="1:4" x14ac:dyDescent="0.35">
      <c r="D34" t="s">
        <v>91</v>
      </c>
    </row>
    <row r="36" spans="1:4" x14ac:dyDescent="0.35">
      <c r="A36" t="s">
        <v>92</v>
      </c>
    </row>
    <row r="37" spans="1:4" x14ac:dyDescent="0.35">
      <c r="A37" t="s">
        <v>93</v>
      </c>
    </row>
    <row r="40" spans="1:4" x14ac:dyDescent="0.35">
      <c r="A40" t="s">
        <v>94</v>
      </c>
    </row>
    <row r="41" spans="1:4" x14ac:dyDescent="0.35">
      <c r="B41" t="s">
        <v>95</v>
      </c>
    </row>
    <row r="42" spans="1:4" x14ac:dyDescent="0.35">
      <c r="C42" t="s">
        <v>96</v>
      </c>
    </row>
    <row r="43" spans="1:4" x14ac:dyDescent="0.35">
      <c r="C43" t="s">
        <v>97</v>
      </c>
    </row>
    <row r="44" spans="1:4" x14ac:dyDescent="0.35">
      <c r="B44" t="s">
        <v>98</v>
      </c>
    </row>
    <row r="45" spans="1:4" x14ac:dyDescent="0.35">
      <c r="D45" t="s">
        <v>99</v>
      </c>
    </row>
    <row r="47" spans="1:4" x14ac:dyDescent="0.35">
      <c r="B47" t="s">
        <v>100</v>
      </c>
    </row>
    <row r="48" spans="1:4" x14ac:dyDescent="0.35">
      <c r="B48" t="s">
        <v>101</v>
      </c>
    </row>
    <row r="50" spans="1:5" x14ac:dyDescent="0.35">
      <c r="B50" t="s">
        <v>102</v>
      </c>
      <c r="D50" t="s">
        <v>103</v>
      </c>
    </row>
    <row r="51" spans="1:5" x14ac:dyDescent="0.35">
      <c r="B51" t="s">
        <v>104</v>
      </c>
      <c r="D51">
        <v>1.1299999999999999E-2</v>
      </c>
    </row>
    <row r="52" spans="1:5" x14ac:dyDescent="0.35">
      <c r="A52" t="s">
        <v>105</v>
      </c>
      <c r="B52" t="s">
        <v>106</v>
      </c>
      <c r="E52">
        <v>8.2830000000000004E-3</v>
      </c>
    </row>
    <row r="53" spans="1:5" x14ac:dyDescent="0.35">
      <c r="B53" t="s">
        <v>107</v>
      </c>
      <c r="E53">
        <v>7.4999999999999993E-5</v>
      </c>
    </row>
    <row r="54" spans="1:5" x14ac:dyDescent="0.35">
      <c r="B54" t="s">
        <v>108</v>
      </c>
      <c r="E54">
        <v>9.9999999999999995E-7</v>
      </c>
    </row>
    <row r="55" spans="1:5" x14ac:dyDescent="0.35">
      <c r="B55" t="s">
        <v>109</v>
      </c>
      <c r="E55">
        <v>2.5281999999999999E-2</v>
      </c>
    </row>
    <row r="56" spans="1:5" x14ac:dyDescent="0.35">
      <c r="B56" t="s">
        <v>110</v>
      </c>
      <c r="E56">
        <v>-8.3999999999999995E-3</v>
      </c>
    </row>
    <row r="57" spans="1:5" x14ac:dyDescent="0.35">
      <c r="B57" t="s">
        <v>111</v>
      </c>
      <c r="E57">
        <v>3.4120000000000001E-3</v>
      </c>
    </row>
    <row r="58" spans="1:5" x14ac:dyDescent="0.35">
      <c r="B58" t="s">
        <v>112</v>
      </c>
      <c r="E58">
        <v>-2.6999999999999999E-5</v>
      </c>
    </row>
    <row r="59" spans="1:5" x14ac:dyDescent="0.35">
      <c r="B59" t="s">
        <v>113</v>
      </c>
      <c r="E59">
        <v>7.8999999999999996E-5</v>
      </c>
    </row>
    <row r="60" spans="1:5" x14ac:dyDescent="0.35">
      <c r="B60" t="s">
        <v>114</v>
      </c>
      <c r="E60">
        <v>-2.3089999999999999E-2</v>
      </c>
    </row>
    <row r="62" spans="1:5" x14ac:dyDescent="0.35">
      <c r="A62" t="s">
        <v>115</v>
      </c>
    </row>
    <row r="63" spans="1:5" x14ac:dyDescent="0.35">
      <c r="A63" t="s">
        <v>116</v>
      </c>
    </row>
    <row r="64" spans="1:5" x14ac:dyDescent="0.35">
      <c r="A64" t="s">
        <v>117</v>
      </c>
      <c r="B64" t="s">
        <v>118</v>
      </c>
    </row>
    <row r="65" spans="1:3" x14ac:dyDescent="0.35">
      <c r="B65" t="s">
        <v>119</v>
      </c>
    </row>
    <row r="66" spans="1:3" x14ac:dyDescent="0.35">
      <c r="B66" t="s">
        <v>120</v>
      </c>
    </row>
    <row r="67" spans="1:3" x14ac:dyDescent="0.35">
      <c r="B67" t="s">
        <v>121</v>
      </c>
    </row>
    <row r="68" spans="1:3" x14ac:dyDescent="0.35">
      <c r="B68" t="s">
        <v>122</v>
      </c>
    </row>
    <row r="69" spans="1:3" x14ac:dyDescent="0.35">
      <c r="B69" t="s">
        <v>123</v>
      </c>
    </row>
    <row r="70" spans="1:3" x14ac:dyDescent="0.35">
      <c r="B70" t="s">
        <v>124</v>
      </c>
    </row>
    <row r="71" spans="1:3" x14ac:dyDescent="0.35">
      <c r="B71" t="s">
        <v>125</v>
      </c>
      <c r="C71" t="s">
        <v>126</v>
      </c>
    </row>
    <row r="73" spans="1:3" x14ac:dyDescent="0.35">
      <c r="A73" t="s">
        <v>127</v>
      </c>
      <c r="B73" t="s">
        <v>118</v>
      </c>
    </row>
    <row r="74" spans="1:3" x14ac:dyDescent="0.35">
      <c r="A74" t="s">
        <v>128</v>
      </c>
      <c r="B74" t="s">
        <v>129</v>
      </c>
    </row>
    <row r="75" spans="1:3" x14ac:dyDescent="0.35">
      <c r="B75" t="s">
        <v>130</v>
      </c>
      <c r="C75" t="s">
        <v>131</v>
      </c>
    </row>
    <row r="76" spans="1:3" x14ac:dyDescent="0.35">
      <c r="B76" t="s">
        <v>132</v>
      </c>
    </row>
    <row r="77" spans="1:3" x14ac:dyDescent="0.35">
      <c r="B77" t="s">
        <v>133</v>
      </c>
      <c r="C77" t="s">
        <v>134</v>
      </c>
    </row>
    <row r="78" spans="1:3" x14ac:dyDescent="0.35">
      <c r="B78" t="s">
        <v>135</v>
      </c>
    </row>
    <row r="79" spans="1:3" x14ac:dyDescent="0.35">
      <c r="B79" t="s">
        <v>136</v>
      </c>
    </row>
    <row r="80" spans="1:3" x14ac:dyDescent="0.35">
      <c r="B80" t="s">
        <v>137</v>
      </c>
    </row>
    <row r="83" spans="1:2" x14ac:dyDescent="0.35">
      <c r="A83" t="s">
        <v>138</v>
      </c>
    </row>
    <row r="84" spans="1:2" x14ac:dyDescent="0.35">
      <c r="A84" t="s">
        <v>139</v>
      </c>
    </row>
    <row r="85" spans="1:2" x14ac:dyDescent="0.35">
      <c r="A85" t="s">
        <v>140</v>
      </c>
    </row>
    <row r="88" spans="1:2" x14ac:dyDescent="0.35">
      <c r="A88" t="s">
        <v>141</v>
      </c>
    </row>
    <row r="89" spans="1:2" x14ac:dyDescent="0.35">
      <c r="B89" t="s">
        <v>142</v>
      </c>
    </row>
    <row r="90" spans="1:2" x14ac:dyDescent="0.35">
      <c r="A90" t="s">
        <v>143</v>
      </c>
      <c r="B90" t="s">
        <v>144</v>
      </c>
    </row>
    <row r="91" spans="1:2" x14ac:dyDescent="0.35">
      <c r="B91" t="s">
        <v>145</v>
      </c>
    </row>
    <row r="92" spans="1:2" x14ac:dyDescent="0.35">
      <c r="A92" t="s">
        <v>143</v>
      </c>
      <c r="B92" t="s">
        <v>146</v>
      </c>
    </row>
    <row r="93" spans="1:2" x14ac:dyDescent="0.35">
      <c r="A93" t="s">
        <v>147</v>
      </c>
      <c r="B93" t="s">
        <v>148</v>
      </c>
    </row>
    <row r="94" spans="1:2" x14ac:dyDescent="0.35">
      <c r="A94" t="s">
        <v>149</v>
      </c>
      <c r="B94" t="s">
        <v>150</v>
      </c>
    </row>
    <row r="95" spans="1:2" x14ac:dyDescent="0.35">
      <c r="A95" t="s">
        <v>151</v>
      </c>
      <c r="B95" t="s">
        <v>152</v>
      </c>
    </row>
    <row r="96" spans="1:2" x14ac:dyDescent="0.35">
      <c r="A96" t="s">
        <v>105</v>
      </c>
      <c r="B96" t="s">
        <v>153</v>
      </c>
    </row>
    <row r="97" spans="1:8" x14ac:dyDescent="0.35">
      <c r="A97" t="s">
        <v>149</v>
      </c>
      <c r="B97" t="s">
        <v>154</v>
      </c>
    </row>
    <row r="99" spans="1:8" x14ac:dyDescent="0.35">
      <c r="A99" t="s">
        <v>155</v>
      </c>
    </row>
    <row r="100" spans="1:8" x14ac:dyDescent="0.35">
      <c r="B100" t="s">
        <v>156</v>
      </c>
    </row>
    <row r="101" spans="1:8" x14ac:dyDescent="0.35">
      <c r="B101" t="s">
        <v>157</v>
      </c>
    </row>
    <row r="102" spans="1:8" x14ac:dyDescent="0.35">
      <c r="B102" t="s">
        <v>158</v>
      </c>
    </row>
    <row r="104" spans="1:8" x14ac:dyDescent="0.35">
      <c r="A104" t="s">
        <v>159</v>
      </c>
    </row>
    <row r="105" spans="1:8" x14ac:dyDescent="0.35">
      <c r="B105" s="59" t="s">
        <v>160</v>
      </c>
      <c r="C105" s="59"/>
      <c r="D105" s="59"/>
      <c r="E105" s="59"/>
      <c r="F105" s="59"/>
      <c r="G105" s="59"/>
      <c r="H105" s="59"/>
    </row>
    <row r="107" spans="1:8" x14ac:dyDescent="0.35">
      <c r="A107" s="62" t="s">
        <v>167</v>
      </c>
      <c r="B107" s="62"/>
    </row>
    <row r="108" spans="1:8" x14ac:dyDescent="0.35">
      <c r="A108" t="s">
        <v>164</v>
      </c>
    </row>
    <row r="109" spans="1:8" x14ac:dyDescent="0.35">
      <c r="B109" t="s">
        <v>115</v>
      </c>
    </row>
    <row r="110" spans="1:8" x14ac:dyDescent="0.35">
      <c r="B110" s="62" t="s">
        <v>165</v>
      </c>
      <c r="C110" s="62"/>
      <c r="D110" s="62"/>
      <c r="E110" s="62"/>
    </row>
    <row r="112" spans="1:8" x14ac:dyDescent="0.35">
      <c r="A112" t="s">
        <v>166</v>
      </c>
    </row>
    <row r="114" spans="1:11" x14ac:dyDescent="0.35">
      <c r="A114" s="62" t="s">
        <v>168</v>
      </c>
      <c r="B114" s="62"/>
      <c r="C114" s="62"/>
      <c r="D114" s="62"/>
      <c r="E114" s="62"/>
      <c r="F114" s="62"/>
      <c r="G114" s="62"/>
      <c r="H114" s="62"/>
      <c r="I114" s="62"/>
      <c r="J114" s="62"/>
      <c r="K114" s="63">
        <f>(0.0113+0.00823+0.000075+0.000001)*(1+2.478%)*50000</f>
        <v>1004.5918339999999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Sheet1</vt:lpstr>
      <vt:lpstr>python script &amp; prob setup</vt:lpstr>
      <vt:lpstr>GRTDlv1R1</vt:lpstr>
      <vt:lpstr>GRTDlv2R1</vt:lpstr>
      <vt:lpstr>GRTDlv9R1</vt:lpstr>
      <vt:lpstr>MAC1R1</vt:lpstr>
      <vt:lpstr>MAC2R1</vt:lpstr>
      <vt:lpstr>MAC9R1</vt:lpstr>
      <vt:lpstr>MAC9R2</vt:lpstr>
      <vt:lpstr>MacRcncAdj1R1</vt:lpstr>
      <vt:lpstr>MacRcncAdj2R1</vt:lpstr>
      <vt:lpstr>MacRcncAdj9R1</vt:lpstr>
      <vt:lpstr>MacRcncAdj9R2</vt:lpstr>
      <vt:lpstr>MacTrnsAdj1R1</vt:lpstr>
      <vt:lpstr>MacTrnsAdj2R1</vt:lpstr>
      <vt:lpstr>MacTrnsAdj9R1</vt:lpstr>
      <vt:lpstr>MacTrnsAdj9R2</vt:lpstr>
      <vt:lpstr>MacUncDlv1R1</vt:lpstr>
      <vt:lpstr>MacUncDlv2R1</vt:lpstr>
      <vt:lpstr>MacUncDlv9R1</vt:lpstr>
      <vt:lpstr>MacUncDlv9R2</vt:lpstr>
      <vt:lpstr>MSCCap1R1</vt:lpstr>
      <vt:lpstr>MSCCap2R1</vt:lpstr>
      <vt:lpstr>MSCCap9R1</vt:lpstr>
      <vt:lpstr>MSCCap9R2</vt:lpstr>
      <vt:lpstr>MSCEnergy1R1</vt:lpstr>
      <vt:lpstr>MSCEnergy2R1</vt:lpstr>
      <vt:lpstr>MSCEnergy9R1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Koropey, Boris</dc:creator>
  <cp:lastModifiedBy>Koropey, Boris</cp:lastModifiedBy>
  <dcterms:created xsi:type="dcterms:W3CDTF">2021-02-02T21:56:49Z</dcterms:created>
  <dcterms:modified xsi:type="dcterms:W3CDTF">2021-02-09T00:32:01Z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90586b-6766-439a-826f-fa6da183971c_Enabled">
    <vt:lpwstr>true</vt:lpwstr>
  </property>
  <property fmtid="{D5CDD505-2E9C-101B-9397-08002B2CF9AE}" pid="3" name="MSIP_Label_6490586b-6766-439a-826f-fa6da183971c_SetDate">
    <vt:lpwstr>2021-02-03T01:05:48Z</vt:lpwstr>
  </property>
  <property fmtid="{D5CDD505-2E9C-101B-9397-08002B2CF9AE}" pid="4" name="MSIP_Label_6490586b-6766-439a-826f-fa6da183971c_Method">
    <vt:lpwstr>Standard</vt:lpwstr>
  </property>
  <property fmtid="{D5CDD505-2E9C-101B-9397-08002B2CF9AE}" pid="5" name="MSIP_Label_6490586b-6766-439a-826f-fa6da183971c_Name">
    <vt:lpwstr>General</vt:lpwstr>
  </property>
  <property fmtid="{D5CDD505-2E9C-101B-9397-08002B2CF9AE}" pid="6" name="MSIP_Label_6490586b-6766-439a-826f-fa6da183971c_SiteId">
    <vt:lpwstr>e9aef9b7-25ca-4518-a881-33e546773136</vt:lpwstr>
  </property>
  <property fmtid="{D5CDD505-2E9C-101B-9397-08002B2CF9AE}" pid="7" name="MSIP_Label_6490586b-6766-439a-826f-fa6da183971c_ActionId">
    <vt:lpwstr>85f6e3a7-8524-4226-a205-00000b9f652b</vt:lpwstr>
  </property>
  <property fmtid="{D5CDD505-2E9C-101B-9397-08002B2CF9AE}" pid="8" name="MSIP_Label_6490586b-6766-439a-826f-fa6da183971c_ContentBits">
    <vt:lpwstr>0</vt:lpwstr>
  </property>
</Properties>
</file>