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OPEYB\Desktop\crackers\sandbox\Minimized_Maximized Objective Function (linProg) on MAC\"/>
    </mc:Choice>
  </mc:AlternateContent>
  <xr:revisionPtr revIDLastSave="0" documentId="13_ncr:1_{0FD899BC-2841-4AEB-8259-D4DD15AF6CEC}" xr6:coauthVersionLast="45" xr6:coauthVersionMax="45" xr10:uidLastSave="{00000000-0000-0000-0000-000000000000}"/>
  <bookViews>
    <workbookView xWindow="-110" yWindow="-110" windowWidth="22780" windowHeight="14660" activeTab="3" xr2:uid="{EC390234-B1BB-43FD-858E-1587486B43DE}"/>
  </bookViews>
  <sheets>
    <sheet name="SC1" sheetId="1" r:id="rId1"/>
    <sheet name="transposed" sheetId="3" r:id="rId2"/>
    <sheet name="pivot" sheetId="5" r:id="rId3"/>
    <sheet name="correl &amp; stdev" sheetId="6" r:id="rId4"/>
  </sheets>
  <definedNames>
    <definedName name="BasSrvCustChrg">pivot!$C$5:$N$5</definedName>
    <definedName name="BillIssuanceChrgPerkWh">pivot!$C$9:$N$9</definedName>
    <definedName name="CleanEnStdDelChrgPerkWh">pivot!$C$25:$N$25</definedName>
    <definedName name="CleanEnStdSupplyChrgPerkWh">pivot!$C$26:$N$26</definedName>
    <definedName name="DelChrgPerkWhGT250kWh">pivot!$C$7:$N$7</definedName>
    <definedName name="DelChrgPerkWhGTE250kWh">pivot!$C$6:$N$6</definedName>
    <definedName name="DelRevSurChrgPerkWh">pivot!$C$8:$N$8</definedName>
    <definedName name="DynLoadMgmtSurChrgPerkWh">pivot!$C$27:$N$27</definedName>
    <definedName name="ElectricSupplyMSCPerkWh">pivot!$C$17:$N$17</definedName>
    <definedName name="MacPerkWh">pivot!$C$21:$N$21</definedName>
    <definedName name="MerchantFuncChrgPerkWh">pivot!$C$18:$N$18</definedName>
    <definedName name="MonthlyAdjMACPerkWh">pivot!$C$11:$N$11</definedName>
    <definedName name="MSCIIPerkWh">pivot!$C$23:$N$23</definedName>
    <definedName name="MSCIPerkWh">pivot!$C$22:$N$22</definedName>
    <definedName name="NYS18aAssessPerkWh">pivot!$C$24:$N$24</definedName>
    <definedName name="_xlnm.Print_Titles" localSheetId="0">'SC1'!$A:$A,'SC1'!$1:$6</definedName>
    <definedName name="RenewablePortfChrgPerkWh">pivot!$C$15:$N$15</definedName>
    <definedName name="RevDecouplingAdjPerkWh">pivot!$C$10:$N$10</definedName>
    <definedName name="SystemBenefitChrgPerkWh">pivot!$C$14:$N$14</definedName>
    <definedName name="TaxesNYCCommodity">pivot!$C$19:$N$19</definedName>
    <definedName name="TaxesNYCDelivery">pivot!$C$20:$N$20</definedName>
    <definedName name="TaxSurCredit">pivot!$C$28:$N$28</definedName>
    <definedName name="TransitionAdjDelivery">pivot!$C$13:$N$13</definedName>
    <definedName name="UncollectibleDeluveryMAC">pivot!$C$12:$N$12</definedName>
    <definedName name="VDERCostRecovChrgPerkWh">pivot!$C$16:$N$16</definedName>
    <definedName name="VDERCostRecSupplyPerkWh">pivot!$C$29:$N$29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4" i="6" l="1"/>
  <c r="AE35" i="6"/>
  <c r="AF35" i="6"/>
  <c r="AG35" i="6"/>
  <c r="AH35" i="6"/>
  <c r="AI35" i="6"/>
  <c r="AJ35" i="6"/>
  <c r="AK35" i="6"/>
  <c r="AL35" i="6"/>
  <c r="AM35" i="6"/>
  <c r="AN35" i="6"/>
  <c r="AO35" i="6"/>
  <c r="AP35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F34" i="6"/>
  <c r="AG34" i="6"/>
  <c r="AH34" i="6"/>
  <c r="AI34" i="6"/>
  <c r="AJ34" i="6"/>
  <c r="AK34" i="6"/>
  <c r="AL34" i="6"/>
  <c r="AM34" i="6"/>
  <c r="AN34" i="6"/>
  <c r="AO34" i="6"/>
  <c r="AP34" i="6"/>
  <c r="Z140" i="3" l="1"/>
  <c r="W140" i="3"/>
  <c r="V140" i="3"/>
  <c r="U140" i="3"/>
  <c r="R140" i="3"/>
  <c r="Q140" i="3"/>
  <c r="L140" i="3"/>
  <c r="K140" i="3"/>
  <c r="J140" i="3"/>
  <c r="H140" i="3"/>
  <c r="G140" i="3"/>
  <c r="Z139" i="3"/>
  <c r="W139" i="3"/>
  <c r="V139" i="3"/>
  <c r="U139" i="3"/>
  <c r="R139" i="3"/>
  <c r="Q139" i="3"/>
  <c r="L139" i="3"/>
  <c r="K139" i="3"/>
  <c r="J139" i="3"/>
  <c r="H139" i="3"/>
  <c r="Z138" i="3"/>
  <c r="W138" i="3"/>
  <c r="V138" i="3"/>
  <c r="U138" i="3"/>
  <c r="R138" i="3"/>
  <c r="Q138" i="3"/>
  <c r="L138" i="3"/>
  <c r="K138" i="3"/>
  <c r="J138" i="3"/>
  <c r="H138" i="3"/>
  <c r="W137" i="3"/>
  <c r="V137" i="3"/>
  <c r="U137" i="3"/>
  <c r="R137" i="3"/>
  <c r="Q137" i="3"/>
  <c r="L137" i="3"/>
  <c r="K137" i="3"/>
  <c r="J137" i="3"/>
  <c r="H137" i="3"/>
  <c r="W136" i="3"/>
  <c r="V136" i="3"/>
  <c r="U136" i="3"/>
  <c r="R136" i="3"/>
  <c r="Q136" i="3"/>
  <c r="L136" i="3"/>
  <c r="K136" i="3"/>
  <c r="J136" i="3"/>
  <c r="Q135" i="3"/>
  <c r="R122" i="3"/>
  <c r="K122" i="3"/>
  <c r="T115" i="3"/>
  <c r="T114" i="3"/>
  <c r="X98" i="3"/>
  <c r="W98" i="3"/>
  <c r="V98" i="3"/>
  <c r="K98" i="3"/>
  <c r="Z95" i="3"/>
  <c r="N95" i="3"/>
  <c r="Z94" i="3"/>
  <c r="N94" i="3"/>
  <c r="Z93" i="3"/>
  <c r="N93" i="3"/>
  <c r="Z92" i="3"/>
  <c r="T92" i="3"/>
  <c r="N92" i="3"/>
  <c r="Z91" i="3"/>
  <c r="N91" i="3"/>
  <c r="Z90" i="3"/>
  <c r="N90" i="3"/>
  <c r="N89" i="3"/>
  <c r="N88" i="3"/>
  <c r="N87" i="3"/>
  <c r="G87" i="3"/>
  <c r="G86" i="3"/>
  <c r="G85" i="3"/>
  <c r="D85" i="3"/>
  <c r="C85" i="3" s="1"/>
  <c r="G84" i="3"/>
  <c r="D84" i="3"/>
  <c r="C84" i="3" s="1"/>
  <c r="C83" i="3"/>
  <c r="B83" i="3"/>
  <c r="T82" i="3"/>
  <c r="G82" i="3"/>
  <c r="F82" i="3"/>
  <c r="T81" i="3"/>
  <c r="G81" i="3"/>
  <c r="F81" i="3"/>
  <c r="T80" i="3"/>
  <c r="G80" i="3"/>
  <c r="F80" i="3"/>
  <c r="V79" i="3"/>
  <c r="G79" i="3"/>
  <c r="F79" i="3"/>
  <c r="G78" i="3"/>
  <c r="F78" i="3"/>
  <c r="T77" i="3"/>
  <c r="G77" i="3"/>
  <c r="F77" i="3"/>
  <c r="T76" i="3"/>
  <c r="G76" i="3"/>
  <c r="F76" i="3"/>
  <c r="T75" i="3"/>
  <c r="G75" i="3"/>
  <c r="F75" i="3"/>
  <c r="T74" i="3"/>
  <c r="G74" i="3"/>
  <c r="F74" i="3"/>
  <c r="T73" i="3"/>
  <c r="G73" i="3"/>
  <c r="F73" i="3"/>
  <c r="T72" i="3"/>
  <c r="G72" i="3"/>
  <c r="F72" i="3"/>
  <c r="T71" i="3"/>
  <c r="G71" i="3"/>
  <c r="F71" i="3"/>
  <c r="T70" i="3"/>
  <c r="G70" i="3"/>
  <c r="F70" i="3"/>
  <c r="T69" i="3"/>
  <c r="G69" i="3"/>
  <c r="F69" i="3"/>
  <c r="T68" i="3"/>
  <c r="G68" i="3"/>
  <c r="F68" i="3"/>
  <c r="G67" i="3"/>
  <c r="F67" i="3"/>
  <c r="R50" i="3"/>
  <c r="R49" i="3"/>
  <c r="R48" i="3"/>
  <c r="R47" i="3"/>
  <c r="R46" i="3"/>
  <c r="D46" i="3"/>
  <c r="B46" i="3" s="1"/>
  <c r="C46" i="3"/>
  <c r="R45" i="3"/>
  <c r="C45" i="3"/>
  <c r="B45" i="3"/>
  <c r="R44" i="3"/>
  <c r="C44" i="3"/>
  <c r="B44" i="3"/>
  <c r="V43" i="3"/>
  <c r="U43" i="3"/>
  <c r="R43" i="3"/>
  <c r="C43" i="3"/>
  <c r="B43" i="3"/>
  <c r="R42" i="3"/>
  <c r="C42" i="3"/>
  <c r="B42" i="3"/>
  <c r="V41" i="3"/>
  <c r="R41" i="3"/>
  <c r="C41" i="3"/>
  <c r="B41" i="3"/>
  <c r="R40" i="3"/>
  <c r="C40" i="3"/>
  <c r="B40" i="3"/>
  <c r="R39" i="3"/>
  <c r="C39" i="3"/>
  <c r="B39" i="3"/>
  <c r="R38" i="3"/>
  <c r="C38" i="3"/>
  <c r="B38" i="3"/>
  <c r="R37" i="3"/>
  <c r="C37" i="3"/>
  <c r="B37" i="3"/>
  <c r="R36" i="3"/>
  <c r="C36" i="3"/>
  <c r="B36" i="3"/>
  <c r="V35" i="3"/>
  <c r="U35" i="3"/>
  <c r="R35" i="3"/>
  <c r="C35" i="3"/>
  <c r="B35" i="3"/>
  <c r="R34" i="3"/>
  <c r="C34" i="3"/>
  <c r="B34" i="3"/>
  <c r="R33" i="3"/>
  <c r="C33" i="3"/>
  <c r="B33" i="3"/>
  <c r="T32" i="3"/>
  <c r="C32" i="3"/>
  <c r="B32" i="3"/>
  <c r="T31" i="3"/>
  <c r="F31" i="3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C31" i="3"/>
  <c r="B31" i="3"/>
  <c r="X30" i="3"/>
  <c r="H30" i="3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C30" i="3"/>
  <c r="B30" i="3"/>
  <c r="X29" i="3"/>
  <c r="T29" i="3"/>
  <c r="N29" i="3"/>
  <c r="N30" i="3" s="1"/>
  <c r="N31" i="3" s="1"/>
  <c r="N32" i="3" s="1"/>
  <c r="N33" i="3" s="1"/>
  <c r="N34" i="3" s="1"/>
  <c r="N35" i="3" s="1"/>
  <c r="N36" i="3" s="1"/>
  <c r="N37" i="3" s="1"/>
  <c r="N38" i="3" s="1"/>
  <c r="M29" i="3"/>
  <c r="M30" i="3" s="1"/>
  <c r="H29" i="3"/>
  <c r="G29" i="3"/>
  <c r="C29" i="3"/>
  <c r="B29" i="3"/>
  <c r="X28" i="3"/>
  <c r="T28" i="3"/>
  <c r="S28" i="3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O28" i="3"/>
  <c r="O29" i="3" s="1"/>
  <c r="O30" i="3" s="1"/>
  <c r="O31" i="3" s="1"/>
  <c r="O32" i="3" s="1"/>
  <c r="O33" i="3" s="1"/>
  <c r="O34" i="3" s="1"/>
  <c r="O35" i="3" s="1"/>
  <c r="N28" i="3"/>
  <c r="M28" i="3"/>
  <c r="J28" i="3"/>
  <c r="J29" i="3" s="1"/>
  <c r="J30" i="3" s="1"/>
  <c r="I28" i="3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H28" i="3"/>
  <c r="G28" i="3"/>
  <c r="F28" i="3"/>
  <c r="F29" i="3" s="1"/>
  <c r="E28" i="3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B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B5" i="1"/>
  <c r="EI28" i="1"/>
  <c r="EH28" i="1"/>
  <c r="EG28" i="1"/>
  <c r="CP28" i="1"/>
  <c r="CO28" i="1"/>
  <c r="CN28" i="1"/>
  <c r="CM28" i="1"/>
  <c r="CL28" i="1"/>
  <c r="CK28" i="1"/>
  <c r="CS26" i="1"/>
  <c r="AA26" i="1"/>
  <c r="AB26" i="1" s="1"/>
  <c r="AC26" i="1" s="1"/>
  <c r="EI25" i="1"/>
  <c r="EH25" i="1"/>
  <c r="EG25" i="1"/>
  <c r="EF25" i="1"/>
  <c r="EE25" i="1"/>
  <c r="CS25" i="1"/>
  <c r="EI24" i="1"/>
  <c r="EH24" i="1"/>
  <c r="EG24" i="1"/>
  <c r="EF24" i="1"/>
  <c r="EE24" i="1"/>
  <c r="CS24" i="1"/>
  <c r="BZ24" i="1"/>
  <c r="AP24" i="1"/>
  <c r="AN24" i="1"/>
  <c r="AH24" i="1"/>
  <c r="EI23" i="1"/>
  <c r="EH23" i="1"/>
  <c r="EG23" i="1"/>
  <c r="EF23" i="1"/>
  <c r="EE23" i="1"/>
  <c r="AP23" i="1"/>
  <c r="AH23" i="1"/>
  <c r="DJ22" i="1"/>
  <c r="DI22" i="1"/>
  <c r="CM22" i="1"/>
  <c r="CC22" i="1"/>
  <c r="CB22" i="1"/>
  <c r="CA22" i="1"/>
  <c r="BX22" i="1"/>
  <c r="BW22" i="1"/>
  <c r="BV22" i="1"/>
  <c r="BU22" i="1"/>
  <c r="BT22" i="1"/>
  <c r="BS22" i="1"/>
  <c r="BR22" i="1"/>
  <c r="BQ22" i="1"/>
  <c r="BP22" i="1"/>
  <c r="BO22" i="1"/>
  <c r="AE22" i="1"/>
  <c r="AD22" i="1"/>
  <c r="AA22" i="1"/>
  <c r="AB22" i="1" s="1"/>
  <c r="AA21" i="1"/>
  <c r="EI20" i="1"/>
  <c r="EH20" i="1"/>
  <c r="EG20" i="1"/>
  <c r="EF20" i="1"/>
  <c r="EE20" i="1"/>
  <c r="DQ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EI19" i="1"/>
  <c r="EH19" i="1"/>
  <c r="EG19" i="1"/>
  <c r="EF19" i="1"/>
  <c r="EE19" i="1"/>
  <c r="ED19" i="1"/>
  <c r="AA17" i="1"/>
  <c r="AB17" i="1" s="1"/>
  <c r="AC17" i="1" s="1"/>
  <c r="AD17" i="1" s="1"/>
  <c r="AE17" i="1" s="1"/>
  <c r="AF17" i="1" s="1"/>
  <c r="AG17" i="1" s="1"/>
  <c r="AH17" i="1" s="1"/>
  <c r="CP16" i="1"/>
  <c r="CO16" i="1"/>
  <c r="CN16" i="1"/>
  <c r="CM16" i="1"/>
  <c r="CL16" i="1"/>
  <c r="CK16" i="1"/>
  <c r="CJ16" i="1"/>
  <c r="CI16" i="1"/>
  <c r="CH16" i="1"/>
  <c r="AA16" i="1"/>
  <c r="AB16" i="1" s="1"/>
  <c r="AC16" i="1" s="1"/>
  <c r="AD16" i="1" s="1"/>
  <c r="AE16" i="1" s="1"/>
  <c r="AF16" i="1" s="1"/>
  <c r="AG16" i="1" s="1"/>
  <c r="AH16" i="1" s="1"/>
  <c r="AI16" i="1" s="1"/>
  <c r="AJ16" i="1" s="1"/>
  <c r="AA15" i="1"/>
  <c r="AB15" i="1" s="1"/>
  <c r="AC15" i="1" s="1"/>
  <c r="EI14" i="1"/>
  <c r="EH14" i="1"/>
  <c r="EG14" i="1"/>
  <c r="EF14" i="1"/>
  <c r="EE14" i="1"/>
  <c r="EI13" i="1"/>
  <c r="EH13" i="1"/>
  <c r="EG13" i="1"/>
  <c r="EF13" i="1"/>
  <c r="EE13" i="1"/>
  <c r="DQ13" i="1"/>
  <c r="CS13" i="1"/>
  <c r="EI12" i="1"/>
  <c r="EH12" i="1"/>
  <c r="EG12" i="1"/>
  <c r="EF12" i="1"/>
  <c r="EE12" i="1"/>
  <c r="AA12" i="1"/>
  <c r="AB12" i="1" s="1"/>
  <c r="AC12" i="1" s="1"/>
  <c r="AA11" i="1"/>
  <c r="EI10" i="1"/>
  <c r="EH10" i="1"/>
  <c r="EG10" i="1"/>
  <c r="EF10" i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EI9" i="1"/>
  <c r="CH9" i="1"/>
  <c r="CG9" i="1"/>
  <c r="CF9" i="1"/>
  <c r="CE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AA9" i="1"/>
  <c r="AB9" i="1" s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AD8" i="1"/>
  <c r="AE8" i="1" s="1"/>
  <c r="AF8" i="1" s="1"/>
  <c r="AA8" i="1"/>
  <c r="AB8" i="1" s="1"/>
  <c r="AA7" i="1"/>
  <c r="CE6" i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EA6" i="1" s="1"/>
  <c r="EB6" i="1" s="1"/>
  <c r="EC6" i="1" s="1"/>
  <c r="ED6" i="1" s="1"/>
  <c r="EE6" i="1" s="1"/>
  <c r="EF6" i="1" s="1"/>
  <c r="EG6" i="1" s="1"/>
  <c r="EH6" i="1" s="1"/>
  <c r="EI6" i="1" s="1"/>
  <c r="AS6" i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D47" i="3" l="1"/>
  <c r="B84" i="3"/>
  <c r="D86" i="3"/>
  <c r="B85" i="3"/>
  <c r="AB7" i="1"/>
  <c r="AC7" i="1" s="1"/>
  <c r="AG8" i="1"/>
  <c r="AK10" i="1"/>
  <c r="AK16" i="1"/>
  <c r="AB21" i="1"/>
  <c r="AB11" i="1"/>
  <c r="Z23" i="6"/>
  <c r="N10" i="6"/>
  <c r="U8" i="6"/>
  <c r="M11" i="6"/>
  <c r="C12" i="6"/>
  <c r="M9" i="6"/>
  <c r="M12" i="6"/>
  <c r="K13" i="6"/>
  <c r="I13" i="6"/>
  <c r="Z11" i="6"/>
  <c r="R2" i="6"/>
  <c r="K25" i="6"/>
  <c r="D8" i="6"/>
  <c r="K6" i="6"/>
  <c r="C9" i="6"/>
  <c r="T9" i="6"/>
  <c r="C7" i="6"/>
  <c r="C10" i="6"/>
  <c r="I11" i="6"/>
  <c r="I23" i="6"/>
  <c r="M5" i="6"/>
  <c r="I4" i="6"/>
  <c r="T6" i="6"/>
  <c r="I10" i="6"/>
  <c r="K7" i="6"/>
  <c r="I3" i="6"/>
  <c r="Q3" i="6"/>
  <c r="Y24" i="6"/>
  <c r="T8" i="6"/>
  <c r="H7" i="6"/>
  <c r="S9" i="6"/>
  <c r="Q10" i="6"/>
  <c r="S7" i="6"/>
  <c r="C8" i="6"/>
  <c r="U25" i="6"/>
  <c r="Q17" i="6"/>
  <c r="X15" i="6"/>
  <c r="G21" i="6"/>
  <c r="J25" i="6"/>
  <c r="Z25" i="6"/>
  <c r="Z4" i="6"/>
  <c r="V14" i="6"/>
  <c r="T18" i="6"/>
  <c r="L18" i="6"/>
  <c r="U16" i="6"/>
  <c r="X8" i="6"/>
  <c r="X14" i="6"/>
  <c r="J3" i="6"/>
  <c r="P4" i="6"/>
  <c r="O4" i="6"/>
  <c r="Y8" i="6"/>
  <c r="G7" i="6"/>
  <c r="N2" i="6"/>
  <c r="L19" i="6"/>
  <c r="G11" i="6"/>
  <c r="M15" i="6"/>
  <c r="Z2" i="6"/>
  <c r="E21" i="6"/>
  <c r="O16" i="6"/>
  <c r="R21" i="6"/>
  <c r="D17" i="6"/>
  <c r="Q9" i="6"/>
  <c r="F3" i="6"/>
  <c r="P11" i="6"/>
  <c r="K23" i="6"/>
  <c r="N19" i="6"/>
  <c r="U12" i="6"/>
  <c r="D25" i="6"/>
  <c r="R12" i="6"/>
  <c r="R10" i="6"/>
  <c r="V23" i="6"/>
  <c r="O18" i="6"/>
  <c r="R25" i="6"/>
  <c r="E11" i="6"/>
  <c r="D2" i="6"/>
  <c r="G5" i="6"/>
  <c r="N20" i="6"/>
  <c r="P12" i="6"/>
  <c r="O14" i="6"/>
  <c r="O25" i="6"/>
  <c r="E17" i="6"/>
  <c r="X18" i="6"/>
  <c r="T20" i="6"/>
  <c r="R5" i="6"/>
  <c r="F11" i="6"/>
  <c r="T24" i="6"/>
  <c r="D16" i="6"/>
  <c r="T17" i="6"/>
  <c r="K18" i="6"/>
  <c r="K10" i="6"/>
  <c r="P13" i="6"/>
  <c r="M13" i="6"/>
  <c r="T14" i="6"/>
  <c r="T12" i="6"/>
  <c r="R16" i="6"/>
  <c r="C11" i="6"/>
  <c r="J12" i="6"/>
  <c r="S15" i="6"/>
  <c r="T13" i="6"/>
  <c r="J14" i="6"/>
  <c r="V25" i="6"/>
  <c r="E13" i="6"/>
  <c r="T11" i="6"/>
  <c r="L14" i="6"/>
  <c r="U14" i="6"/>
  <c r="L12" i="6"/>
  <c r="T15" i="6"/>
  <c r="J16" i="6"/>
  <c r="U4" i="6"/>
  <c r="H2" i="6"/>
  <c r="U18" i="6"/>
  <c r="G24" i="6"/>
  <c r="V10" i="6"/>
  <c r="J9" i="6"/>
  <c r="U11" i="6"/>
  <c r="K12" i="6"/>
  <c r="U9" i="6"/>
  <c r="S13" i="6"/>
  <c r="S25" i="6"/>
  <c r="L8" i="6"/>
  <c r="S6" i="6"/>
  <c r="K9" i="6"/>
  <c r="S12" i="6"/>
  <c r="J10" i="6"/>
  <c r="R8" i="6"/>
  <c r="Y11" i="6"/>
  <c r="K11" i="6"/>
  <c r="Z9" i="6"/>
  <c r="H13" i="6"/>
  <c r="Z8" i="6"/>
  <c r="H20" i="6"/>
  <c r="H5" i="6"/>
  <c r="H24" i="6"/>
  <c r="Z21" i="6"/>
  <c r="F24" i="6"/>
  <c r="P16" i="6"/>
  <c r="H11" i="6"/>
  <c r="E6" i="6"/>
  <c r="V13" i="6"/>
  <c r="Y7" i="6"/>
  <c r="G4" i="6"/>
  <c r="N5" i="6"/>
  <c r="V4" i="6"/>
  <c r="O15" i="6"/>
  <c r="N17" i="6"/>
  <c r="H8" i="6"/>
  <c r="K14" i="6"/>
  <c r="C17" i="6"/>
  <c r="C15" i="6"/>
  <c r="I19" i="6"/>
  <c r="E18" i="6"/>
  <c r="E23" i="6"/>
  <c r="I12" i="6"/>
  <c r="J15" i="6"/>
  <c r="I16" i="6"/>
  <c r="O24" i="6"/>
  <c r="R9" i="6"/>
  <c r="R15" i="6"/>
  <c r="H14" i="6"/>
  <c r="R24" i="6"/>
  <c r="P24" i="6"/>
  <c r="F25" i="6"/>
  <c r="H23" i="6"/>
  <c r="P23" i="6"/>
  <c r="I25" i="6"/>
  <c r="Y6" i="6"/>
  <c r="E3" i="6"/>
  <c r="V3" i="6"/>
  <c r="H9" i="6"/>
  <c r="E4" i="6"/>
  <c r="C5" i="6"/>
  <c r="M2" i="6"/>
  <c r="S5" i="6"/>
  <c r="P14" i="6"/>
  <c r="Z10" i="6"/>
  <c r="P25" i="6"/>
  <c r="U21" i="6"/>
  <c r="F21" i="6"/>
  <c r="O12" i="6"/>
  <c r="Q21" i="6"/>
  <c r="Z3" i="6"/>
  <c r="R19" i="6"/>
  <c r="T2" i="6"/>
  <c r="F23" i="6"/>
  <c r="K19" i="6"/>
  <c r="Z17" i="6"/>
  <c r="R20" i="6"/>
  <c r="M20" i="6"/>
  <c r="T7" i="6"/>
  <c r="Q2" i="6"/>
  <c r="E24" i="6"/>
  <c r="G23" i="6"/>
  <c r="Y20" i="6"/>
  <c r="R11" i="6"/>
  <c r="S16" i="6"/>
  <c r="J21" i="6"/>
  <c r="I8" i="6"/>
  <c r="J24" i="6"/>
  <c r="I9" i="6"/>
  <c r="P7" i="6"/>
  <c r="H10" i="6"/>
  <c r="X21" i="6"/>
  <c r="S23" i="6"/>
  <c r="J19" i="6"/>
  <c r="V19" i="6"/>
  <c r="N15" i="6"/>
  <c r="P6" i="6"/>
  <c r="N18" i="6"/>
  <c r="X13" i="6"/>
  <c r="X19" i="6"/>
  <c r="G15" i="6"/>
  <c r="U23" i="6"/>
  <c r="X4" i="6"/>
  <c r="L3" i="6"/>
  <c r="D6" i="6"/>
  <c r="M6" i="6"/>
  <c r="D4" i="6"/>
  <c r="D7" i="6"/>
  <c r="U7" i="6"/>
  <c r="G2" i="6"/>
  <c r="Q11" i="6"/>
  <c r="G17" i="6"/>
  <c r="X23" i="6"/>
  <c r="Q25" i="6"/>
  <c r="V7" i="6"/>
  <c r="M3" i="6"/>
  <c r="C4" i="6"/>
  <c r="M10" i="6"/>
  <c r="M4" i="6"/>
  <c r="K5" i="6"/>
  <c r="U2" i="6"/>
  <c r="X25" i="6"/>
  <c r="I20" i="6"/>
  <c r="O21" i="6"/>
  <c r="I14" i="6"/>
  <c r="G12" i="6"/>
  <c r="J13" i="6"/>
  <c r="J5" i="6"/>
  <c r="M24" i="6"/>
  <c r="C3" i="6"/>
  <c r="Y14" i="6"/>
  <c r="J4" i="6"/>
  <c r="S4" i="6"/>
  <c r="L13" i="6"/>
  <c r="S10" i="6"/>
  <c r="L25" i="6"/>
  <c r="S11" i="6"/>
  <c r="G10" i="6"/>
  <c r="Z12" i="6"/>
  <c r="F15" i="6"/>
  <c r="T23" i="6"/>
  <c r="M8" i="6"/>
  <c r="L21" i="6"/>
  <c r="M7" i="6"/>
  <c r="N7" i="6"/>
  <c r="O20" i="6"/>
  <c r="C20" i="6"/>
  <c r="Y3" i="6"/>
  <c r="V5" i="6"/>
  <c r="V24" i="6"/>
  <c r="O5" i="6"/>
  <c r="X16" i="6"/>
  <c r="V20" i="6"/>
  <c r="X10" i="6"/>
  <c r="F5" i="6"/>
  <c r="D20" i="6"/>
  <c r="N4" i="6"/>
  <c r="O19" i="6"/>
  <c r="Z6" i="6"/>
  <c r="S8" i="6"/>
  <c r="N9" i="6"/>
  <c r="T25" i="6"/>
  <c r="Q24" i="6"/>
  <c r="P10" i="6"/>
  <c r="L20" i="6"/>
  <c r="X17" i="6"/>
  <c r="E16" i="6"/>
  <c r="O7" i="6"/>
  <c r="C6" i="6"/>
  <c r="V8" i="6"/>
  <c r="L9" i="6"/>
  <c r="V6" i="6"/>
  <c r="V9" i="6"/>
  <c r="T10" i="6"/>
  <c r="J7" i="6"/>
  <c r="Z16" i="6"/>
  <c r="P2" i="6"/>
  <c r="Z24" i="6"/>
  <c r="E5" i="6"/>
  <c r="T3" i="6"/>
  <c r="L6" i="6"/>
  <c r="U6" i="6"/>
  <c r="L4" i="6"/>
  <c r="L7" i="6"/>
  <c r="J8" i="6"/>
  <c r="X2" i="6"/>
  <c r="Y25" i="6"/>
  <c r="U10" i="6"/>
  <c r="U3" i="6"/>
  <c r="K4" i="6"/>
  <c r="T4" i="6"/>
  <c r="H19" i="6"/>
  <c r="Y16" i="6"/>
  <c r="Q23" i="6"/>
  <c r="U5" i="6"/>
  <c r="Q4" i="6"/>
  <c r="I7" i="6"/>
  <c r="R7" i="6"/>
  <c r="I5" i="6"/>
  <c r="R13" i="6"/>
  <c r="C23" i="6"/>
  <c r="R14" i="6"/>
  <c r="F13" i="6"/>
  <c r="Y15" i="6"/>
  <c r="Y13" i="6"/>
  <c r="K24" i="6"/>
  <c r="M16" i="6"/>
  <c r="P8" i="6"/>
  <c r="C13" i="6"/>
  <c r="G6" i="6"/>
  <c r="O10" i="6"/>
  <c r="G3" i="6"/>
  <c r="G9" i="6"/>
  <c r="N16" i="6"/>
  <c r="I24" i="6"/>
  <c r="O13" i="6"/>
  <c r="H3" i="6"/>
  <c r="J2" i="6"/>
  <c r="V17" i="6"/>
  <c r="L11" i="6"/>
  <c r="Q5" i="6"/>
  <c r="D10" i="6"/>
  <c r="P9" i="6"/>
  <c r="Z14" i="6"/>
  <c r="O8" i="6"/>
  <c r="L15" i="6"/>
  <c r="N8" i="6"/>
  <c r="L24" i="6"/>
  <c r="C25" i="6"/>
  <c r="H25" i="6"/>
  <c r="I21" i="6"/>
  <c r="I6" i="6"/>
  <c r="C19" i="6"/>
  <c r="J18" i="6"/>
  <c r="T16" i="6"/>
  <c r="C16" i="6"/>
  <c r="S19" i="6"/>
  <c r="Y18" i="6"/>
  <c r="O23" i="6"/>
  <c r="Q7" i="6"/>
  <c r="F10" i="6"/>
  <c r="V2" i="6"/>
  <c r="X5" i="6"/>
  <c r="N11" i="6"/>
  <c r="G19" i="6"/>
  <c r="D12" i="6"/>
  <c r="F7" i="6"/>
  <c r="D24" i="6"/>
  <c r="T19" i="6"/>
  <c r="U15" i="6"/>
  <c r="X7" i="6"/>
  <c r="Z5" i="6"/>
  <c r="T5" i="6"/>
  <c r="D18" i="6"/>
  <c r="G25" i="6"/>
  <c r="L23" i="6"/>
  <c r="E15" i="6"/>
  <c r="N6" i="6"/>
  <c r="V18" i="6"/>
  <c r="U17" i="6"/>
  <c r="P19" i="6"/>
  <c r="S14" i="6"/>
  <c r="S18" i="6"/>
  <c r="Q12" i="6"/>
  <c r="Y19" i="6"/>
  <c r="Y12" i="6"/>
  <c r="P21" i="6"/>
  <c r="K3" i="6"/>
  <c r="Z7" i="6"/>
  <c r="F18" i="6"/>
  <c r="V21" i="6"/>
  <c r="G20" i="6"/>
  <c r="N14" i="6"/>
  <c r="O3" i="6"/>
  <c r="F17" i="6"/>
  <c r="G8" i="6"/>
  <c r="K16" i="6"/>
  <c r="F8" i="6"/>
  <c r="Q6" i="6"/>
  <c r="C14" i="6"/>
  <c r="J11" i="6"/>
  <c r="E8" i="6"/>
  <c r="L17" i="6"/>
  <c r="H21" i="6"/>
  <c r="N23" i="6"/>
  <c r="E12" i="6"/>
  <c r="U20" i="6"/>
  <c r="M21" i="6"/>
  <c r="C21" i="6"/>
  <c r="H6" i="6"/>
  <c r="R17" i="6"/>
  <c r="R3" i="6"/>
  <c r="H15" i="6"/>
  <c r="O2" i="6"/>
  <c r="P15" i="6"/>
  <c r="Q13" i="6"/>
  <c r="J6" i="6"/>
  <c r="Y10" i="6"/>
  <c r="E19" i="6"/>
  <c r="F6" i="6"/>
  <c r="Q8" i="6"/>
  <c r="E7" i="6"/>
  <c r="E9" i="6"/>
  <c r="V15" i="6"/>
  <c r="M14" i="6"/>
  <c r="D9" i="6"/>
  <c r="F16" i="6"/>
  <c r="E2" i="6"/>
  <c r="M18" i="6"/>
  <c r="X6" i="6"/>
  <c r="T21" i="6"/>
  <c r="L2" i="6"/>
  <c r="X20" i="6"/>
  <c r="J17" i="6"/>
  <c r="S21" i="6"/>
  <c r="F19" i="6"/>
  <c r="K17" i="6"/>
  <c r="Q19" i="6"/>
  <c r="I15" i="6"/>
  <c r="Y2" i="6"/>
  <c r="G18" i="6"/>
  <c r="H16" i="6"/>
  <c r="N21" i="6"/>
  <c r="G16" i="6"/>
  <c r="P5" i="6"/>
  <c r="D23" i="6"/>
  <c r="G14" i="6"/>
  <c r="P20" i="6"/>
  <c r="E20" i="6"/>
  <c r="C24" i="6"/>
  <c r="P3" i="6"/>
  <c r="X11" i="6"/>
  <c r="Y5" i="6"/>
  <c r="F12" i="6"/>
  <c r="V16" i="6"/>
  <c r="N12" i="6"/>
  <c r="D13" i="6"/>
  <c r="F9" i="6"/>
  <c r="E25" i="6"/>
  <c r="U24" i="6"/>
  <c r="D19" i="6"/>
  <c r="V12" i="6"/>
  <c r="Q20" i="6"/>
  <c r="P17" i="6"/>
  <c r="K21" i="6"/>
  <c r="J20" i="6"/>
  <c r="X9" i="6"/>
  <c r="S17" i="6"/>
  <c r="P18" i="6"/>
  <c r="Q15" i="6"/>
  <c r="Z18" i="6"/>
  <c r="H17" i="6"/>
  <c r="N24" i="6"/>
  <c r="V11" i="6"/>
  <c r="H4" i="6"/>
  <c r="I2" i="6"/>
  <c r="D3" i="6"/>
  <c r="F4" i="6"/>
  <c r="R6" i="6"/>
  <c r="Z19" i="6"/>
  <c r="O11" i="6"/>
  <c r="N3" i="6"/>
  <c r="S20" i="6"/>
  <c r="Z20" i="6"/>
  <c r="C2" i="6"/>
  <c r="Y9" i="6"/>
  <c r="U19" i="6"/>
  <c r="K8" i="6"/>
  <c r="X24" i="6"/>
  <c r="I18" i="6"/>
  <c r="M23" i="6"/>
  <c r="Q18" i="6"/>
  <c r="M25" i="6"/>
  <c r="H18" i="6"/>
  <c r="F20" i="6"/>
  <c r="Y4" i="6"/>
  <c r="J23" i="6"/>
  <c r="O6" i="6"/>
  <c r="H12" i="6"/>
  <c r="K2" i="6"/>
  <c r="D11" i="6"/>
  <c r="O9" i="6"/>
  <c r="X12" i="6"/>
  <c r="D15" i="6"/>
  <c r="R23" i="6"/>
  <c r="M17" i="6"/>
  <c r="Y21" i="6"/>
  <c r="L5" i="6"/>
  <c r="F2" i="6"/>
  <c r="E10" i="6"/>
  <c r="Q14" i="6"/>
  <c r="S24" i="6"/>
  <c r="K20" i="6"/>
  <c r="Q16" i="6"/>
  <c r="L16" i="6"/>
  <c r="K15" i="6"/>
  <c r="U13" i="6"/>
  <c r="R18" i="6"/>
  <c r="I17" i="6"/>
  <c r="Z15" i="6"/>
  <c r="Y23" i="6"/>
  <c r="R4" i="6"/>
  <c r="S3" i="6"/>
  <c r="C18" i="6"/>
  <c r="M19" i="6"/>
  <c r="O17" i="6"/>
  <c r="E14" i="6"/>
  <c r="D21" i="6"/>
  <c r="D14" i="6"/>
  <c r="S2" i="6"/>
  <c r="N13" i="6"/>
  <c r="L10" i="6"/>
  <c r="D5" i="6"/>
  <c r="F14" i="6"/>
  <c r="Y17" i="6"/>
  <c r="G13" i="6"/>
  <c r="X3" i="6"/>
  <c r="B47" i="3" l="1"/>
  <c r="D48" i="3"/>
  <c r="C47" i="3"/>
  <c r="D87" i="3"/>
  <c r="C86" i="3"/>
  <c r="B86" i="3"/>
  <c r="AH8" i="1"/>
  <c r="AL10" i="1"/>
  <c r="AC21" i="1"/>
  <c r="AD7" i="1"/>
  <c r="AC11" i="1"/>
  <c r="B48" i="3" l="1"/>
  <c r="C48" i="3"/>
  <c r="D49" i="3"/>
  <c r="C87" i="3"/>
  <c r="B87" i="3"/>
  <c r="D88" i="3"/>
  <c r="AD11" i="1"/>
  <c r="AE7" i="1"/>
  <c r="AD21" i="1"/>
  <c r="AM10" i="1"/>
  <c r="AI8" i="1"/>
  <c r="C88" i="3" l="1"/>
  <c r="D89" i="3"/>
  <c r="B88" i="3"/>
  <c r="B49" i="3"/>
  <c r="C49" i="3"/>
  <c r="D50" i="3"/>
  <c r="AE21" i="1"/>
  <c r="AJ8" i="1"/>
  <c r="AF7" i="1"/>
  <c r="AE11" i="1"/>
  <c r="AN10" i="1"/>
  <c r="B50" i="3" l="1"/>
  <c r="C50" i="3"/>
  <c r="D51" i="3"/>
  <c r="B89" i="3"/>
  <c r="C89" i="3"/>
  <c r="D90" i="3"/>
  <c r="AO10" i="1"/>
  <c r="AK8" i="1"/>
  <c r="AF21" i="1"/>
  <c r="AF11" i="1"/>
  <c r="AG7" i="1"/>
  <c r="B51" i="3" l="1"/>
  <c r="C51" i="3"/>
  <c r="D52" i="3"/>
  <c r="C90" i="3"/>
  <c r="B90" i="3"/>
  <c r="D91" i="3"/>
  <c r="AG21" i="1"/>
  <c r="AH7" i="1"/>
  <c r="AL8" i="1"/>
  <c r="AG11" i="1"/>
  <c r="AP10" i="1"/>
  <c r="C52" i="3" l="1"/>
  <c r="D53" i="3"/>
  <c r="B52" i="3"/>
  <c r="D92" i="3"/>
  <c r="B91" i="3"/>
  <c r="C91" i="3"/>
  <c r="AH21" i="1"/>
  <c r="AH11" i="1"/>
  <c r="AQ10" i="1"/>
  <c r="AM8" i="1"/>
  <c r="AI7" i="1"/>
  <c r="B53" i="3" l="1"/>
  <c r="D54" i="3"/>
  <c r="C53" i="3"/>
  <c r="C92" i="3"/>
  <c r="D93" i="3"/>
  <c r="B92" i="3"/>
  <c r="AI11" i="1"/>
  <c r="AI21" i="1"/>
  <c r="AJ7" i="1"/>
  <c r="AR10" i="1"/>
  <c r="AN8" i="1"/>
  <c r="C93" i="3" l="1"/>
  <c r="B93" i="3"/>
  <c r="D94" i="3"/>
  <c r="C54" i="3"/>
  <c r="B54" i="3"/>
  <c r="D55" i="3"/>
  <c r="AS10" i="1"/>
  <c r="AJ21" i="1"/>
  <c r="AK7" i="1"/>
  <c r="AJ11" i="1"/>
  <c r="D95" i="3" l="1"/>
  <c r="B94" i="3"/>
  <c r="C94" i="3"/>
  <c r="B55" i="3"/>
  <c r="D56" i="3"/>
  <c r="C55" i="3"/>
  <c r="AK21" i="1"/>
  <c r="AT10" i="1"/>
  <c r="AK11" i="1"/>
  <c r="AL7" i="1"/>
  <c r="C95" i="3" l="1"/>
  <c r="B95" i="3"/>
  <c r="D96" i="3"/>
  <c r="C56" i="3"/>
  <c r="B56" i="3"/>
  <c r="D57" i="3"/>
  <c r="AU10" i="1"/>
  <c r="AM7" i="1"/>
  <c r="AL21" i="1"/>
  <c r="AL11" i="1"/>
  <c r="D97" i="3" l="1"/>
  <c r="C96" i="3"/>
  <c r="B96" i="3"/>
  <c r="B57" i="3"/>
  <c r="D58" i="3"/>
  <c r="C57" i="3"/>
  <c r="AM21" i="1"/>
  <c r="AN7" i="1"/>
  <c r="AV10" i="1"/>
  <c r="AM11" i="1"/>
  <c r="C97" i="3" l="1"/>
  <c r="B97" i="3"/>
  <c r="D98" i="3"/>
  <c r="C58" i="3"/>
  <c r="D59" i="3"/>
  <c r="B58" i="3"/>
  <c r="AN21" i="1"/>
  <c r="AW10" i="1"/>
  <c r="AO7" i="1"/>
  <c r="AN11" i="1"/>
  <c r="B98" i="3" l="1"/>
  <c r="D99" i="3"/>
  <c r="C98" i="3"/>
  <c r="B59" i="3"/>
  <c r="C59" i="3"/>
  <c r="D60" i="3"/>
  <c r="AO11" i="1"/>
  <c r="AO21" i="1"/>
  <c r="AP7" i="1"/>
  <c r="B99" i="3" l="1"/>
  <c r="C99" i="3"/>
  <c r="D100" i="3"/>
  <c r="C60" i="3"/>
  <c r="B60" i="3"/>
  <c r="D61" i="3"/>
  <c r="AP21" i="1"/>
  <c r="AP11" i="1"/>
  <c r="AQ7" i="1"/>
  <c r="D101" i="3" l="1"/>
  <c r="C100" i="3"/>
  <c r="B100" i="3"/>
  <c r="B61" i="3"/>
  <c r="D62" i="3"/>
  <c r="C61" i="3"/>
  <c r="AR7" i="1"/>
  <c r="AQ11" i="1"/>
  <c r="AQ21" i="1"/>
  <c r="C62" i="3" l="1"/>
  <c r="B62" i="3"/>
  <c r="D63" i="3"/>
  <c r="C101" i="3"/>
  <c r="B101" i="3"/>
  <c r="D102" i="3"/>
  <c r="AS7" i="1"/>
  <c r="AR21" i="1"/>
  <c r="AR11" i="1"/>
  <c r="B102" i="3" l="1"/>
  <c r="D103" i="3"/>
  <c r="C102" i="3"/>
  <c r="B63" i="3"/>
  <c r="C63" i="3"/>
  <c r="D64" i="3"/>
  <c r="AT7" i="1"/>
  <c r="AS11" i="1"/>
  <c r="AS21" i="1"/>
  <c r="D104" i="3" l="1"/>
  <c r="C103" i="3"/>
  <c r="B103" i="3"/>
  <c r="C64" i="3"/>
  <c r="D65" i="3"/>
  <c r="B64" i="3"/>
  <c r="AU7" i="1"/>
  <c r="AT11" i="1"/>
  <c r="AT21" i="1"/>
  <c r="B65" i="3" l="1"/>
  <c r="D66" i="3"/>
  <c r="C65" i="3"/>
  <c r="C104" i="3"/>
  <c r="B104" i="3"/>
  <c r="D105" i="3"/>
  <c r="AV7" i="1"/>
  <c r="AU21" i="1"/>
  <c r="AU11" i="1"/>
  <c r="D106" i="3" l="1"/>
  <c r="B105" i="3"/>
  <c r="C105" i="3"/>
  <c r="C66" i="3"/>
  <c r="D67" i="3"/>
  <c r="B66" i="3"/>
  <c r="AV21" i="1"/>
  <c r="AW7" i="1"/>
  <c r="AV11" i="1"/>
  <c r="D68" i="3" l="1"/>
  <c r="B67" i="3"/>
  <c r="C67" i="3"/>
  <c r="C106" i="3"/>
  <c r="B106" i="3"/>
  <c r="D107" i="3"/>
  <c r="AW21" i="1"/>
  <c r="AW11" i="1"/>
  <c r="AX7" i="1"/>
  <c r="B107" i="3" l="1"/>
  <c r="D108" i="3"/>
  <c r="C107" i="3"/>
  <c r="D69" i="3"/>
  <c r="C68" i="3"/>
  <c r="B68" i="3"/>
  <c r="AY7" i="1"/>
  <c r="D70" i="3" l="1"/>
  <c r="C69" i="3"/>
  <c r="B69" i="3"/>
  <c r="D109" i="3"/>
  <c r="C108" i="3"/>
  <c r="B108" i="3"/>
  <c r="AZ7" i="1"/>
  <c r="C109" i="3" l="1"/>
  <c r="B109" i="3"/>
  <c r="D110" i="3"/>
  <c r="C70" i="3"/>
  <c r="D71" i="3"/>
  <c r="B70" i="3"/>
  <c r="BA7" i="1"/>
  <c r="D111" i="3" l="1"/>
  <c r="B110" i="3"/>
  <c r="C110" i="3"/>
  <c r="B71" i="3"/>
  <c r="C71" i="3"/>
  <c r="D72" i="3"/>
  <c r="BB7" i="1"/>
  <c r="D73" i="3" l="1"/>
  <c r="B72" i="3"/>
  <c r="C72" i="3"/>
  <c r="C111" i="3"/>
  <c r="B111" i="3"/>
  <c r="D112" i="3"/>
  <c r="BC7" i="1"/>
  <c r="C112" i="3" l="1"/>
  <c r="B112" i="3"/>
  <c r="D113" i="3"/>
  <c r="C73" i="3"/>
  <c r="D74" i="3"/>
  <c r="B73" i="3"/>
  <c r="BD7" i="1"/>
  <c r="C74" i="3" l="1"/>
  <c r="D75" i="3"/>
  <c r="B74" i="3"/>
  <c r="D114" i="3"/>
  <c r="C113" i="3"/>
  <c r="B113" i="3"/>
  <c r="BE7" i="1"/>
  <c r="B75" i="3" l="1"/>
  <c r="C75" i="3"/>
  <c r="D76" i="3"/>
  <c r="C114" i="3"/>
  <c r="B114" i="3"/>
  <c r="D115" i="3"/>
  <c r="BF7" i="1"/>
  <c r="B115" i="3" l="1"/>
  <c r="D116" i="3"/>
  <c r="C115" i="3"/>
  <c r="D77" i="3"/>
  <c r="B76" i="3"/>
  <c r="C76" i="3"/>
  <c r="BG7" i="1"/>
  <c r="B77" i="3" l="1"/>
  <c r="C77" i="3"/>
  <c r="D78" i="3"/>
  <c r="C116" i="3"/>
  <c r="B116" i="3"/>
  <c r="D117" i="3"/>
  <c r="BH7" i="1"/>
  <c r="B117" i="3" l="1"/>
  <c r="C117" i="3"/>
  <c r="D118" i="3"/>
  <c r="C78" i="3"/>
  <c r="B78" i="3"/>
  <c r="D79" i="3"/>
  <c r="BI7" i="1"/>
  <c r="B79" i="3" l="1"/>
  <c r="D80" i="3"/>
  <c r="C79" i="3"/>
  <c r="D119" i="3"/>
  <c r="C118" i="3"/>
  <c r="B118" i="3"/>
  <c r="BJ7" i="1"/>
  <c r="C119" i="3" l="1"/>
  <c r="B119" i="3"/>
  <c r="D120" i="3"/>
  <c r="C80" i="3"/>
  <c r="D81" i="3"/>
  <c r="B80" i="3"/>
  <c r="BK7" i="1"/>
  <c r="C81" i="3" l="1"/>
  <c r="D82" i="3"/>
  <c r="B81" i="3"/>
  <c r="B120" i="3"/>
  <c r="D121" i="3"/>
  <c r="C120" i="3"/>
  <c r="BL7" i="1"/>
  <c r="C82" i="3" l="1"/>
  <c r="B82" i="3"/>
  <c r="C121" i="3"/>
  <c r="D122" i="3"/>
  <c r="B121" i="3"/>
  <c r="BM7" i="1"/>
  <c r="C122" i="3" l="1"/>
  <c r="B122" i="3"/>
  <c r="D123" i="3"/>
  <c r="BN7" i="1"/>
  <c r="C123" i="3" l="1"/>
  <c r="B123" i="3"/>
  <c r="D124" i="3"/>
  <c r="BO7" i="1"/>
  <c r="C124" i="3" l="1"/>
  <c r="B124" i="3"/>
  <c r="D125" i="3"/>
  <c r="BP7" i="1"/>
  <c r="D126" i="3" l="1"/>
  <c r="B125" i="3"/>
  <c r="C125" i="3"/>
  <c r="C126" i="3" l="1"/>
  <c r="B126" i="3"/>
  <c r="D127" i="3"/>
  <c r="B127" i="3" l="1"/>
  <c r="D128" i="3"/>
  <c r="C127" i="3"/>
  <c r="D129" i="3" l="1"/>
  <c r="C128" i="3"/>
  <c r="B128" i="3"/>
  <c r="C129" i="3" l="1"/>
  <c r="B129" i="3"/>
  <c r="D130" i="3"/>
  <c r="D131" i="3" l="1"/>
  <c r="B130" i="3"/>
  <c r="C130" i="3"/>
  <c r="D132" i="3" l="1"/>
  <c r="C131" i="3"/>
  <c r="B131" i="3"/>
  <c r="C132" i="3" l="1"/>
  <c r="B132" i="3"/>
  <c r="D133" i="3"/>
  <c r="D134" i="3" l="1"/>
  <c r="B133" i="3"/>
  <c r="C133" i="3"/>
  <c r="C134" i="3" l="1"/>
  <c r="B134" i="3"/>
  <c r="D135" i="3"/>
  <c r="B135" i="3" l="1"/>
  <c r="D136" i="3"/>
  <c r="C135" i="3"/>
  <c r="C136" i="3" l="1"/>
  <c r="B136" i="3"/>
  <c r="D137" i="3"/>
  <c r="C137" i="3" l="1"/>
  <c r="B137" i="3"/>
  <c r="D138" i="3"/>
  <c r="C138" i="3" l="1"/>
  <c r="D139" i="3"/>
  <c r="B138" i="3"/>
  <c r="B139" i="3" l="1"/>
  <c r="D140" i="3"/>
  <c r="C139" i="3"/>
  <c r="C140" i="3" l="1"/>
  <c r="B14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heatoner</author>
    <author>joer</author>
    <author>Diesslin, Anna</author>
  </authors>
  <commentList>
    <comment ref="AR6" authorId="0" shapeId="0" xr:uid="{1F4DB788-5462-4D86-98E4-068AC9B78AB5}">
      <text>
        <r>
          <rPr>
            <b/>
            <sz val="8"/>
            <color indexed="81"/>
            <rFont val="Tahoma"/>
            <family val="2"/>
          </rPr>
          <t>heatoner:</t>
        </r>
        <r>
          <rPr>
            <sz val="8"/>
            <color indexed="81"/>
            <rFont val="Tahoma"/>
            <family val="2"/>
          </rPr>
          <t xml:space="preserve">
Methodology change eff july 1.  LIPA is adopting our calendar month bill method</t>
        </r>
      </text>
    </comment>
    <comment ref="K10" authorId="1" shapeId="0" xr:uid="{DD3B2F19-BAE2-4377-8ABD-4B55E983A019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</t>
        </r>
      </text>
    </comment>
    <comment ref="U13" authorId="1" shapeId="0" xr:uid="{C7CE0C54-569F-4D84-A887-B06872E52034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</t>
        </r>
      </text>
    </comment>
    <comment ref="A19" authorId="1" shapeId="0" xr:uid="{276D6C70-2F57-4F4D-A89F-B2B8F42ED0E3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Based on Zone J</t>
        </r>
      </text>
    </comment>
    <comment ref="S22" authorId="1" shapeId="0" xr:uid="{C5DE9264-3A41-4BE7-95FB-8B2A92A1F791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</t>
        </r>
      </text>
    </comment>
    <comment ref="DK22" authorId="2" shapeId="0" xr:uid="{7C658813-A670-4474-B3C2-102C9F10DDAF}">
      <text>
        <r>
          <rPr>
            <b/>
            <sz val="9"/>
            <color indexed="81"/>
            <rFont val="Tahoma"/>
            <family val="2"/>
          </rPr>
          <t>Diesslin, Anna:</t>
        </r>
        <r>
          <rPr>
            <sz val="9"/>
            <color indexed="81"/>
            <rFont val="Tahoma"/>
            <family val="2"/>
          </rPr>
          <t xml:space="preserve">
Adj on pg2 of statement</t>
        </r>
      </text>
    </comment>
    <comment ref="F23" authorId="1" shapeId="0" xr:uid="{D7B5F330-251D-493A-866E-5D0DC5C8BF05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
</t>
        </r>
      </text>
    </comment>
    <comment ref="F24" authorId="1" shapeId="0" xr:uid="{F3BBB2E2-35D8-4340-937A-1778572E01AD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
</t>
        </r>
      </text>
    </comment>
    <comment ref="F25" authorId="1" shapeId="0" xr:uid="{204A7451-411D-4BB7-BE16-4F63C21981CE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joer</author>
    <author>heatoner</author>
    <author>Diesslin, Anna</author>
  </authors>
  <commentList>
    <comment ref="Q2" authorId="0" shapeId="0" xr:uid="{50D89A95-F643-4F30-8BCE-CF3237913941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Based on Zone J</t>
        </r>
      </text>
    </comment>
    <comment ref="U7" authorId="0" shapeId="0" xr:uid="{8C9FBAEB-2FFF-4159-91E5-B8658A343070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
</t>
        </r>
      </text>
    </comment>
    <comment ref="V7" authorId="0" shapeId="0" xr:uid="{78ED321A-488E-48F6-871C-6FCC6B1EB878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
</t>
        </r>
      </text>
    </comment>
    <comment ref="W7" authorId="0" shapeId="0" xr:uid="{FCD3558E-B810-487E-B3F9-E80958297E47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
</t>
        </r>
      </text>
    </comment>
    <comment ref="H12" authorId="0" shapeId="0" xr:uid="{FA452890-D529-424A-B090-24C24CBFDC2B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</t>
        </r>
      </text>
    </comment>
    <comment ref="T20" authorId="0" shapeId="0" xr:uid="{2E807679-C6F1-447F-A49A-B49F57AC20E6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</t>
        </r>
      </text>
    </comment>
    <comment ref="K22" authorId="0" shapeId="0" xr:uid="{7D41878A-039E-4361-BBB9-6652B92ABB01}">
      <text>
        <r>
          <rPr>
            <b/>
            <sz val="8"/>
            <color indexed="81"/>
            <rFont val="Tahoma"/>
            <family val="2"/>
          </rPr>
          <t>joer:</t>
        </r>
        <r>
          <rPr>
            <sz val="8"/>
            <color indexed="81"/>
            <rFont val="Tahoma"/>
            <family val="2"/>
          </rPr>
          <t xml:space="preserve">
Is this correct?</t>
        </r>
      </text>
    </comment>
    <comment ref="D45" authorId="1" shapeId="0" xr:uid="{6CEB3935-54C9-4690-BA44-D2E659D0F8F2}">
      <text>
        <r>
          <rPr>
            <b/>
            <sz val="8"/>
            <color indexed="81"/>
            <rFont val="Tahoma"/>
            <family val="2"/>
          </rPr>
          <t>heatoner:</t>
        </r>
        <r>
          <rPr>
            <sz val="8"/>
            <color indexed="81"/>
            <rFont val="Tahoma"/>
            <family val="2"/>
          </rPr>
          <t xml:space="preserve">
Methodology change eff july 1.  LIPA is adopting our calendar month bill method</t>
        </r>
      </text>
    </comment>
    <comment ref="T116" authorId="2" shapeId="0" xr:uid="{9F930E95-F6AF-4D2F-A29A-5E7F512E21EE}">
      <text>
        <r>
          <rPr>
            <b/>
            <sz val="9"/>
            <color indexed="81"/>
            <rFont val="Tahoma"/>
            <family val="2"/>
          </rPr>
          <t>Diesslin, Anna:</t>
        </r>
        <r>
          <rPr>
            <sz val="9"/>
            <color indexed="81"/>
            <rFont val="Tahoma"/>
            <family val="2"/>
          </rPr>
          <t xml:space="preserve">
Adj on pg2 of statement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Koropey, Boris</author>
  </authors>
  <commentList>
    <comment ref="AE30" authorId="0" shapeId="0" xr:uid="{C6DF4FEC-A1AD-4B00-BDA5-EBAB2AE332F8}">
      <text>
        <r>
          <rPr>
            <sz val="9"/>
            <color indexed="81"/>
            <rFont val="Tahoma"/>
            <family val="2"/>
          </rPr>
          <t>% of the distribution below the value returned.  
E.g. Prob 10% = 187.6 means that 10% of the values are below 187.6.
10% would be the low-charge scenario
E.g. Prob 90% = 188.947 means that 90% of the values are below 188.947  
90% would be the high-charge scenario
E.g. Prob 50% returns same average value used as historicall</t>
        </r>
      </text>
    </comment>
  </commentList>
</comments>
</file>

<file path=xl/sharedStrings.xml><?xml version="1.0" encoding="utf-8"?>
<sst xmlns="http://schemas.openxmlformats.org/spreadsheetml/2006/main" count="320" uniqueCount="110">
  <si>
    <t>BASIC SERVICE/CUSTOMER CHARGE</t>
  </si>
  <si>
    <t>DELIVERY REVENUE SURCHARGE PER KWH</t>
  </si>
  <si>
    <t>BILL ISSUANCE CHARGE (BPP), PER BILL</t>
  </si>
  <si>
    <t>REVENUE DECOUPLING ADJ. (RDM), PER KWH</t>
  </si>
  <si>
    <t>MONTHLY ADJUSTMENT (MAC), PER KWH</t>
  </si>
  <si>
    <t>UNCOLLECTIBLE DELIVERY (MAC)</t>
  </si>
  <si>
    <t>TRANSITION ADJUSTMENT - DELIVERY</t>
  </si>
  <si>
    <t>SYSTEM BENEFIT CHARGE, PER KWH</t>
  </si>
  <si>
    <t>RENEWABLE PORTFOLIO CHARGE, PER KWH</t>
  </si>
  <si>
    <t>VDER COST RECOVERY DELIVERY, PER KWH</t>
  </si>
  <si>
    <t>ELECTRIC SUPPLY (MSC), PER KWH</t>
  </si>
  <si>
    <t>MERCHANT FUNCTION CHARGE, PER KWH</t>
  </si>
  <si>
    <t>TAXES (NYC)  COMMODITY</t>
  </si>
  <si>
    <t>MAC, PER KWH</t>
  </si>
  <si>
    <t>MSCI, PER KWH</t>
  </si>
  <si>
    <t>MSCII, PER KWH</t>
  </si>
  <si>
    <t>NYS (18a) ASSESSMENT, PER KWH</t>
  </si>
  <si>
    <t>CLEAN ENERGY STD DELIVERY CHARGE, PER KWH</t>
  </si>
  <si>
    <t>CLEAN ENERGY STD SUPPLY CHARGE, PER KWH</t>
  </si>
  <si>
    <t>DYNAMIC LOAD MGMT SURCHARGE, PER KWH</t>
  </si>
  <si>
    <t>TAX SURCREDIT</t>
  </si>
  <si>
    <t>VDER COST RECOVERY SUPPLY, PER KWH</t>
  </si>
  <si>
    <t>DELIVERY CHARGE, PER KWH (FIRST 250 KWH)</t>
  </si>
  <si>
    <t>DELIVERY CHARGE, PER KWH (OVER 250 KWH)</t>
  </si>
  <si>
    <t>TAXES (NYC)  DELIVERY</t>
  </si>
  <si>
    <t>Month</t>
  </si>
  <si>
    <t>Year</t>
  </si>
  <si>
    <t>Month-Year</t>
  </si>
  <si>
    <t>Sum of BASIC SERVICE/CUSTOMER CHARGE</t>
  </si>
  <si>
    <t>Sum of DELIVERY CHARGE, PER KWH (FIRST 250 KWH)</t>
  </si>
  <si>
    <t>Values</t>
  </si>
  <si>
    <t>Sum of DELIVERY CHARGE, PER KWH (OVER 250 KWH)</t>
  </si>
  <si>
    <t>Sum of DELIVERY REVENUE SURCHARGE PER KWH</t>
  </si>
  <si>
    <t>Sum of BILL ISSUANCE CHARGE (BPP), PER BILL</t>
  </si>
  <si>
    <t>Sum of REVENUE DECOUPLING ADJ. (RDM), PER KWH</t>
  </si>
  <si>
    <t>Sum of MONTHLY ADJUSTMENT (MAC), PER KWH</t>
  </si>
  <si>
    <t>Sum of UNCOLLECTIBLE DELIVERY (MAC)</t>
  </si>
  <si>
    <t>Sum of TRANSITION ADJUSTMENT - DELIVERY</t>
  </si>
  <si>
    <t>Sum of SYSTEM BENEFIT CHARGE, PER KWH</t>
  </si>
  <si>
    <t>Sum of RENEWABLE PORTFOLIO CHARGE, PER KWH</t>
  </si>
  <si>
    <t>Sum of VDER COST RECOVERY DELIVERY, PER KWH</t>
  </si>
  <si>
    <t>Sum of ELECTRIC SUPPLY (MSC), PER KWH</t>
  </si>
  <si>
    <t>Sum of MERCHANT FUNCTION CHARGE, PER KWH</t>
  </si>
  <si>
    <t>Sum of TAXES (NYC)  COMMODITY</t>
  </si>
  <si>
    <t>Sum of TAXES (NYC)  DELIVERY</t>
  </si>
  <si>
    <t>Sum of MAC, PER KWH</t>
  </si>
  <si>
    <t>Sum of MSCI, PER KWH</t>
  </si>
  <si>
    <t>Sum of MSCII, PER KWH</t>
  </si>
  <si>
    <t>Sum of NYS (18a) ASSESSMENT, PER KWH</t>
  </si>
  <si>
    <t>Sum of CLEAN ENERGY STD DELIVERY CHARGE, PER KWH</t>
  </si>
  <si>
    <t>Sum of CLEAN ENERGY STD SUPPLY CHARGE, PER KWH</t>
  </si>
  <si>
    <t>Sum of DYNAMIC LOAD MGMT SURCHARGE, PER KWH</t>
  </si>
  <si>
    <t>Sum of TAX SURCREDIT</t>
  </si>
  <si>
    <t>Sum of VDER COST RECOVERY SUPPLY, PER KWH</t>
  </si>
  <si>
    <t>Name</t>
  </si>
  <si>
    <t>BasSrvCustChrg</t>
  </si>
  <si>
    <t>DelRevSurChrgPerkWh</t>
  </si>
  <si>
    <t>BillIssuanceChrgPerkWh</t>
  </si>
  <si>
    <t>RevDecouplingAdjPerkWh</t>
  </si>
  <si>
    <t>TransitionAdjDelivery</t>
  </si>
  <si>
    <t>UncollectibleDeluveryMAC</t>
  </si>
  <si>
    <t>SystemBenefitChrgPerkWh</t>
  </si>
  <si>
    <t>RenewablePortfChrgPerkWh</t>
  </si>
  <si>
    <t>VDERCostRecovChrgPerkWh</t>
  </si>
  <si>
    <t>ElectricSupplyMSCPerkWh</t>
  </si>
  <si>
    <t>MerchantFuncChrgPerkWh</t>
  </si>
  <si>
    <t>TaxesNYCCommodity</t>
  </si>
  <si>
    <t>TaxesNYCDelivery</t>
  </si>
  <si>
    <t>MacPerkWh</t>
  </si>
  <si>
    <t>MSCIPerkWh</t>
  </si>
  <si>
    <t>MSCIIPerkWh</t>
  </si>
  <si>
    <t>NYS18aAssessPerkWh</t>
  </si>
  <si>
    <t>CleanEnStdDelChrgPerkWh</t>
  </si>
  <si>
    <t>CleanEnStdSupplyChrgPerkWh</t>
  </si>
  <si>
    <t>DynLoadMgmtSurChrgPerkWh</t>
  </si>
  <si>
    <t>TaxSurCredit</t>
  </si>
  <si>
    <t>VDERCostRecSupplyPerkWh</t>
  </si>
  <si>
    <t>DelChrgPerkWhGT250kWh</t>
  </si>
  <si>
    <t>DelChrgPerkWhGTE250kWh</t>
  </si>
  <si>
    <t>MonthlyAdjMACPerkWh</t>
  </si>
  <si>
    <t>CAGR</t>
  </si>
  <si>
    <t>YOY</t>
  </si>
  <si>
    <t>StdDev of BASIC SERVICE/CUSTOMER CHARGE</t>
  </si>
  <si>
    <t>StdDev of DELIVERY CHARGE, PER KWH (FIRST 250 KWH)</t>
  </si>
  <si>
    <t>StdDev of DELIVERY CHARGE, PER KWH (OVER 250 KWH)</t>
  </si>
  <si>
    <t>StdDev of DELIVERY REVENUE SURCHARGE PER KWH</t>
  </si>
  <si>
    <t>StdDev of BILL ISSUANCE CHARGE (BPP), PER BILL</t>
  </si>
  <si>
    <t>StdDev of REVENUE DECOUPLING ADJ. (RDM), PER KWH</t>
  </si>
  <si>
    <t>StdDev of MONTHLY ADJUSTMENT (MAC), PER KWH</t>
  </si>
  <si>
    <t>StdDev of UNCOLLECTIBLE DELIVERY (MAC)</t>
  </si>
  <si>
    <t>StdDev of TRANSITION ADJUSTMENT - DELIVERY</t>
  </si>
  <si>
    <t>StdDev of SYSTEM BENEFIT CHARGE, PER KWH</t>
  </si>
  <si>
    <t>StdDev of RENEWABLE PORTFOLIO CHARGE, PER KWH</t>
  </si>
  <si>
    <t>StdDev of VDER COST RECOVERY DELIVERY, PER KWH</t>
  </si>
  <si>
    <t>StdDev of ELECTRIC SUPPLY (MSC), PER KWH</t>
  </si>
  <si>
    <t>StdDev of MERCHANT FUNCTION CHARGE, PER KWH</t>
  </si>
  <si>
    <t>StdDev of TAXES (NYC)  COMMODITY</t>
  </si>
  <si>
    <t>StdDev of TAXES (NYC)  DELIVERY</t>
  </si>
  <si>
    <t>StdDev of MAC, PER KWH</t>
  </si>
  <si>
    <t>StdDev of MSCI, PER KWH</t>
  </si>
  <si>
    <t>StdDev of MSCII, PER KWH</t>
  </si>
  <si>
    <t>StdDev of NYS (18a) ASSESSMENT, PER KWH</t>
  </si>
  <si>
    <t>StdDev of CLEAN ENERGY STD DELIVERY CHARGE, PER KWH</t>
  </si>
  <si>
    <t>StdDev of CLEAN ENERGY STD SUPPLY CHARGE, PER KWH</t>
  </si>
  <si>
    <t>StdDev of DYNAMIC LOAD MGMT SURCHARGE, PER KWH</t>
  </si>
  <si>
    <t>StdDev of TAX SURCREDIT</t>
  </si>
  <si>
    <t>StdDev of VDER COST RECOVERY SUPPLY, PER KWH</t>
  </si>
  <si>
    <t>STDEVs</t>
  </si>
  <si>
    <t>MC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</si>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</sst>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7" formatCode="&quot;$&quot;#,##0.00_);\(&quot;$&quot;#,##0.00\)"/>
    <numFmt numFmtId="44" formatCode="_(&quot;$&quot;* #,##0.00_);_(&quot;$&quot;* \(#,##0.00\);_(&quot;$&quot;* &quot;-&quot;??_);_(@_)"/>
    <numFmt numFmtId="164" formatCode="[$-409]mmm\-yy;@"/>
    <numFmt numFmtId="165" formatCode="&quot;$&quot;#,##0.00000_);\(&quot;$&quot;#,##0.00000\)"/>
    <numFmt numFmtId="166" formatCode="&quot;$&quot;#,##0.000000_);\(&quot;$&quot;#,##0.000000\)"/>
    <numFmt numFmtId="167" formatCode="&quot;$&quot;#,##0.0000000_);\(&quot;$&quot;#,##0.0000000\)"/>
    <numFmt numFmtId="168" formatCode="&quot;$&quot;#,##0.0000_);\(&quot;$&quot;#,##0.0000\)"/>
    <numFmt numFmtId="169" formatCode="&quot;$&quot;#,##0.0000000"/>
    <numFmt numFmtId="170" formatCode="0.0000%"/>
    <numFmt numFmtId="171" formatCode="#,##0.0000"/>
    <numFmt numFmtId="172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8"/>
      <color rgb="FF0070C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6"/>
      <name val="Arial"/>
      <family val="2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7" fontId="5" fillId="2" borderId="0" xfId="0" applyNumberFormat="1" applyFont="1" applyFill="1"/>
    <xf numFmtId="7" fontId="6" fillId="2" borderId="0" xfId="0" applyNumberFormat="1" applyFont="1" applyFill="1"/>
    <xf numFmtId="7" fontId="5" fillId="2" borderId="1" xfId="0" applyNumberFormat="1" applyFont="1" applyFill="1" applyBorder="1"/>
    <xf numFmtId="165" fontId="5" fillId="2" borderId="0" xfId="0" applyNumberFormat="1" applyFont="1" applyFill="1"/>
    <xf numFmtId="165" fontId="6" fillId="2" borderId="0" xfId="0" applyNumberFormat="1" applyFont="1" applyFill="1"/>
    <xf numFmtId="165" fontId="5" fillId="2" borderId="1" xfId="0" applyNumberFormat="1" applyFont="1" applyFill="1" applyBorder="1"/>
    <xf numFmtId="166" fontId="6" fillId="2" borderId="0" xfId="0" applyNumberFormat="1" applyFont="1" applyFill="1"/>
    <xf numFmtId="166" fontId="5" fillId="2" borderId="0" xfId="0" applyNumberFormat="1" applyFont="1" applyFill="1"/>
    <xf numFmtId="166" fontId="5" fillId="2" borderId="1" xfId="0" applyNumberFormat="1" applyFont="1" applyFill="1" applyBorder="1"/>
    <xf numFmtId="167" fontId="6" fillId="2" borderId="0" xfId="0" applyNumberFormat="1" applyFont="1" applyFill="1"/>
    <xf numFmtId="167" fontId="5" fillId="2" borderId="0" xfId="0" applyNumberFormat="1" applyFont="1" applyFill="1"/>
    <xf numFmtId="165" fontId="6" fillId="2" borderId="1" xfId="0" applyNumberFormat="1" applyFont="1" applyFill="1" applyBorder="1"/>
    <xf numFmtId="166" fontId="6" fillId="2" borderId="1" xfId="0" applyNumberFormat="1" applyFont="1" applyFill="1" applyBorder="1"/>
    <xf numFmtId="168" fontId="6" fillId="2" borderId="0" xfId="0" applyNumberFormat="1" applyFont="1" applyFill="1"/>
    <xf numFmtId="168" fontId="5" fillId="2" borderId="0" xfId="0" applyNumberFormat="1" applyFont="1" applyFill="1"/>
    <xf numFmtId="169" fontId="6" fillId="2" borderId="0" xfId="1" applyNumberFormat="1" applyFont="1" applyFill="1"/>
    <xf numFmtId="170" fontId="5" fillId="2" borderId="0" xfId="0" applyNumberFormat="1" applyFont="1" applyFill="1"/>
    <xf numFmtId="170" fontId="6" fillId="2" borderId="0" xfId="0" applyNumberFormat="1" applyFont="1" applyFill="1"/>
    <xf numFmtId="170" fontId="5" fillId="2" borderId="1" xfId="0" applyNumberFormat="1" applyFont="1" applyFill="1" applyBorder="1"/>
    <xf numFmtId="170" fontId="7" fillId="2" borderId="0" xfId="0" applyNumberFormat="1" applyFont="1" applyFill="1"/>
    <xf numFmtId="170" fontId="6" fillId="2" borderId="1" xfId="0" applyNumberFormat="1" applyFont="1" applyFill="1" applyBorder="1"/>
    <xf numFmtId="170" fontId="4" fillId="2" borderId="0" xfId="0" applyNumberFormat="1" applyFont="1" applyFill="1"/>
    <xf numFmtId="170" fontId="6" fillId="2" borderId="0" xfId="2" applyNumberFormat="1" applyFont="1" applyFill="1" applyBorder="1"/>
    <xf numFmtId="170" fontId="5" fillId="2" borderId="0" xfId="2" applyNumberFormat="1" applyFont="1" applyFill="1" applyBorder="1"/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pivotButton="1"/>
    <xf numFmtId="0" fontId="12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5" fillId="0" borderId="0" xfId="0" applyFont="1"/>
    <xf numFmtId="0" fontId="14" fillId="2" borderId="0" xfId="0" applyFont="1" applyFill="1" applyAlignment="1">
      <alignment horizontal="center"/>
    </xf>
    <xf numFmtId="7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7" fontId="6" fillId="2" borderId="0" xfId="0" applyNumberFormat="1" applyFont="1" applyFill="1" applyAlignment="1">
      <alignment horizontal="center"/>
    </xf>
    <xf numFmtId="170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167" fontId="5" fillId="2" borderId="0" xfId="0" applyNumberFormat="1" applyFont="1" applyFill="1" applyAlignment="1">
      <alignment horizontal="center"/>
    </xf>
    <xf numFmtId="170" fontId="7" fillId="2" borderId="0" xfId="0" applyNumberFormat="1" applyFont="1" applyFill="1" applyAlignment="1">
      <alignment horizontal="center"/>
    </xf>
    <xf numFmtId="7" fontId="5" fillId="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170" fontId="5" fillId="2" borderId="1" xfId="0" applyNumberFormat="1" applyFont="1" applyFill="1" applyBorder="1" applyAlignment="1">
      <alignment horizontal="center"/>
    </xf>
    <xf numFmtId="170" fontId="6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70" fontId="4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169" fontId="6" fillId="2" borderId="0" xfId="1" applyNumberFormat="1" applyFont="1" applyFill="1" applyAlignment="1">
      <alignment horizontal="center"/>
    </xf>
    <xf numFmtId="170" fontId="6" fillId="2" borderId="0" xfId="2" applyNumberFormat="1" applyFont="1" applyFill="1" applyBorder="1" applyAlignment="1">
      <alignment horizontal="center"/>
    </xf>
    <xf numFmtId="170" fontId="5" fillId="2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1" fontId="0" fillId="0" borderId="0" xfId="0" applyNumberFormat="1" applyAlignment="1">
      <alignment horizontal="center"/>
    </xf>
    <xf numFmtId="0" fontId="0" fillId="3" borderId="0" xfId="0" applyFill="1"/>
    <xf numFmtId="9" fontId="2" fillId="0" borderId="0" xfId="0" applyNumberFormat="1" applyFont="1" applyAlignment="1">
      <alignment horizontal="center"/>
    </xf>
    <xf numFmtId="172" fontId="0" fillId="0" borderId="0" xfId="0" applyNumberFormat="1"/>
    <xf numFmtId="172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3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numFmt numFmtId="171" formatCode="#,##0.00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1" defaultTableStyle="TableStyleMedium2" defaultPivotStyle="PivotStyleLight16">
    <tableStyle name="Invisible" pivot="0" table="0" count="0" xr9:uid="{76090CB8-BD0B-4196-A106-224051B627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'correl &amp; stdev'!$AD$39</c:f>
              <c:strCache>
                <c:ptCount val="1"/>
                <c:pt idx="0">
                  <c:v>RevDecouplingAdjPerkWh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'correl &amp; stdev'!$AE$39:$AP$39</c:f>
              <c:numCache>
                <c:formatCode>0.0000</c:formatCode>
                <c:ptCount val="12"/>
                <c:pt idx="0">
                  <c:v>5.9448501124037434E-2</c:v>
                </c:pt>
                <c:pt idx="1">
                  <c:v>4.5353401242581637E-2</c:v>
                </c:pt>
                <c:pt idx="2">
                  <c:v>4.5353401242581637E-2</c:v>
                </c:pt>
                <c:pt idx="3">
                  <c:v>4.6433322335058459E-2</c:v>
                </c:pt>
                <c:pt idx="4">
                  <c:v>5.1891630734441377E-2</c:v>
                </c:pt>
                <c:pt idx="5">
                  <c:v>4.9451690376746738E-2</c:v>
                </c:pt>
                <c:pt idx="6">
                  <c:v>5.949420697205849E-2</c:v>
                </c:pt>
                <c:pt idx="7">
                  <c:v>4.9003495263826274E-2</c:v>
                </c:pt>
                <c:pt idx="8">
                  <c:v>4.2109407265830665E-2</c:v>
                </c:pt>
                <c:pt idx="9">
                  <c:v>5.6951719127210573E-2</c:v>
                </c:pt>
                <c:pt idx="10">
                  <c:v>5.3893351685051993E-2</c:v>
                </c:pt>
                <c:pt idx="11">
                  <c:v>5.228152971662095E-2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8-4057-B6E8-EB81003DB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982280"/>
        <c:axId val="779980968"/>
      </c:lineChart>
      <c:catAx>
        <c:axId val="779982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80968"/>
        <c:crosses val="autoZero"/>
        <c:auto val="1"/>
        <c:lblAlgn val="ctr"/>
        <c:lblOffset val="100"/>
        <c:noMultiLvlLbl val="0"/>
      </c:catAx>
      <c:valAx>
        <c:axId val="77998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8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15875</xdr:colOff>
      <xdr:row>16</xdr:row>
      <xdr:rowOff>22225</xdr:rowOff>
    </xdr:from>
    <xdr:to>
      <xdr:col>40</xdr:col>
      <xdr:colOff>320675</xdr:colOff>
      <xdr:row>31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13C0E-9418-4AAE-89A4-0A198C922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ropey, Boris" refreshedDate="44382.657150578707" createdVersion="6" refreshedVersion="6" minRefreshableVersion="3" recordCount="138" xr:uid="{0225A8FD-F16D-43D7-963B-A2FD2D1DDD72}">
  <cacheSource type="worksheet">
    <worksheetSource ref="B2:AC140" sheet="transposed"/>
  </cacheSource>
  <cacheFields count="28">
    <cacheField name="Year" numFmtId="0">
      <sharedItems containsSemiMixedTypes="0" containsString="0" containsNumber="1" containsInteger="1" minValue="2010" maxValue="2021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-Year" numFmtId="164">
      <sharedItems containsSemiMixedTypes="0" containsNonDate="0" containsDate="1" containsString="0" minDate="2010-01-01T00:00:00" maxDate="2021-06-02T00:00:00"/>
    </cacheField>
    <cacheField name="BASIC SERVICE/CUSTOMER CHARGE" numFmtId="7">
      <sharedItems containsSemiMixedTypes="0" containsString="0" containsNumber="1" minValue="14.18" maxValue="16.5" count="4">
        <n v="14.18"/>
        <n v="15.76"/>
        <n v="16"/>
        <n v="16.5"/>
      </sharedItems>
    </cacheField>
    <cacheField name="DELIVERY CHARGE, PER KWH (FIRST 250 KWH)" numFmtId="0">
      <sharedItems containsSemiMixedTypes="0" containsString="0" containsNumber="1" minValue="6.6739999999999994E-2" maxValue="0.11976000000000001" count="12">
        <n v="6.6739999999999994E-2"/>
        <n v="7.2120000000000004E-2"/>
        <n v="8.2199999999999995E-2"/>
        <n v="8.899E-2"/>
        <n v="8.8940000000000005E-2"/>
        <n v="8.9069999999999996E-2"/>
        <n v="8.9010000000000006E-2"/>
        <n v="9.6269999999999994E-2"/>
        <n v="0.10221"/>
        <n v="0.10817"/>
        <n v="0.11125"/>
        <n v="0.11976000000000001"/>
      </sharedItems>
    </cacheField>
    <cacheField name="DELIVERY CHARGE, PER KWH (OVER 250 KWH)" numFmtId="0">
      <sharedItems containsSemiMixedTypes="0" containsString="0" containsNumber="1" minValue="6.1359999999999998E-2" maxValue="0.13766"/>
    </cacheField>
    <cacheField name="DELIVERY REVENUE SURCHARGE PER KWH" numFmtId="0">
      <sharedItems containsString="0" containsBlank="1" containsNumber="1" minValue="-8.3799999999999999E-4" maxValue="6.7100000000000005E-4"/>
    </cacheField>
    <cacheField name="BILL ISSUANCE CHARGE (BPP), PER BILL" numFmtId="7">
      <sharedItems containsSemiMixedTypes="0" containsString="0" containsNumber="1" minValue="0.94" maxValue="1.28"/>
    </cacheField>
    <cacheField name="REVENUE DECOUPLING ADJ. (RDM), PER KWH" numFmtId="0">
      <sharedItems containsSemiMixedTypes="0" containsString="0" containsNumber="1" minValue="-1.4239999999999999E-2" maxValue="1.2632000000000001E-2"/>
    </cacheField>
    <cacheField name="MONTHLY ADJUSTMENT (MAC), PER KWH" numFmtId="0">
      <sharedItems containsSemiMixedTypes="0" containsString="0" containsNumber="1" minValue="6.2E-4" maxValue="2.588E-2"/>
    </cacheField>
    <cacheField name="UNCOLLECTIBLE DELIVERY (MAC)" numFmtId="166">
      <sharedItems containsSemiMixedTypes="0" containsString="0" containsNumber="1" minValue="-6.3E-5" maxValue="3.1799999999999998E-4"/>
    </cacheField>
    <cacheField name="TRANSITION ADJUSTMENT - DELIVERY" numFmtId="166">
      <sharedItems containsSemiMixedTypes="0" containsString="0" containsNumber="1" minValue="-1.2E-4" maxValue="9.9999999999999995E-7"/>
    </cacheField>
    <cacheField name="SYSTEM BENEFIT CHARGE, PER KWH" numFmtId="0">
      <sharedItems containsSemiMixedTypes="0" containsString="0" containsNumber="1" minValue="1.1999999999999999E-3" maxValue="6.7999999999999996E-3"/>
    </cacheField>
    <cacheField name="RENEWABLE PORTFOLIO CHARGE, PER KWH" numFmtId="0">
      <sharedItems containsString="0" containsBlank="1" containsNumber="1" minValue="0" maxValue="3.0000000000000001E-3"/>
    </cacheField>
    <cacheField name="VDER COST RECOVERY DELIVERY, PER KWH" numFmtId="0">
      <sharedItems containsString="0" containsBlank="1" containsNumber="1" minValue="1E-4" maxValue="1E-4"/>
    </cacheField>
    <cacheField name="ELECTRIC SUPPLY (MSC), PER KWH" numFmtId="0">
      <sharedItems containsSemiMixedTypes="0" containsString="0" containsNumber="1" minValue="3.4659000000000002E-2" maxValue="0.23752699999999999"/>
    </cacheField>
    <cacheField name="MERCHANT FUNCTION CHARGE, PER KWH" numFmtId="166">
      <sharedItems containsSemiMixedTypes="0" containsString="0" containsNumber="1" minValue="1.681E-3" maxValue="8.7299999999999999E-3"/>
    </cacheField>
    <cacheField name="TAXES (NYC)  COMMODITY" numFmtId="170">
      <sharedItems containsSemiMixedTypes="0" containsString="0" containsNumber="1" minValue="2.4066000000000001E-2" maxValue="2.4066000000000001E-2"/>
    </cacheField>
    <cacheField name="TAXES (NYC)  DELIVERY" numFmtId="170">
      <sharedItems containsSemiMixedTypes="0" containsString="0" containsNumber="1" minValue="4.7925000000000009E-2" maxValue="5.2794000000000001E-2"/>
    </cacheField>
    <cacheField name="MAC, PER KWH" numFmtId="166">
      <sharedItems containsSemiMixedTypes="0" containsString="0" containsNumber="1" minValue="-2.0507000000000001E-2" maxValue="1.6469000000000001E-2"/>
    </cacheField>
    <cacheField name="MSCI, PER KWH" numFmtId="166">
      <sharedItems containsSemiMixedTypes="0" containsString="0" containsNumber="1" minValue="-3.4907000000000001E-2" maxValue="3.8337999999999997E-2"/>
    </cacheField>
    <cacheField name="MSCII, PER KWH" numFmtId="166">
      <sharedItems containsSemiMixedTypes="0" containsString="0" containsNumber="1" minValue="-7.0799000000000001E-2" maxValue="4.0953999999999997E-2"/>
    </cacheField>
    <cacheField name="NYS (18a) ASSESSMENT, PER KWH" numFmtId="166">
      <sharedItems containsSemiMixedTypes="0" containsString="0" containsNumber="1" minValue="0" maxValue="4.6740000000000002E-3"/>
    </cacheField>
    <cacheField name="CLEAN ENERGY STD DELIVERY CHARGE, PER KWH" numFmtId="166">
      <sharedItems containsString="0" containsBlank="1" containsNumber="1" containsInteger="1" minValue="0" maxValue="0"/>
    </cacheField>
    <cacheField name="CLEAN ENERGY STD SUPPLY CHARGE, PER KWH" numFmtId="166">
      <sharedItems containsString="0" containsBlank="1" containsNumber="1" minValue="3.2719999999999997E-3" maxValue="5.3890000000000006E-3"/>
    </cacheField>
    <cacheField name="DYNAMIC LOAD MGMT SURCHARGE, PER KWH" numFmtId="166">
      <sharedItems containsString="0" containsBlank="1" containsNumber="1" minValue="1.1000000000000001E-3" maxValue="1.5E-3"/>
    </cacheField>
    <cacheField name="TAX SURCREDIT" numFmtId="166">
      <sharedItems containsString="0" containsBlank="1" containsNumber="1" minValue="-7.4999999999999997E-3" maxValue="0"/>
    </cacheField>
    <cacheField name="VDER COST RECOVERY SUPPLY, PER KWH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n v="2010"/>
    <x v="0"/>
    <d v="2010-01-01T00:00:00"/>
    <x v="0"/>
    <x v="0"/>
    <n v="6.1359999999999998E-2"/>
    <n v="3.8000000000000002E-4"/>
    <n v="0.94"/>
    <n v="7.2950000000000003E-3"/>
    <n v="1.5679999999999999E-2"/>
    <n v="1.9699999999999999E-4"/>
    <n v="-1.8E-5"/>
    <n v="4.4000000000000003E-3"/>
    <n v="1E-3"/>
    <m/>
    <n v="0.10098"/>
    <n v="4.9699999999999996E-3"/>
    <n v="2.4066000000000001E-2"/>
    <n v="4.8874000000000001E-2"/>
    <n v="1.6050000000000001E-3"/>
    <n v="-1.295E-2"/>
    <n v="4.9820000000000003E-3"/>
    <n v="3.784E-3"/>
    <m/>
    <m/>
    <m/>
    <m/>
    <m/>
  </r>
  <r>
    <n v="2010"/>
    <x v="1"/>
    <d v="2010-02-01T00:00:00"/>
    <x v="0"/>
    <x v="0"/>
    <n v="6.1359999999999998E-2"/>
    <n v="3.8000000000000002E-4"/>
    <n v="0.94"/>
    <n v="1.2632000000000001E-2"/>
    <n v="1.8780000000000002E-2"/>
    <n v="1.73E-4"/>
    <n v="-1.8E-5"/>
    <n v="4.4000000000000003E-3"/>
    <n v="1E-3"/>
    <m/>
    <n v="7.8749E-2"/>
    <n v="5.2430000000000003E-3"/>
    <n v="2.4066000000000001E-2"/>
    <n v="4.8874000000000001E-2"/>
    <n v="9.5619999999999993E-3"/>
    <n v="-1.9462E-2"/>
    <n v="4.718E-3"/>
    <n v="3.784E-3"/>
    <m/>
    <m/>
    <m/>
    <m/>
    <m/>
  </r>
  <r>
    <n v="2010"/>
    <x v="2"/>
    <d v="2010-03-01T00:00:00"/>
    <x v="0"/>
    <x v="0"/>
    <n v="6.1359999999999998E-2"/>
    <n v="3.8000000000000002E-4"/>
    <n v="0.94"/>
    <n v="1.2632000000000001E-2"/>
    <n v="2.1752174999999999E-2"/>
    <n v="1.4899999999999999E-4"/>
    <n v="-1.8E-5"/>
    <n v="4.4000000000000003E-3"/>
    <n v="1E-3"/>
    <m/>
    <n v="6.2902E-2"/>
    <n v="5.6860000000000001E-3"/>
    <n v="2.4066000000000001E-2"/>
    <n v="4.8874000000000001E-2"/>
    <n v="1.377E-3"/>
    <n v="8.6180000000000007E-3"/>
    <n v="1.3044999999999999E-2"/>
    <n v="3.784E-3"/>
    <m/>
    <m/>
    <m/>
    <m/>
    <m/>
  </r>
  <r>
    <n v="2010"/>
    <x v="3"/>
    <d v="2010-04-01T00:00:00"/>
    <x v="1"/>
    <x v="1"/>
    <n v="7.2120000000000004E-2"/>
    <n v="3.8000000000000002E-4"/>
    <n v="1.04"/>
    <n v="1.05805E-2"/>
    <n v="2.1420000000000002E-2"/>
    <n v="2.4800000000000001E-4"/>
    <n v="-1.1E-5"/>
    <n v="4.5999999999999999E-3"/>
    <n v="1E-3"/>
    <m/>
    <n v="6.3558000000000003E-2"/>
    <n v="4.2180000000000004E-3"/>
    <n v="2.4066000000000001E-2"/>
    <n v="4.8591000000000002E-2"/>
    <n v="1.4519999999999999E-3"/>
    <n v="1.0529E-2"/>
    <n v="4.0953999999999997E-2"/>
    <n v="3.784E-3"/>
    <m/>
    <m/>
    <m/>
    <m/>
    <m/>
  </r>
  <r>
    <n v="2010"/>
    <x v="4"/>
    <d v="2010-05-01T00:00:00"/>
    <x v="1"/>
    <x v="1"/>
    <n v="7.2120000000000004E-2"/>
    <n v="3.8000000000000002E-4"/>
    <n v="1.04"/>
    <n v="1.0246E-2"/>
    <n v="2.1332E-2"/>
    <n v="2.4800000000000001E-4"/>
    <n v="-1.1E-5"/>
    <n v="4.5999999999999999E-3"/>
    <n v="1E-3"/>
    <m/>
    <n v="6.4889000000000002E-2"/>
    <n v="4.2269999999999999E-3"/>
    <n v="2.4066000000000001E-2"/>
    <n v="4.8591000000000002E-2"/>
    <n v="1.4519999999999999E-3"/>
    <n v="1.0529E-2"/>
    <n v="4.0953999999999997E-2"/>
    <n v="3.784E-3"/>
    <m/>
    <m/>
    <m/>
    <m/>
    <m/>
  </r>
  <r>
    <n v="2010"/>
    <x v="5"/>
    <d v="2010-06-01T00:00:00"/>
    <x v="1"/>
    <x v="1"/>
    <n v="8.3489999999999995E-2"/>
    <n v="3.8000000000000002E-4"/>
    <n v="1.04"/>
    <n v="2.6050000000000001E-3"/>
    <n v="1.7510000000000001E-2"/>
    <n v="1.8100000000000001E-4"/>
    <n v="-1.1E-5"/>
    <n v="4.5999999999999999E-3"/>
    <n v="1E-3"/>
    <m/>
    <n v="9.4775999999999999E-2"/>
    <n v="4.5880000000000001E-3"/>
    <n v="2.4066000000000001E-2"/>
    <n v="4.8591000000000002E-2"/>
    <n v="-1.005E-3"/>
    <n v="1.1852E-2"/>
    <n v="2.3213999999999999E-2"/>
    <n v="3.784E-3"/>
    <m/>
    <m/>
    <m/>
    <m/>
    <m/>
  </r>
  <r>
    <n v="2010"/>
    <x v="6"/>
    <d v="2010-07-01T00:00:00"/>
    <x v="1"/>
    <x v="1"/>
    <n v="8.3489999999999995E-2"/>
    <n v="3.8000000000000002E-4"/>
    <n v="1.04"/>
    <n v="2.6050000000000001E-3"/>
    <n v="1.077E-2"/>
    <n v="9.7E-5"/>
    <n v="-1.1E-5"/>
    <n v="4.5999999999999999E-3"/>
    <n v="1.2999999999999999E-3"/>
    <m/>
    <n v="0.106197"/>
    <n v="4.7219999999999996E-3"/>
    <n v="2.4066000000000001E-2"/>
    <n v="4.8591000000000002E-2"/>
    <n v="-3.8149999999999998E-3"/>
    <n v="-6.5180000000000004E-3"/>
    <n v="1.9859999999999999E-2"/>
    <n v="4.6740000000000002E-3"/>
    <m/>
    <m/>
    <m/>
    <m/>
    <m/>
  </r>
  <r>
    <n v="2010"/>
    <x v="7"/>
    <d v="2010-08-01T00:00:00"/>
    <x v="1"/>
    <x v="1"/>
    <n v="8.3489999999999995E-2"/>
    <n v="3.8000000000000002E-4"/>
    <n v="1.04"/>
    <n v="-1.371E-3"/>
    <n v="9.8200000000000006E-3"/>
    <n v="9.3999999999999994E-5"/>
    <n v="-1.1E-5"/>
    <n v="4.5999999999999999E-3"/>
    <n v="1.2999999999999999E-3"/>
    <m/>
    <n v="0.13058900000000001"/>
    <n v="5.0270000000000002E-3"/>
    <n v="2.4066000000000001E-2"/>
    <n v="4.8591000000000002E-2"/>
    <n v="-4.4120000000000001E-3"/>
    <n v="-3.601E-3"/>
    <n v="7.3969999999999999E-3"/>
    <n v="4.6740000000000002E-3"/>
    <m/>
    <m/>
    <m/>
    <m/>
    <m/>
  </r>
  <r>
    <n v="2010"/>
    <x v="8"/>
    <d v="2010-09-01T00:00:00"/>
    <x v="1"/>
    <x v="1"/>
    <n v="8.3489999999999995E-2"/>
    <n v="3.8000000000000002E-4"/>
    <n v="1.04"/>
    <n v="-1.0104E-2"/>
    <n v="1.418E-2"/>
    <n v="7.2999999999999999E-5"/>
    <n v="-1.1E-5"/>
    <n v="4.5999999999999999E-3"/>
    <n v="1.2999999999999999E-3"/>
    <m/>
    <n v="0.11364299999999999"/>
    <n v="6.0819999999999997E-3"/>
    <n v="2.4066000000000001E-2"/>
    <n v="4.8591000000000002E-2"/>
    <n v="-1.7899999999999999E-3"/>
    <n v="-2.2277000000000002E-2"/>
    <n v="3.4699999999999998E-4"/>
    <n v="4.6740000000000002E-3"/>
    <m/>
    <m/>
    <m/>
    <m/>
    <m/>
  </r>
  <r>
    <n v="2010"/>
    <x v="9"/>
    <d v="2010-10-01T00:00:00"/>
    <x v="1"/>
    <x v="2"/>
    <n v="8.2199999999999995E-2"/>
    <n v="0"/>
    <n v="1.04"/>
    <n v="-1.0330000000000001E-3"/>
    <n v="1.315E-2"/>
    <n v="5.3999999999999998E-5"/>
    <n v="-1.07E-4"/>
    <n v="1.1999999999999999E-3"/>
    <n v="1.9E-3"/>
    <m/>
    <n v="0.10012799999999999"/>
    <n v="6.6059999999999999E-3"/>
    <n v="2.4066000000000001E-2"/>
    <n v="5.1304000000000002E-2"/>
    <n v="4.7029999999999997E-3"/>
    <n v="-9.2599999999999991E-3"/>
    <n v="1.7025999999999999E-2"/>
    <n v="4.6740000000000002E-3"/>
    <m/>
    <m/>
    <m/>
    <m/>
    <m/>
  </r>
  <r>
    <n v="2010"/>
    <x v="10"/>
    <d v="2010-11-01T00:00:00"/>
    <x v="1"/>
    <x v="2"/>
    <n v="8.2199999999999995E-2"/>
    <n v="0"/>
    <n v="1.04"/>
    <n v="1.1800000000000001E-3"/>
    <n v="2.1329999999999998E-2"/>
    <n v="1.25E-4"/>
    <n v="-1.07E-4"/>
    <n v="1.1999999999999999E-3"/>
    <n v="1.9E-3"/>
    <m/>
    <n v="9.5704999999999998E-2"/>
    <n v="5.2979999999999998E-3"/>
    <n v="2.4066000000000001E-2"/>
    <n v="5.1304000000000002E-2"/>
    <n v="4.581E-3"/>
    <n v="-1.8956000000000001E-2"/>
    <n v="1.3435000000000001E-2"/>
    <n v="4.6740000000000002E-3"/>
    <m/>
    <m/>
    <m/>
    <m/>
    <m/>
  </r>
  <r>
    <n v="2010"/>
    <x v="11"/>
    <d v="2010-12-01T00:00:00"/>
    <x v="1"/>
    <x v="1"/>
    <n v="7.2120000000000004E-2"/>
    <n v="3.8000000000000002E-4"/>
    <n v="1.04"/>
    <n v="-6.69E-4"/>
    <n v="1.9279999999999999E-2"/>
    <n v="1.5100000000000001E-4"/>
    <n v="-1.1E-5"/>
    <n v="4.7000000000000002E-3"/>
    <n v="1.5E-3"/>
    <m/>
    <n v="6.8909999999999999E-2"/>
    <n v="3.8119999999999999E-3"/>
    <n v="2.4066000000000001E-2"/>
    <n v="4.8591000000000002E-2"/>
    <n v="3.2729999999999999E-3"/>
    <n v="-4.0029999999999996E-3"/>
    <n v="2.9023E-2"/>
    <n v="4.6740000000000002E-3"/>
    <m/>
    <m/>
    <m/>
    <m/>
    <m/>
  </r>
  <r>
    <n v="2011"/>
    <x v="0"/>
    <d v="2011-01-01T00:00:00"/>
    <x v="1"/>
    <x v="1"/>
    <n v="7.2120000000000004E-2"/>
    <n v="3.8000000000000002E-4"/>
    <n v="1.04"/>
    <n v="-6.69E-4"/>
    <n v="1.7319999999999999E-2"/>
    <n v="1.47E-4"/>
    <n v="-1.1E-5"/>
    <n v="4.5999999999999999E-3"/>
    <n v="1.5E-3"/>
    <m/>
    <n v="9.9715999999999999E-2"/>
    <n v="4.2570000000000004E-3"/>
    <n v="2.4066000000000001E-2"/>
    <n v="4.8591000000000002E-2"/>
    <n v="-1.186E-3"/>
    <n v="-7.9089999999999994E-3"/>
    <n v="1.7492000000000001E-2"/>
    <n v="4.6740000000000002E-3"/>
    <m/>
    <m/>
    <m/>
    <m/>
    <m/>
  </r>
  <r>
    <n v="2011"/>
    <x v="1"/>
    <d v="2011-02-01T00:00:00"/>
    <x v="1"/>
    <x v="1"/>
    <n v="7.2120000000000004E-2"/>
    <n v="3.8000000000000002E-4"/>
    <n v="1.04"/>
    <n v="-6.69E-4"/>
    <n v="1.6799999999999999E-2"/>
    <n v="1.83E-4"/>
    <n v="-1.1E-5"/>
    <n v="2.5999999999999999E-3"/>
    <n v="1.5E-3"/>
    <m/>
    <n v="0.10943600000000001"/>
    <n v="4.8529999999999997E-3"/>
    <n v="2.4066000000000001E-2"/>
    <n v="4.8591000000000002E-2"/>
    <n v="-1.083E-3"/>
    <n v="-7.1729999999999997E-3"/>
    <n v="-6.3839999999999999E-3"/>
    <n v="4.6740000000000002E-3"/>
    <m/>
    <m/>
    <m/>
    <m/>
    <m/>
  </r>
  <r>
    <n v="2011"/>
    <x v="2"/>
    <d v="2011-03-01T00:00:00"/>
    <x v="1"/>
    <x v="1"/>
    <n v="7.2120000000000004E-2"/>
    <n v="3.8000000000000002E-4"/>
    <n v="1.04"/>
    <n v="-6.69E-4"/>
    <n v="1.958E-2"/>
    <n v="1.54E-4"/>
    <n v="-1.1E-5"/>
    <n v="2.5999999999999999E-3"/>
    <n v="1.5E-3"/>
    <m/>
    <n v="8.7502999999999997E-2"/>
    <n v="5.0299999999999997E-3"/>
    <n v="2.4066000000000001E-2"/>
    <n v="4.8591000000000002E-2"/>
    <n v="-1.11E-4"/>
    <n v="-3.0370000000000002E-3"/>
    <n v="-1.3569999999999999E-3"/>
    <n v="4.6740000000000002E-3"/>
    <m/>
    <m/>
    <m/>
    <m/>
    <m/>
  </r>
  <r>
    <n v="2011"/>
    <x v="3"/>
    <d v="2011-04-01T00:00:00"/>
    <x v="1"/>
    <x v="2"/>
    <n v="8.2199999999999995E-2"/>
    <n v="0"/>
    <n v="1.04"/>
    <n v="-6.69E-4"/>
    <n v="2.147E-2"/>
    <n v="1.02E-4"/>
    <n v="-1.1E-5"/>
    <n v="2.5999999999999999E-3"/>
    <n v="1.5E-3"/>
    <m/>
    <n v="7.5620999999999994E-2"/>
    <n v="5.3239999999999997E-3"/>
    <n v="2.4066000000000001E-2"/>
    <n v="5.1304000000000002E-2"/>
    <n v="5.8900000000000001E-4"/>
    <n v="-7.6099999999999996E-4"/>
    <n v="1.7722999999999999E-2"/>
    <n v="4.6740000000000002E-3"/>
    <m/>
    <m/>
    <m/>
    <m/>
    <m/>
  </r>
  <r>
    <n v="2011"/>
    <x v="4"/>
    <d v="2011-05-01T00:00:00"/>
    <x v="1"/>
    <x v="2"/>
    <n v="8.2199999999999995E-2"/>
    <n v="0"/>
    <n v="1.04"/>
    <n v="9.0700000000000004E-4"/>
    <n v="1.678E-2"/>
    <n v="7.9999999999999996E-6"/>
    <n v="-1.07E-4"/>
    <n v="2.5999999999999999E-3"/>
    <n v="1.5E-3"/>
    <m/>
    <n v="7.7007999999999993E-2"/>
    <n v="4.8939999999999999E-3"/>
    <n v="2.4066000000000001E-2"/>
    <n v="5.1304000000000002E-2"/>
    <n v="1.085E-3"/>
    <n v="-9.8499999999999994E-3"/>
    <n v="1.3088000000000001E-2"/>
    <n v="4.6740000000000002E-3"/>
    <m/>
    <m/>
    <m/>
    <m/>
    <m/>
  </r>
  <r>
    <n v="2011"/>
    <x v="5"/>
    <d v="2011-06-01T00:00:00"/>
    <x v="1"/>
    <x v="2"/>
    <n v="9.468E-2"/>
    <n v="4.1800000000000002E-4"/>
    <n v="1.04"/>
    <n v="9.0700000000000004E-4"/>
    <n v="1.5219999999999999E-2"/>
    <n v="1.8200000000000001E-4"/>
    <n v="-1.07E-4"/>
    <n v="2.5999999999999999E-3"/>
    <n v="1.5E-3"/>
    <m/>
    <n v="0.103867"/>
    <n v="4.7219999999999996E-3"/>
    <n v="2.4066000000000001E-2"/>
    <n v="5.1139999999999998E-2"/>
    <n v="6.228E-3"/>
    <n v="-9.672E-3"/>
    <n v="1.3554999999999999E-2"/>
    <n v="4.6740000000000002E-3"/>
    <m/>
    <m/>
    <m/>
    <m/>
    <m/>
  </r>
  <r>
    <n v="2011"/>
    <x v="6"/>
    <d v="2011-07-01T00:00:00"/>
    <x v="1"/>
    <x v="2"/>
    <n v="9.468E-2"/>
    <n v="0"/>
    <n v="1.04"/>
    <n v="9.0700000000000004E-4"/>
    <n v="1.0659999999999999E-2"/>
    <n v="1.44E-4"/>
    <n v="-1.07E-4"/>
    <n v="2.5999999999999999E-3"/>
    <n v="1.5E-3"/>
    <m/>
    <n v="0.111189"/>
    <n v="4.8199999999999996E-3"/>
    <n v="2.4066000000000001E-2"/>
    <n v="5.1304000000000002E-2"/>
    <n v="-5.4299999999999997E-4"/>
    <n v="-8.0169999999999998E-3"/>
    <n v="9.2270000000000008E-3"/>
    <n v="4.6740000000000002E-3"/>
    <m/>
    <m/>
    <m/>
    <m/>
    <m/>
  </r>
  <r>
    <n v="2011"/>
    <x v="7"/>
    <d v="2011-08-01T00:00:00"/>
    <x v="1"/>
    <x v="2"/>
    <n v="9.468E-2"/>
    <n v="0"/>
    <n v="1.04"/>
    <n v="9.0700000000000004E-4"/>
    <n v="1.0659999999999999E-2"/>
    <n v="1.34E-4"/>
    <n v="-1.07E-4"/>
    <n v="2.5999999999999999E-3"/>
    <n v="1.5E-3"/>
    <m/>
    <n v="0.13031300000000001"/>
    <n v="5.4079999999999996E-3"/>
    <n v="2.4066000000000001E-2"/>
    <n v="5.1304000000000002E-2"/>
    <n v="-1.307E-3"/>
    <n v="-3.7460000000000002E-3"/>
    <n v="9.9950000000000004E-3"/>
    <n v="4.6740000000000002E-3"/>
    <m/>
    <m/>
    <m/>
    <m/>
    <m/>
  </r>
  <r>
    <n v="2011"/>
    <x v="8"/>
    <d v="2011-09-01T00:00:00"/>
    <x v="1"/>
    <x v="2"/>
    <n v="9.468E-2"/>
    <n v="0"/>
    <n v="1.04"/>
    <n v="-1.0330000000000001E-3"/>
    <n v="1.417E-2"/>
    <n v="8.7000000000000001E-5"/>
    <n v="-1.07E-4"/>
    <n v="2.5999999999999999E-3"/>
    <n v="1.5E-3"/>
    <m/>
    <n v="0.107769"/>
    <n v="6.2100000000000002E-3"/>
    <n v="2.4066000000000001E-2"/>
    <n v="5.1304000000000002E-2"/>
    <n v="5.7899999999999998E-4"/>
    <n v="-2.5103E-2"/>
    <n v="5.6230000000000004E-3"/>
    <n v="4.6740000000000002E-3"/>
    <m/>
    <m/>
    <m/>
    <m/>
    <m/>
  </r>
  <r>
    <n v="2011"/>
    <x v="9"/>
    <d v="2011-10-01T00:00:00"/>
    <x v="1"/>
    <x v="2"/>
    <n v="8.2199999999999995E-2"/>
    <n v="0"/>
    <n v="1.04"/>
    <n v="-1.0330000000000001E-3"/>
    <n v="1.315E-2"/>
    <n v="5.3999999999999998E-5"/>
    <n v="-1.07E-4"/>
    <n v="1.1999999999999999E-3"/>
    <n v="1.9E-3"/>
    <m/>
    <n v="0.10012799999999999"/>
    <n v="6.6059999999999999E-3"/>
    <n v="2.4066000000000001E-2"/>
    <n v="5.1304000000000002E-2"/>
    <n v="4.7029999999999997E-3"/>
    <n v="-9.2599999999999991E-3"/>
    <n v="1.7025999999999999E-2"/>
    <n v="4.6740000000000002E-3"/>
    <m/>
    <m/>
    <m/>
    <m/>
    <m/>
  </r>
  <r>
    <n v="2011"/>
    <x v="10"/>
    <d v="2011-11-01T00:00:00"/>
    <x v="1"/>
    <x v="2"/>
    <n v="8.2199999999999995E-2"/>
    <n v="0"/>
    <n v="1.04"/>
    <n v="1.1800000000000001E-3"/>
    <n v="2.1329999999999998E-2"/>
    <n v="1.25E-4"/>
    <n v="-1.07E-4"/>
    <n v="1.1999999999999999E-3"/>
    <n v="1.9E-3"/>
    <m/>
    <n v="9.5704999999999998E-2"/>
    <n v="5.2979999999999998E-3"/>
    <n v="2.4066000000000001E-2"/>
    <n v="5.1304000000000002E-2"/>
    <n v="4.581E-3"/>
    <n v="-1.8956000000000001E-2"/>
    <n v="1.3435000000000001E-2"/>
    <n v="4.6740000000000002E-3"/>
    <m/>
    <m/>
    <m/>
    <m/>
    <m/>
  </r>
  <r>
    <n v="2011"/>
    <x v="11"/>
    <d v="2011-12-01T00:00:00"/>
    <x v="1"/>
    <x v="2"/>
    <n v="8.2199999999999995E-2"/>
    <n v="0"/>
    <n v="1.04"/>
    <n v="1.1800000000000001E-3"/>
    <n v="1.7850000000000001E-2"/>
    <n v="1.8100000000000001E-4"/>
    <n v="-1.07E-4"/>
    <n v="1.1999999999999999E-3"/>
    <n v="1.9E-3"/>
    <m/>
    <n v="6.0173999999999998E-2"/>
    <n v="4.5979999999999997E-3"/>
    <n v="2.4066000000000001E-2"/>
    <n v="5.1304000000000002E-2"/>
    <n v="3.209E-3"/>
    <n v="-3.2599999999999999E-3"/>
    <n v="1.2699E-2"/>
    <n v="4.6740000000000002E-3"/>
    <m/>
    <m/>
    <m/>
    <m/>
    <m/>
  </r>
  <r>
    <n v="2012"/>
    <x v="0"/>
    <d v="2012-01-01T00:00:00"/>
    <x v="1"/>
    <x v="2"/>
    <n v="8.2199999999999995E-2"/>
    <n v="0"/>
    <n v="1.04"/>
    <n v="1.1800000000000001E-3"/>
    <n v="1.7569999999999999E-2"/>
    <n v="1.47E-4"/>
    <n v="-1.07E-4"/>
    <n v="3.0000000000000001E-3"/>
    <n v="1.9E-3"/>
    <m/>
    <n v="6.0804999999999998E-2"/>
    <n v="4.633E-3"/>
    <n v="2.4066000000000001E-2"/>
    <n v="5.1304000000000002E-2"/>
    <n v="5.4140000000000004E-3"/>
    <n v="-8.0389999999999993E-3"/>
    <n v="9.2829999999999996E-3"/>
    <n v="4.6740000000000002E-3"/>
    <m/>
    <m/>
    <m/>
    <m/>
    <m/>
  </r>
  <r>
    <n v="2012"/>
    <x v="1"/>
    <d v="2012-02-01T00:00:00"/>
    <x v="1"/>
    <x v="2"/>
    <n v="8.2199999999999995E-2"/>
    <n v="0"/>
    <n v="1.04"/>
    <n v="1.1800000000000001E-3"/>
    <n v="1.907E-2"/>
    <n v="1.73E-4"/>
    <n v="-1.07E-4"/>
    <n v="3.0000000000000001E-3"/>
    <n v="1.9E-3"/>
    <m/>
    <n v="6.7920999999999995E-2"/>
    <n v="4.6829999999999997E-3"/>
    <n v="2.4066000000000001E-2"/>
    <n v="5.1304000000000002E-2"/>
    <n v="7.7889999999999999E-3"/>
    <n v="-2.0119999999999999E-3"/>
    <n v="1.0525E-2"/>
    <n v="4.6740000000000002E-3"/>
    <m/>
    <m/>
    <m/>
    <m/>
    <m/>
  </r>
  <r>
    <n v="2012"/>
    <x v="2"/>
    <d v="2012-03-01T00:00:00"/>
    <x v="1"/>
    <x v="2"/>
    <n v="8.2199999999999995E-2"/>
    <n v="0"/>
    <n v="1.04"/>
    <n v="1.1800000000000001E-3"/>
    <n v="2.366E-2"/>
    <n v="2.2800000000000001E-4"/>
    <n v="-1.07E-4"/>
    <n v="3.0000000000000001E-3"/>
    <n v="1.9E-3"/>
    <m/>
    <n v="5.4751000000000001E-2"/>
    <n v="5.1970000000000002E-3"/>
    <n v="2.4066000000000001E-2"/>
    <n v="5.1304000000000002E-2"/>
    <n v="5.653E-3"/>
    <n v="-5.1699999999999999E-4"/>
    <n v="1.1277000000000001E-2"/>
    <n v="4.6740000000000002E-3"/>
    <m/>
    <m/>
    <m/>
    <m/>
    <m/>
  </r>
  <r>
    <n v="2012"/>
    <x v="3"/>
    <d v="2012-04-01T00:00:00"/>
    <x v="1"/>
    <x v="3"/>
    <n v="8.899E-2"/>
    <n v="0"/>
    <n v="1.04"/>
    <n v="1.1800000000000001E-3"/>
    <n v="2.588E-2"/>
    <n v="2.0599999999999999E-4"/>
    <n v="-1.07E-4"/>
    <n v="3.0000000000000001E-3"/>
    <n v="1.9E-3"/>
    <m/>
    <n v="5.0744999999999998E-2"/>
    <n v="5.77E-3"/>
    <n v="2.4066000000000001E-2"/>
    <n v="4.9451000000000002E-2"/>
    <n v="4.9410000000000001E-3"/>
    <n v="1.2650000000000001E-3"/>
    <n v="1.8831000000000001E-2"/>
    <n v="4.6740000000000002E-3"/>
    <m/>
    <m/>
    <m/>
    <m/>
    <m/>
  </r>
  <r>
    <n v="2012"/>
    <x v="4"/>
    <d v="2012-05-01T00:00:00"/>
    <x v="1"/>
    <x v="3"/>
    <n v="8.899E-2"/>
    <n v="0"/>
    <n v="1.04"/>
    <n v="2.6949999999999999E-3"/>
    <n v="1.6660000000000001E-2"/>
    <n v="3.1799999999999998E-4"/>
    <n v="-6.3999999999999997E-5"/>
    <n v="3.0000000000000001E-3"/>
    <n v="1.9E-3"/>
    <m/>
    <n v="4.9916000000000002E-2"/>
    <n v="5.7999999999999996E-3"/>
    <n v="2.4066000000000001E-2"/>
    <n v="4.9451000000000002E-2"/>
    <n v="4.5000000000000003E-5"/>
    <n v="-1.9780000000000002E-3"/>
    <n v="2.0066000000000001E-2"/>
    <n v="4.6740000000000002E-3"/>
    <m/>
    <m/>
    <m/>
    <m/>
    <m/>
  </r>
  <r>
    <n v="2012"/>
    <x v="5"/>
    <d v="2012-06-01T00:00:00"/>
    <x v="1"/>
    <x v="3"/>
    <n v="0.10224"/>
    <n v="0"/>
    <n v="1.04"/>
    <n v="2.6949999999999999E-3"/>
    <n v="1.532E-2"/>
    <n v="1.8799999999999999E-4"/>
    <n v="-6.3999999999999997E-5"/>
    <n v="3.0000000000000001E-3"/>
    <n v="1.9E-3"/>
    <m/>
    <n v="7.8476000000000004E-2"/>
    <n v="5.3179999999999998E-3"/>
    <n v="2.4066000000000001E-2"/>
    <n v="4.9551000000000005E-2"/>
    <n v="2.209E-3"/>
    <n v="5.7000000000000003E-5"/>
    <n v="1.8755000000000001E-2"/>
    <n v="4.6740000000000002E-3"/>
    <m/>
    <m/>
    <m/>
    <m/>
    <m/>
  </r>
  <r>
    <n v="2012"/>
    <x v="6"/>
    <d v="2012-07-01T00:00:00"/>
    <x v="1"/>
    <x v="3"/>
    <n v="0.10224"/>
    <n v="0"/>
    <n v="1.04"/>
    <n v="2.6949999999999999E-3"/>
    <n v="1.299E-2"/>
    <n v="1.2E-4"/>
    <n v="-6.3999999999999997E-5"/>
    <n v="3.0000000000000001E-3"/>
    <n v="1.9E-3"/>
    <m/>
    <n v="9.1912999999999995E-2"/>
    <n v="5.4000000000000003E-3"/>
    <n v="2.4066000000000001E-2"/>
    <n v="4.9451000000000002E-2"/>
    <n v="-1.121E-3"/>
    <n v="1.7632999999999999E-2"/>
    <n v="1.3247E-2"/>
    <n v="4.6740000000000002E-3"/>
    <m/>
    <m/>
    <m/>
    <m/>
    <m/>
  </r>
  <r>
    <n v="2012"/>
    <x v="7"/>
    <d v="2012-08-01T00:00:00"/>
    <x v="1"/>
    <x v="3"/>
    <n v="0.10224"/>
    <n v="0"/>
    <n v="1.04"/>
    <n v="2.6949999999999999E-3"/>
    <n v="1.136E-2"/>
    <n v="8.7000000000000001E-5"/>
    <n v="-6.3999999999999997E-5"/>
    <n v="3.0000000000000001E-3"/>
    <n v="1.9E-3"/>
    <m/>
    <n v="0.102383"/>
    <n v="5.9950000000000003E-3"/>
    <n v="2.4066000000000001E-2"/>
    <n v="4.9451000000000002E-2"/>
    <n v="-5.0500000000000002E-4"/>
    <n v="-1.5554E-2"/>
    <n v="6.5250000000000004E-3"/>
    <n v="4.6740000000000002E-3"/>
    <m/>
    <m/>
    <m/>
    <m/>
    <m/>
  </r>
  <r>
    <n v="2012"/>
    <x v="8"/>
    <d v="2012-09-01T00:00:00"/>
    <x v="1"/>
    <x v="3"/>
    <n v="0.10224"/>
    <n v="0"/>
    <n v="1.04"/>
    <n v="3.9110000000000004E-3"/>
    <n v="1.436E-2"/>
    <n v="8.7999999999999998E-5"/>
    <n v="-6.3999999999999997E-5"/>
    <n v="3.0000000000000001E-3"/>
    <n v="1.9E-3"/>
    <m/>
    <n v="9.3043000000000001E-2"/>
    <n v="6.6470000000000001E-3"/>
    <n v="2.4066000000000001E-2"/>
    <n v="4.9451000000000002E-2"/>
    <n v="-3.094E-3"/>
    <n v="-1.5934E-2"/>
    <n v="5.7359999999999998E-3"/>
    <n v="4.6740000000000002E-3"/>
    <m/>
    <m/>
    <m/>
    <m/>
    <m/>
  </r>
  <r>
    <n v="2012"/>
    <x v="9"/>
    <d v="2012-10-01T00:00:00"/>
    <x v="1"/>
    <x v="3"/>
    <n v="8.899E-2"/>
    <n v="0"/>
    <n v="1.04"/>
    <n v="3.9110000000000004E-3"/>
    <n v="1.434E-2"/>
    <n v="7.6000000000000004E-5"/>
    <n v="-6.3999999999999997E-5"/>
    <n v="3.0000000000000001E-3"/>
    <n v="2.3E-3"/>
    <m/>
    <n v="8.5875999999999994E-2"/>
    <n v="6.4860000000000004E-3"/>
    <n v="2.4066000000000001E-2"/>
    <n v="4.9451000000000002E-2"/>
    <n v="2.6940000000000002E-3"/>
    <n v="3.2959999999999999E-3"/>
    <n v="1.6997000000000002E-2"/>
    <n v="4.6740000000000002E-3"/>
    <m/>
    <m/>
    <m/>
    <m/>
    <m/>
  </r>
  <r>
    <n v="2012"/>
    <x v="10"/>
    <d v="2012-11-01T00:00:00"/>
    <x v="1"/>
    <x v="3"/>
    <n v="8.899E-2"/>
    <n v="0"/>
    <n v="1.04"/>
    <n v="2.15E-3"/>
    <n v="2.019E-2"/>
    <n v="8.8999999999999995E-5"/>
    <n v="-6.3999999999999997E-5"/>
    <n v="3.0000000000000001E-3"/>
    <n v="2.3E-3"/>
    <m/>
    <n v="8.6238999999999996E-2"/>
    <n v="6.3030000000000004E-3"/>
    <n v="2.4066000000000001E-2"/>
    <n v="4.9451000000000002E-2"/>
    <n v="2.225E-3"/>
    <n v="-1.8175E-2"/>
    <n v="9.9349999999999994E-3"/>
    <n v="4.6740000000000002E-3"/>
    <m/>
    <m/>
    <m/>
    <m/>
    <m/>
  </r>
  <r>
    <n v="2012"/>
    <x v="11"/>
    <d v="2012-12-01T00:00:00"/>
    <x v="1"/>
    <x v="3"/>
    <n v="8.899E-2"/>
    <n v="0"/>
    <n v="1.04"/>
    <n v="2.15E-3"/>
    <n v="1.7440000000000001E-2"/>
    <n v="1.7699999999999999E-4"/>
    <n v="-6.3999999999999997E-5"/>
    <n v="3.0000000000000001E-3"/>
    <n v="2.3E-3"/>
    <m/>
    <n v="8.1790000000000002E-2"/>
    <n v="5.2950000000000002E-3"/>
    <n v="2.4066000000000001E-2"/>
    <n v="4.9451000000000002E-2"/>
    <n v="1.4940000000000001E-3"/>
    <n v="-5.0800000000000003E-3"/>
    <n v="1.0676E-2"/>
    <n v="4.6740000000000002E-3"/>
    <m/>
    <m/>
    <m/>
    <m/>
    <m/>
  </r>
  <r>
    <n v="2013"/>
    <x v="0"/>
    <d v="2013-01-01T00:00:00"/>
    <x v="1"/>
    <x v="3"/>
    <n v="8.899E-2"/>
    <n v="0"/>
    <n v="1.04"/>
    <n v="2.15E-3"/>
    <n v="1.421E-2"/>
    <n v="1.25E-4"/>
    <n v="-6.3999999999999997E-5"/>
    <n v="3.3999999999999998E-3"/>
    <n v="2.3E-3"/>
    <m/>
    <n v="7.6786999999999994E-2"/>
    <n v="5.0140000000000002E-3"/>
    <n v="2.4066000000000001E-2"/>
    <n v="4.9451000000000002E-2"/>
    <n v="5.1330000000000004E-3"/>
    <n v="-1.2964E-2"/>
    <n v="-7.2909999999999997E-3"/>
    <n v="4.6740000000000002E-3"/>
    <m/>
    <m/>
    <m/>
    <m/>
    <m/>
  </r>
  <r>
    <n v="2013"/>
    <x v="1"/>
    <d v="2013-02-01T00:00:00"/>
    <x v="1"/>
    <x v="3"/>
    <n v="8.899E-2"/>
    <n v="0"/>
    <n v="1.04"/>
    <n v="2.15E-3"/>
    <n v="1.5910000000000001E-2"/>
    <n v="1.5699999999999999E-4"/>
    <n v="-6.3999999999999997E-5"/>
    <n v="3.3999999999999998E-3"/>
    <n v="2.3E-3"/>
    <m/>
    <n v="0.115109"/>
    <n v="5.398E-3"/>
    <n v="2.4066000000000001E-2"/>
    <n v="4.9451000000000002E-2"/>
    <n v="4.4840000000000001E-3"/>
    <n v="-4.1450000000000002E-3"/>
    <n v="5.7429999999999998E-3"/>
    <n v="4.6740000000000002E-3"/>
    <m/>
    <m/>
    <m/>
    <m/>
    <m/>
  </r>
  <r>
    <n v="2013"/>
    <x v="2"/>
    <d v="2013-03-01T00:00:00"/>
    <x v="1"/>
    <x v="3"/>
    <n v="8.899E-2"/>
    <n v="0"/>
    <n v="1.04"/>
    <n v="2.15E-3"/>
    <n v="1.8319999999999999E-2"/>
    <n v="1.8699999999999999E-4"/>
    <n v="-6.3999999999999997E-5"/>
    <n v="3.3999999999999998E-3"/>
    <n v="2.3E-3"/>
    <m/>
    <n v="0.123568"/>
    <n v="6.058E-3"/>
    <n v="2.4066000000000001E-2"/>
    <n v="4.9451000000000002E-2"/>
    <n v="9.8799999999999995E-4"/>
    <n v="1.7649999999999999E-3"/>
    <n v="-1.3868E-2"/>
    <n v="4.6740000000000002E-3"/>
    <m/>
    <m/>
    <m/>
    <m/>
    <m/>
  </r>
  <r>
    <n v="2013"/>
    <x v="3"/>
    <d v="2013-04-01T00:00:00"/>
    <x v="1"/>
    <x v="4"/>
    <n v="8.8940000000000005E-2"/>
    <n v="0"/>
    <n v="1.04"/>
    <n v="2.1199999999999999E-3"/>
    <n v="2.1569999999999999E-2"/>
    <n v="1.4300000000000001E-4"/>
    <n v="-6.3999999999999997E-5"/>
    <n v="3.3999999999999998E-3"/>
    <n v="2.3E-3"/>
    <m/>
    <n v="7.9855999999999996E-2"/>
    <n v="6.3479999999999995E-3"/>
    <n v="2.4066000000000001E-2"/>
    <n v="5.1325999999999997E-2"/>
    <n v="-7.0800000000000004E-3"/>
    <n v="-8.4000000000000003E-4"/>
    <n v="-7.3210000000000003E-3"/>
    <n v="4.6740000000000002E-3"/>
    <m/>
    <m/>
    <m/>
    <m/>
    <m/>
  </r>
  <r>
    <n v="2013"/>
    <x v="4"/>
    <d v="2013-05-01T00:00:00"/>
    <x v="1"/>
    <x v="4"/>
    <n v="8.8940000000000005E-2"/>
    <n v="0"/>
    <n v="1.04"/>
    <n v="4.9800000000000001E-3"/>
    <n v="1.4149999999999999E-2"/>
    <n v="-9.0000000000000002E-6"/>
    <n v="-3.0000000000000001E-5"/>
    <n v="3.3999999999999998E-3"/>
    <n v="2.3E-3"/>
    <m/>
    <n v="7.3620000000000005E-2"/>
    <n v="5.9029999999999994E-3"/>
    <n v="2.4066000000000001E-2"/>
    <n v="5.1325999999999997E-2"/>
    <n v="-4.1079999999999997E-3"/>
    <n v="-1.1834000000000001E-2"/>
    <n v="7.502E-3"/>
    <n v="4.6740000000000002E-3"/>
    <m/>
    <m/>
    <m/>
    <m/>
    <m/>
  </r>
  <r>
    <n v="2013"/>
    <x v="5"/>
    <d v="2013-06-01T00:00:00"/>
    <x v="1"/>
    <x v="4"/>
    <n v="0.10224"/>
    <n v="0"/>
    <n v="1.04"/>
    <n v="4.9800000000000001E-3"/>
    <n v="1.176E-2"/>
    <n v="6.8999999999999997E-5"/>
    <n v="-3.0000000000000001E-5"/>
    <n v="3.3999999999999998E-3"/>
    <n v="2.3E-3"/>
    <m/>
    <n v="0.100921"/>
    <n v="4.8629999999999993E-3"/>
    <n v="2.4066000000000001E-2"/>
    <n v="5.1978000000000003E-2"/>
    <n v="1.013E-3"/>
    <n v="-1.3060000000000001E-3"/>
    <n v="3.4299999999999999E-4"/>
    <n v="4.6740000000000002E-3"/>
    <m/>
    <m/>
    <m/>
    <m/>
    <m/>
  </r>
  <r>
    <n v="2013"/>
    <x v="6"/>
    <d v="2013-07-01T00:00:00"/>
    <x v="1"/>
    <x v="4"/>
    <n v="0.10224"/>
    <n v="0"/>
    <n v="1.04"/>
    <n v="4.9800000000000001E-3"/>
    <n v="8.3199999999999993E-3"/>
    <n v="9.3999999999999994E-5"/>
    <n v="-3.0000000000000001E-5"/>
    <n v="3.3999999999999998E-3"/>
    <n v="2.3E-3"/>
    <m/>
    <n v="0.12012100000000001"/>
    <n v="5.3449999999999999E-3"/>
    <n v="2.4066000000000001E-2"/>
    <n v="5.1325999999999997E-2"/>
    <n v="2.4750000000000002E-3"/>
    <n v="-4.7530000000000003E-3"/>
    <n v="4.7359999999999998E-3"/>
    <n v="3.9110000000000004E-3"/>
    <m/>
    <m/>
    <m/>
    <m/>
    <m/>
  </r>
  <r>
    <n v="2013"/>
    <x v="7"/>
    <d v="2013-08-01T00:00:00"/>
    <x v="1"/>
    <x v="4"/>
    <n v="0.10224"/>
    <n v="0"/>
    <n v="1.04"/>
    <n v="4.9800000000000001E-3"/>
    <n v="9.4000000000000004E-3"/>
    <n v="9.2999999999999997E-5"/>
    <n v="-3.0000000000000001E-5"/>
    <n v="3.3999999999999998E-3"/>
    <n v="2.3E-3"/>
    <m/>
    <n v="9.6821000000000004E-2"/>
    <n v="6.038E-3"/>
    <n v="2.4066000000000001E-2"/>
    <n v="5.1325999999999997E-2"/>
    <n v="-1.3849999999999999E-3"/>
    <n v="-1.8533000000000001E-2"/>
    <n v="8.9800000000000004E-4"/>
    <n v="3.9110000000000004E-3"/>
    <m/>
    <m/>
    <m/>
    <m/>
    <m/>
  </r>
  <r>
    <n v="2013"/>
    <x v="8"/>
    <d v="2013-09-01T00:00:00"/>
    <x v="1"/>
    <x v="4"/>
    <n v="0.10224"/>
    <n v="0"/>
    <n v="1.04"/>
    <n v="4.8399999999999997E-3"/>
    <n v="1.295E-2"/>
    <n v="8.8999999999999995E-5"/>
    <n v="-3.0000000000000001E-5"/>
    <n v="3.3999999999999998E-3"/>
    <n v="2.3E-3"/>
    <m/>
    <n v="9.4394000000000006E-2"/>
    <n v="7.1229999999999991E-3"/>
    <n v="2.4066000000000001E-2"/>
    <n v="5.1325999999999997E-2"/>
    <n v="4.5300000000000001E-4"/>
    <n v="1.6515999999999999E-2"/>
    <n v="1.0562999999999999E-2"/>
    <n v="3.9110000000000004E-3"/>
    <m/>
    <m/>
    <m/>
    <m/>
    <m/>
  </r>
  <r>
    <n v="2013"/>
    <x v="9"/>
    <d v="2013-10-01T00:00:00"/>
    <x v="1"/>
    <x v="4"/>
    <n v="8.8940000000000005E-2"/>
    <n v="0"/>
    <n v="1.04"/>
    <n v="4.8399999999999997E-3"/>
    <n v="1.393E-2"/>
    <n v="6.9999999999999994E-5"/>
    <n v="-3.0000000000000001E-5"/>
    <n v="3.3999999999999998E-3"/>
    <n v="2.5999999999999999E-3"/>
    <m/>
    <n v="9.1324000000000002E-2"/>
    <n v="6.803E-3"/>
    <n v="2.4066000000000001E-2"/>
    <n v="5.1325999999999997E-2"/>
    <n v="6.6500000000000001E-4"/>
    <n v="-7.4530000000000004E-3"/>
    <n v="7.8650000000000005E-3"/>
    <n v="3.9110000000000004E-3"/>
    <m/>
    <m/>
    <m/>
    <m/>
    <m/>
  </r>
  <r>
    <n v="2013"/>
    <x v="10"/>
    <d v="2013-11-01T00:00:00"/>
    <x v="1"/>
    <x v="4"/>
    <n v="8.8940000000000005E-2"/>
    <n v="0"/>
    <n v="1.04"/>
    <n v="6.4400000000000004E-3"/>
    <n v="1.772E-2"/>
    <n v="1.12E-4"/>
    <n v="-3.0000000000000001E-5"/>
    <n v="3.3999999999999998E-3"/>
    <n v="2.5999999999999999E-3"/>
    <m/>
    <n v="8.6569999999999994E-2"/>
    <n v="6.0619999999999997E-3"/>
    <n v="2.4066000000000001E-2"/>
    <n v="5.1325999999999997E-2"/>
    <n v="-5.2830000000000004E-3"/>
    <n v="-3.9280000000000001E-3"/>
    <n v="8.1779999999999995E-3"/>
    <n v="3.9110000000000004E-3"/>
    <m/>
    <m/>
    <m/>
    <m/>
    <m/>
  </r>
  <r>
    <n v="2013"/>
    <x v="11"/>
    <d v="2013-12-01T00:00:00"/>
    <x v="1"/>
    <x v="4"/>
    <n v="8.8940000000000005E-2"/>
    <n v="0"/>
    <n v="1.04"/>
    <n v="6.4400000000000004E-3"/>
    <n v="1.346E-2"/>
    <n v="8.6000000000000003E-5"/>
    <n v="-3.0000000000000001E-5"/>
    <n v="3.3999999999999998E-3"/>
    <n v="2.5999999999999999E-3"/>
    <m/>
    <n v="0.10964"/>
    <n v="5.4779999999999994E-3"/>
    <n v="2.4066000000000001E-2"/>
    <n v="5.1325999999999997E-2"/>
    <n v="3.7599999999999999E-3"/>
    <n v="1.01E-3"/>
    <n v="-3.2759999999999998E-3"/>
    <n v="3.9110000000000004E-3"/>
    <m/>
    <m/>
    <m/>
    <m/>
    <m/>
  </r>
  <r>
    <n v="2014"/>
    <x v="0"/>
    <d v="2014-01-01T00:00:00"/>
    <x v="1"/>
    <x v="4"/>
    <n v="8.8940000000000005E-2"/>
    <n v="0"/>
    <n v="1.04"/>
    <n v="6.4400000000000004E-3"/>
    <n v="9.6900000000000007E-3"/>
    <n v="9.3999999999999994E-5"/>
    <n v="-3.0000000000000001E-5"/>
    <n v="3.8E-3"/>
    <n v="2.5999999999999999E-3"/>
    <m/>
    <n v="0.23752699999999999"/>
    <n v="5.1579999999999994E-3"/>
    <n v="2.4066000000000001E-2"/>
    <n v="5.1325999999999997E-2"/>
    <n v="2.9320000000000001E-3"/>
    <n v="-6.8599999999999998E-4"/>
    <n v="-1.5737999999999999E-2"/>
    <n v="3.9110000000000004E-3"/>
    <m/>
    <m/>
    <m/>
    <m/>
    <m/>
  </r>
  <r>
    <n v="2014"/>
    <x v="1"/>
    <d v="2014-02-01T00:00:00"/>
    <x v="1"/>
    <x v="4"/>
    <n v="8.8940000000000005E-2"/>
    <n v="0"/>
    <n v="1.04"/>
    <n v="6.4400000000000004E-3"/>
    <n v="7.8700000000000003E-3"/>
    <n v="1.6000000000000001E-4"/>
    <n v="-3.0000000000000001E-5"/>
    <n v="3.8E-3"/>
    <n v="2.5999999999999999E-3"/>
    <m/>
    <n v="0.178893"/>
    <n v="6.0159999999999996E-3"/>
    <n v="2.4066000000000001E-2"/>
    <n v="5.1325999999999997E-2"/>
    <n v="-2.0507000000000001E-2"/>
    <n v="3.8337999999999997E-2"/>
    <n v="-7.0799000000000001E-2"/>
    <n v="3.9110000000000004E-3"/>
    <m/>
    <m/>
    <m/>
    <m/>
    <m/>
  </r>
  <r>
    <n v="2014"/>
    <x v="2"/>
    <d v="2014-03-01T00:00:00"/>
    <x v="1"/>
    <x v="5"/>
    <n v="8.9069999999999996E-2"/>
    <n v="-7.2499999999999995E-4"/>
    <n v="1.2"/>
    <n v="6.4400000000000004E-3"/>
    <n v="1.2330000000000001E-2"/>
    <n v="-1.7E-5"/>
    <n v="-5.5999999999999999E-5"/>
    <n v="3.8E-3"/>
    <n v="2.5999999999999999E-3"/>
    <m/>
    <n v="0.15418399999999999"/>
    <n v="6.8810000000000008E-3"/>
    <n v="2.4066000000000001E-2"/>
    <n v="5.1325999999999997E-2"/>
    <n v="1.4100000000000001E-4"/>
    <n v="-1.8959E-2"/>
    <n v="-9.9389999999999999E-3"/>
    <n v="3.9110000000000004E-3"/>
    <m/>
    <m/>
    <m/>
    <m/>
    <m/>
  </r>
  <r>
    <n v="2014"/>
    <x v="3"/>
    <d v="2014-04-01T00:00:00"/>
    <x v="1"/>
    <x v="5"/>
    <n v="8.9069999999999996E-2"/>
    <n v="-7.2499999999999995E-4"/>
    <n v="1.2"/>
    <n v="9.6299999999999997E-3"/>
    <n v="1.8610000000000002E-2"/>
    <n v="-6.3E-5"/>
    <n v="-5.5999999999999999E-5"/>
    <n v="3.8E-3"/>
    <n v="2.5999999999999999E-3"/>
    <m/>
    <n v="9.2184000000000002E-2"/>
    <n v="8.7299999999999999E-3"/>
    <n v="2.4066000000000001E-2"/>
    <n v="5.2794000000000001E-2"/>
    <n v="-5.679E-3"/>
    <n v="-1.421E-2"/>
    <n v="2.4550000000000002E-3"/>
    <n v="3.9110000000000004E-3"/>
    <m/>
    <m/>
    <m/>
    <m/>
    <m/>
  </r>
  <r>
    <n v="2014"/>
    <x v="4"/>
    <d v="2014-05-01T00:00:00"/>
    <x v="1"/>
    <x v="5"/>
    <n v="8.9069999999999996E-2"/>
    <n v="-7.2499999999999995E-4"/>
    <n v="1.2"/>
    <n v="9.6299999999999997E-3"/>
    <n v="1.472E-2"/>
    <n v="1.05E-4"/>
    <n v="-5.5999999999999999E-5"/>
    <n v="3.8E-3"/>
    <n v="2.5999999999999999E-3"/>
    <m/>
    <n v="9.9664000000000003E-2"/>
    <n v="5.7200000000000003E-3"/>
    <n v="2.4066000000000001E-2"/>
    <n v="5.2794000000000001E-2"/>
    <n v="7.986E-3"/>
    <n v="2.9650000000000002E-3"/>
    <n v="-2.6200000000000003E-4"/>
    <n v="3.9110000000000004E-3"/>
    <m/>
    <m/>
    <m/>
    <m/>
    <m/>
  </r>
  <r>
    <n v="2014"/>
    <x v="5"/>
    <d v="2014-06-01T00:00:00"/>
    <x v="1"/>
    <x v="5"/>
    <n v="0.10238"/>
    <n v="-7.2499999999999995E-4"/>
    <n v="1.2"/>
    <n v="9.6299999999999997E-3"/>
    <n v="1.4319999999999999E-2"/>
    <n v="1.74E-4"/>
    <n v="-5.5999999999999999E-5"/>
    <n v="3.8E-3"/>
    <n v="2.5999999999999999E-3"/>
    <m/>
    <n v="0.101674"/>
    <n v="3.3790000000000005E-3"/>
    <n v="2.4066000000000001E-2"/>
    <n v="5.1831000000000002E-2"/>
    <n v="3.1359999999999999E-3"/>
    <n v="4.5710000000000004E-3"/>
    <n v="4.8789999999999997E-3"/>
    <n v="3.9110000000000004E-3"/>
    <m/>
    <m/>
    <m/>
    <m/>
    <m/>
  </r>
  <r>
    <n v="2014"/>
    <x v="6"/>
    <d v="2014-07-01T00:00:00"/>
    <x v="1"/>
    <x v="5"/>
    <n v="0.10238"/>
    <n v="-7.2499999999999995E-4"/>
    <n v="1.2"/>
    <n v="9.6299999999999997E-3"/>
    <n v="8.5400000000000007E-3"/>
    <n v="1.7200000000000001E-4"/>
    <n v="-5.5999999999999999E-5"/>
    <n v="3.8E-3"/>
    <n v="2.5999999999999999E-3"/>
    <m/>
    <n v="0.100991"/>
    <n v="3.9960000000000004E-3"/>
    <n v="2.4066000000000001E-2"/>
    <n v="5.2794000000000001E-2"/>
    <n v="2.542E-3"/>
    <n v="-1.111E-3"/>
    <n v="-2.1800000000000001E-4"/>
    <n v="3.9439999999999996E-3"/>
    <m/>
    <m/>
    <m/>
    <m/>
    <m/>
  </r>
  <r>
    <n v="2014"/>
    <x v="7"/>
    <d v="2014-08-01T00:00:00"/>
    <x v="1"/>
    <x v="5"/>
    <n v="0.10238"/>
    <n v="-7.2499999999999995E-4"/>
    <n v="1.2"/>
    <n v="4.5900000000000003E-3"/>
    <n v="1.1310000000000001E-2"/>
    <n v="1.3200000000000001E-4"/>
    <n v="-5.5999999999999999E-5"/>
    <n v="3.8E-3"/>
    <n v="2.5999999999999999E-3"/>
    <m/>
    <n v="9.3193999999999999E-2"/>
    <n v="4.9900000000000005E-3"/>
    <n v="2.4066000000000001E-2"/>
    <n v="5.2794000000000001E-2"/>
    <n v="4.6769999999999997E-3"/>
    <n v="-4.4390000000000002E-3"/>
    <n v="1.0207000000000001E-2"/>
    <n v="3.9439999999999996E-3"/>
    <m/>
    <m/>
    <m/>
    <m/>
    <m/>
  </r>
  <r>
    <n v="2014"/>
    <x v="8"/>
    <d v="2014-09-01T00:00:00"/>
    <x v="1"/>
    <x v="5"/>
    <n v="0.10238"/>
    <n v="-7.2499999999999995E-4"/>
    <n v="1.2"/>
    <n v="4.5900000000000003E-3"/>
    <n v="1.04E-2"/>
    <n v="1.02E-4"/>
    <n v="-5.5999999999999999E-5"/>
    <n v="3.8E-3"/>
    <n v="2.5999999999999999E-3"/>
    <m/>
    <n v="9.4131000000000006E-2"/>
    <n v="5.4939999999999998E-3"/>
    <n v="2.4066000000000001E-2"/>
    <n v="5.2794000000000001E-2"/>
    <n v="2.1350000000000002E-3"/>
    <n v="-8.5190000000000005E-3"/>
    <n v="8.6449999999999999E-3"/>
    <n v="3.9439999999999996E-3"/>
    <m/>
    <m/>
    <m/>
    <m/>
    <m/>
  </r>
  <r>
    <n v="2014"/>
    <x v="9"/>
    <d v="2014-10-01T00:00:00"/>
    <x v="1"/>
    <x v="5"/>
    <n v="8.9069999999999996E-2"/>
    <n v="-7.2499999999999995E-4"/>
    <n v="1.2"/>
    <n v="1.188E-2"/>
    <n v="1.068E-2"/>
    <n v="1.3899999999999999E-4"/>
    <n v="-5.5999999999999999E-5"/>
    <n v="3.8E-3"/>
    <n v="3.0000000000000001E-3"/>
    <m/>
    <n v="9.3037999999999996E-2"/>
    <n v="5.6509999999999998E-3"/>
    <n v="2.4066000000000001E-2"/>
    <n v="5.2794000000000001E-2"/>
    <n v="2.075E-3"/>
    <n v="-5.4840000000000002E-3"/>
    <n v="7.6189999999999999E-3"/>
    <n v="3.9439999999999996E-3"/>
    <m/>
    <m/>
    <m/>
    <m/>
    <m/>
  </r>
  <r>
    <n v="2014"/>
    <x v="10"/>
    <d v="2014-11-01T00:00:00"/>
    <x v="1"/>
    <x v="5"/>
    <n v="8.9069999999999996E-2"/>
    <n v="-7.2499999999999995E-4"/>
    <n v="1.2"/>
    <n v="1.188E-2"/>
    <n v="1.213E-2"/>
    <n v="1.16E-4"/>
    <n v="-5.5999999999999999E-5"/>
    <n v="3.8E-3"/>
    <n v="3.0000000000000001E-3"/>
    <m/>
    <n v="8.6248000000000005E-2"/>
    <n v="5.2570000000000004E-3"/>
    <n v="2.4066000000000001E-2"/>
    <n v="5.2794000000000001E-2"/>
    <n v="1.856E-3"/>
    <n v="3.0409999999999999E-3"/>
    <n v="5.0099999999999997E-3"/>
    <n v="3.9439999999999996E-3"/>
    <m/>
    <m/>
    <m/>
    <m/>
    <m/>
  </r>
  <r>
    <n v="2014"/>
    <x v="11"/>
    <d v="2014-12-01T00:00:00"/>
    <x v="1"/>
    <x v="5"/>
    <n v="8.9069999999999996E-2"/>
    <n v="-7.2499999999999995E-4"/>
    <n v="1.2"/>
    <n v="1.188E-2"/>
    <n v="4.4000000000000003E-3"/>
    <n v="5.1999999999999997E-5"/>
    <n v="-5.5999999999999999E-5"/>
    <n v="3.8E-3"/>
    <n v="3.0000000000000001E-3"/>
    <m/>
    <n v="8.0751000000000003E-2"/>
    <n v="4.5120000000000004E-3"/>
    <n v="2.4066000000000001E-2"/>
    <n v="5.2794000000000001E-2"/>
    <n v="1.173E-3"/>
    <n v="-1.1230000000000001E-3"/>
    <n v="-1.776E-3"/>
    <n v="3.9439999999999996E-3"/>
    <m/>
    <m/>
    <m/>
    <m/>
    <m/>
  </r>
  <r>
    <n v="2015"/>
    <x v="0"/>
    <d v="2015-01-01T00:00:00"/>
    <x v="1"/>
    <x v="6"/>
    <n v="8.9010000000000006E-2"/>
    <n v="0"/>
    <n v="1.2"/>
    <n v="1.188E-2"/>
    <n v="6.2E-4"/>
    <n v="8.0000000000000007E-5"/>
    <n v="-1.0399999999999999E-4"/>
    <n v="4.0000000000000001E-3"/>
    <n v="3.0000000000000001E-3"/>
    <m/>
    <n v="0.1031"/>
    <n v="4.3410000000000002E-3"/>
    <n v="2.4066000000000001E-2"/>
    <n v="5.2794000000000001E-2"/>
    <n v="8.2539999999999992E-3"/>
    <n v="1.003E-3"/>
    <n v="7.9290000000000003E-3"/>
    <n v="3.9439999999999996E-3"/>
    <m/>
    <m/>
    <m/>
    <m/>
    <m/>
  </r>
  <r>
    <n v="2015"/>
    <x v="1"/>
    <d v="2015-02-01T00:00:00"/>
    <x v="1"/>
    <x v="6"/>
    <n v="8.9010000000000006E-2"/>
    <n v="0"/>
    <n v="1.2"/>
    <n v="9.5999999999999992E-3"/>
    <n v="7.0899999999999999E-3"/>
    <n v="5.0000000000000002E-5"/>
    <n v="-1.0399999999999999E-4"/>
    <n v="4.0000000000000001E-3"/>
    <n v="3.0000000000000001E-3"/>
    <m/>
    <n v="0.162437"/>
    <n v="4.7629999999999999E-3"/>
    <n v="2.4066000000000001E-2"/>
    <n v="5.2794000000000001E-2"/>
    <n v="6.5590000000000006E-3"/>
    <n v="-4.5970000000000004E-3"/>
    <n v="-3.2859999999999999E-3"/>
    <n v="3.9439999999999996E-3"/>
    <m/>
    <m/>
    <m/>
    <m/>
    <m/>
  </r>
  <r>
    <n v="2015"/>
    <x v="2"/>
    <d v="2015-03-01T00:00:00"/>
    <x v="1"/>
    <x v="6"/>
    <n v="8.9010000000000006E-2"/>
    <n v="-8.3799999999999999E-4"/>
    <n v="1.2"/>
    <n v="9.5999999999999992E-3"/>
    <n v="1.2699999999999999E-2"/>
    <n v="9.2999999999999997E-5"/>
    <n v="-1.0399999999999999E-4"/>
    <n v="4.0000000000000001E-3"/>
    <n v="3.0000000000000001E-3"/>
    <m/>
    <n v="9.5752000000000004E-2"/>
    <n v="5.2119999999999996E-3"/>
    <n v="2.4066000000000001E-2"/>
    <n v="5.2794000000000001E-2"/>
    <n v="-2.7409999999999999E-3"/>
    <n v="1.3209999999999999E-3"/>
    <n v="-1.3954000000000001E-2"/>
    <n v="3.9439999999999996E-3"/>
    <m/>
    <m/>
    <m/>
    <m/>
    <m/>
  </r>
  <r>
    <n v="2015"/>
    <x v="3"/>
    <d v="2015-04-01T00:00:00"/>
    <x v="1"/>
    <x v="6"/>
    <n v="8.9010000000000006E-2"/>
    <n v="0"/>
    <n v="1.2"/>
    <n v="9.5999999999999992E-3"/>
    <n v="1.4870000000000001E-2"/>
    <n v="1.66E-4"/>
    <n v="-1.0399999999999999E-4"/>
    <n v="4.0000000000000001E-3"/>
    <n v="3.0000000000000001E-3"/>
    <m/>
    <n v="7.0237999999999995E-2"/>
    <n v="4.7470000000000004E-3"/>
    <n v="2.4066000000000001E-2"/>
    <n v="5.0972999999999997E-2"/>
    <n v="3.4600000000000001E-4"/>
    <n v="-1.7110000000000001E-3"/>
    <n v="9.1090000000000008E-3"/>
    <n v="3.9439999999999996E-3"/>
    <m/>
    <m/>
    <m/>
    <m/>
    <m/>
  </r>
  <r>
    <n v="2015"/>
    <x v="4"/>
    <d v="2015-05-01T00:00:00"/>
    <x v="1"/>
    <x v="6"/>
    <n v="8.9010000000000006E-2"/>
    <n v="0"/>
    <n v="1.2"/>
    <n v="9.5999999999999992E-3"/>
    <n v="8.7600000000000004E-3"/>
    <n v="1.02E-4"/>
    <n v="-1.0399999999999999E-4"/>
    <n v="4.0000000000000001E-3"/>
    <n v="3.0000000000000001E-3"/>
    <m/>
    <n v="8.2727999999999996E-2"/>
    <n v="5.7619999999999998E-3"/>
    <n v="2.4066000000000001E-2"/>
    <n v="5.0972999999999997E-2"/>
    <n v="-1.2179999999999999E-3"/>
    <n v="-1.761E-3"/>
    <n v="1.0009000000000001E-2"/>
    <n v="3.9439999999999996E-3"/>
    <m/>
    <m/>
    <m/>
    <m/>
    <m/>
  </r>
  <r>
    <n v="2015"/>
    <x v="5"/>
    <d v="2015-06-01T00:00:00"/>
    <x v="1"/>
    <x v="6"/>
    <n v="0.10231999999999999"/>
    <n v="0"/>
    <n v="1.2"/>
    <n v="9.5999999999999992E-3"/>
    <n v="1.048E-2"/>
    <n v="7.3999999999999996E-5"/>
    <n v="-1.0399999999999999E-4"/>
    <n v="4.0000000000000001E-3"/>
    <n v="3.0000000000000001E-3"/>
    <m/>
    <n v="7.7800999999999995E-2"/>
    <n v="3.8409999999999998E-3"/>
    <n v="2.4066000000000001E-2"/>
    <n v="4.8501999999999997E-2"/>
    <n v="-1.457E-3"/>
    <n v="2.013E-3"/>
    <n v="7.0660000000000002E-3"/>
    <n v="3.9439999999999996E-3"/>
    <m/>
    <m/>
    <m/>
    <m/>
    <m/>
  </r>
  <r>
    <n v="2015"/>
    <x v="6"/>
    <d v="2015-07-01T00:00:00"/>
    <x v="1"/>
    <x v="6"/>
    <n v="0.10231999999999999"/>
    <n v="0"/>
    <n v="1.2"/>
    <n v="9.5999999999999992E-3"/>
    <n v="6.3200000000000001E-3"/>
    <n v="4.6999999999999997E-5"/>
    <n v="-1.0399999999999999E-4"/>
    <n v="4.0000000000000001E-3"/>
    <n v="3.0000000000000001E-3"/>
    <m/>
    <n v="8.3389000000000005E-2"/>
    <n v="4.0049999999999999E-3"/>
    <n v="2.4066000000000001E-2"/>
    <n v="5.0972999999999997E-2"/>
    <n v="-4.2000000000000002E-4"/>
    <n v="8.9400000000000005E-4"/>
    <n v="1.3858000000000001E-2"/>
    <n v="2.3349999999999998E-3"/>
    <m/>
    <m/>
    <m/>
    <m/>
    <m/>
  </r>
  <r>
    <n v="2015"/>
    <x v="7"/>
    <d v="2015-08-01T00:00:00"/>
    <x v="1"/>
    <x v="6"/>
    <n v="0.10231999999999999"/>
    <n v="0"/>
    <n v="1.2"/>
    <n v="4.0000000000000001E-3"/>
    <n v="8.4100000000000008E-3"/>
    <n v="5.0000000000000002E-5"/>
    <n v="-1.0399999999999999E-4"/>
    <n v="4.0000000000000001E-3"/>
    <n v="3.0000000000000001E-3"/>
    <m/>
    <n v="8.4088999999999997E-2"/>
    <n v="4.6719999999999999E-3"/>
    <n v="2.4066000000000001E-2"/>
    <n v="5.0972999999999997E-2"/>
    <n v="-6.3999999999999997E-5"/>
    <n v="-1.0706E-2"/>
    <n v="1.4520999999999999E-2"/>
    <n v="2.3349999999999998E-3"/>
    <m/>
    <m/>
    <m/>
    <m/>
    <m/>
  </r>
  <r>
    <n v="2015"/>
    <x v="8"/>
    <d v="2015-09-01T00:00:00"/>
    <x v="1"/>
    <x v="6"/>
    <n v="0.10231999999999999"/>
    <m/>
    <n v="1.2"/>
    <n v="4.0000000000000001E-3"/>
    <n v="1.0120000000000001E-2"/>
    <n v="6.7000000000000002E-5"/>
    <n v="-1.0399999999999999E-4"/>
    <n v="4.0000000000000001E-3"/>
    <n v="3.0000000000000001E-3"/>
    <m/>
    <n v="8.5597999999999994E-2"/>
    <n v="5.2459999999999998E-3"/>
    <n v="2.4066000000000001E-2"/>
    <n v="5.0972999999999997E-2"/>
    <n v="-1.4E-3"/>
    <n v="-9.4059999999999994E-3"/>
    <n v="8.3840000000000008E-3"/>
    <n v="2.3349999999999998E-3"/>
    <m/>
    <m/>
    <m/>
    <m/>
    <m/>
  </r>
  <r>
    <n v="2015"/>
    <x v="9"/>
    <d v="2015-10-01T00:00:00"/>
    <x v="1"/>
    <x v="6"/>
    <n v="8.9010000000000006E-2"/>
    <m/>
    <n v="1.2"/>
    <n v="4.0000000000000001E-3"/>
    <n v="7.5399999999999998E-3"/>
    <n v="9.2E-5"/>
    <n v="-1.0399999999999999E-4"/>
    <n v="4.0000000000000001E-3"/>
    <n v="2.2000000000000001E-3"/>
    <m/>
    <n v="8.0004000000000006E-2"/>
    <n v="5.8440000000000002E-3"/>
    <n v="2.4066000000000001E-2"/>
    <n v="5.0972999999999997E-2"/>
    <n v="-1.815E-3"/>
    <n v="-9.1990000000000006E-3"/>
    <n v="9.5569999999999995E-3"/>
    <n v="2.3349999999999998E-3"/>
    <m/>
    <m/>
    <m/>
    <m/>
    <m/>
  </r>
  <r>
    <n v="2015"/>
    <x v="10"/>
    <d v="2015-11-01T00:00:00"/>
    <x v="1"/>
    <x v="6"/>
    <n v="8.9010000000000006E-2"/>
    <m/>
    <n v="1.2"/>
    <n v="4.0000000000000001E-3"/>
    <n v="1.1169999999999999E-2"/>
    <n v="6.9999999999999994E-5"/>
    <n v="-1.0399999999999999E-4"/>
    <n v="4.0000000000000001E-3"/>
    <n v="2.2000000000000001E-3"/>
    <m/>
    <n v="5.6686E-2"/>
    <n v="5.4749999999999998E-3"/>
    <n v="2.4066000000000001E-2"/>
    <n v="5.0972999999999997E-2"/>
    <n v="2.6849999999999999E-3"/>
    <n v="3.8769999999999998E-3"/>
    <n v="1.2248E-2"/>
    <n v="2.3349999999999998E-3"/>
    <m/>
    <m/>
    <m/>
    <m/>
    <m/>
  </r>
  <r>
    <n v="2015"/>
    <x v="11"/>
    <d v="2015-12-01T00:00:00"/>
    <x v="1"/>
    <x v="6"/>
    <n v="8.9010000000000006E-2"/>
    <m/>
    <n v="1.2"/>
    <n v="4.0000000000000001E-3"/>
    <n v="9.9500000000000005E-3"/>
    <n v="4.8000000000000001E-5"/>
    <n v="-1.0399999999999999E-4"/>
    <n v="4.0000000000000001E-3"/>
    <n v="2.2000000000000001E-3"/>
    <m/>
    <n v="5.3976999999999997E-2"/>
    <n v="4.2249999999999996E-3"/>
    <n v="2.4066000000000001E-2"/>
    <n v="5.0972999999999997E-2"/>
    <n v="8.4390000000000003E-3"/>
    <n v="-1.0487E-2"/>
    <n v="1.3176999999999999E-2"/>
    <n v="2.3349999999999998E-3"/>
    <m/>
    <m/>
    <m/>
    <m/>
    <m/>
  </r>
  <r>
    <n v="2016"/>
    <x v="0"/>
    <d v="2016-01-01T00:00:00"/>
    <x v="1"/>
    <x v="6"/>
    <n v="8.9010000000000006E-2"/>
    <m/>
    <n v="1.2"/>
    <n v="4.0000000000000001E-3"/>
    <n v="9.5499999999999995E-3"/>
    <n v="1.44E-4"/>
    <n v="-1.2E-4"/>
    <n v="3.8E-3"/>
    <n v="2.2000000000000001E-3"/>
    <m/>
    <n v="7.0134000000000002E-2"/>
    <n v="4.176E-3"/>
    <n v="2.4066000000000001E-2"/>
    <n v="5.0972999999999997E-2"/>
    <n v="1.0838E-2"/>
    <n v="-3.7880000000000001E-3"/>
    <n v="1.1724999999999999E-2"/>
    <n v="2.3349999999999998E-3"/>
    <m/>
    <m/>
    <m/>
    <m/>
    <m/>
  </r>
  <r>
    <n v="2016"/>
    <x v="1"/>
    <d v="2016-02-01T00:00:00"/>
    <x v="1"/>
    <x v="6"/>
    <n v="8.9010000000000006E-2"/>
    <m/>
    <n v="1.2"/>
    <n v="5.2700000000000004E-3"/>
    <n v="6.96E-3"/>
    <n v="2.1600000000000002E-4"/>
    <n v="-1.2E-4"/>
    <n v="3.8E-3"/>
    <n v="2.2000000000000001E-3"/>
    <m/>
    <n v="6.3496999999999998E-2"/>
    <n v="4.4320000000000002E-3"/>
    <n v="2.4066000000000001E-2"/>
    <n v="5.0972999999999997E-2"/>
    <n v="2.1840000000000002E-3"/>
    <n v="-8.5369999999999994E-3"/>
    <n v="1.6475E-2"/>
    <n v="2.3349999999999998E-3"/>
    <m/>
    <m/>
    <m/>
    <m/>
    <m/>
  </r>
  <r>
    <n v="2016"/>
    <x v="2"/>
    <d v="2016-03-01T00:00:00"/>
    <x v="1"/>
    <x v="6"/>
    <n v="8.9010000000000006E-2"/>
    <m/>
    <n v="1.2"/>
    <n v="5.2700000000000004E-3"/>
    <n v="1.7420000000000001E-2"/>
    <n v="1.55E-4"/>
    <n v="-1.2E-4"/>
    <n v="6.1999999999999998E-3"/>
    <n v="0"/>
    <m/>
    <n v="5.4301000000000002E-2"/>
    <n v="4.8339999999999998E-3"/>
    <n v="2.4066000000000001E-2"/>
    <n v="5.0972999999999997E-2"/>
    <n v="7.8080000000000007E-3"/>
    <n v="-3.715E-3"/>
    <n v="2.4014999999999998E-2"/>
    <n v="2.3349999999999998E-3"/>
    <m/>
    <m/>
    <m/>
    <m/>
    <m/>
  </r>
  <r>
    <n v="2016"/>
    <x v="3"/>
    <d v="2016-04-01T00:00:00"/>
    <x v="1"/>
    <x v="6"/>
    <n v="8.9010000000000006E-2"/>
    <m/>
    <n v="1.2"/>
    <n v="5.2700000000000004E-3"/>
    <n v="1.482E-2"/>
    <n v="1.7799999999999999E-4"/>
    <n v="-1.2E-4"/>
    <n v="6.1999999999999998E-3"/>
    <n v="0"/>
    <m/>
    <n v="6.2185999999999998E-2"/>
    <n v="5.8979999999999996E-3"/>
    <n v="2.4066000000000001E-2"/>
    <n v="5.1073E-2"/>
    <n v="-1.97E-3"/>
    <n v="1.7349999999999998E-3"/>
    <n v="2.0944000000000004E-2"/>
    <n v="2.3349999999999998E-3"/>
    <m/>
    <m/>
    <m/>
    <m/>
    <m/>
  </r>
  <r>
    <n v="2016"/>
    <x v="4"/>
    <d v="2016-05-01T00:00:00"/>
    <x v="1"/>
    <x v="6"/>
    <n v="8.9010000000000006E-2"/>
    <m/>
    <n v="1.2"/>
    <n v="5.2700000000000004E-3"/>
    <n v="1.0699999999999999E-2"/>
    <n v="1.34E-4"/>
    <n v="-1.2E-4"/>
    <n v="6.1999999999999998E-3"/>
    <n v="0"/>
    <m/>
    <n v="6.7198999999999995E-2"/>
    <n v="5.1279999999999997E-3"/>
    <n v="2.4066000000000001E-2"/>
    <n v="5.1073E-2"/>
    <n v="2.1350000000000002E-3"/>
    <n v="-1.4971999999999999E-2"/>
    <n v="1.0357E-2"/>
    <n v="2.3349999999999998E-3"/>
    <m/>
    <m/>
    <m/>
    <m/>
    <m/>
  </r>
  <r>
    <n v="2016"/>
    <x v="5"/>
    <d v="2016-06-01T00:00:00"/>
    <x v="1"/>
    <x v="6"/>
    <n v="0.10231999999999999"/>
    <m/>
    <n v="1.2"/>
    <n v="5.2700000000000004E-3"/>
    <n v="1.163E-2"/>
    <n v="7.3999999999999996E-5"/>
    <n v="-1.2E-4"/>
    <n v="6.1999999999999998E-3"/>
    <n v="0"/>
    <m/>
    <n v="6.9626999999999994E-2"/>
    <n v="4.6480000000000002E-3"/>
    <n v="2.4066000000000001E-2"/>
    <n v="5.0691E-2"/>
    <n v="5.8699999999999996E-4"/>
    <n v="1.32E-3"/>
    <n v="1.5719E-2"/>
    <n v="2.3349999999999998E-3"/>
    <m/>
    <m/>
    <m/>
    <m/>
    <m/>
  </r>
  <r>
    <n v="2016"/>
    <x v="6"/>
    <d v="2016-07-01T00:00:00"/>
    <x v="1"/>
    <x v="6"/>
    <n v="0.10231999999999999"/>
    <m/>
    <n v="1.2"/>
    <n v="5.2700000000000004E-3"/>
    <n v="9.9399999999999992E-3"/>
    <n v="5.8999999999999998E-5"/>
    <n v="-1.2E-4"/>
    <n v="6.1999999999999998E-3"/>
    <n v="0"/>
    <m/>
    <n v="8.0902000000000002E-2"/>
    <n v="4.3779999999999999E-3"/>
    <n v="2.4066000000000001E-2"/>
    <n v="5.1073E-2"/>
    <n v="2.3519999999999999E-3"/>
    <n v="-5.4169999999999999E-3"/>
    <n v="5.5820000000000002E-3"/>
    <n v="1.258E-3"/>
    <m/>
    <m/>
    <m/>
    <m/>
    <m/>
  </r>
  <r>
    <n v="2016"/>
    <x v="7"/>
    <d v="2016-08-01T00:00:00"/>
    <x v="1"/>
    <x v="6"/>
    <n v="0.10231999999999999"/>
    <m/>
    <n v="1.2"/>
    <n v="7.5199999999999998E-3"/>
    <n v="9.0200000000000002E-3"/>
    <n v="1.07E-4"/>
    <n v="-1.2E-4"/>
    <n v="6.1999999999999998E-3"/>
    <n v="0"/>
    <m/>
    <n v="8.1569000000000003E-2"/>
    <n v="4.666E-3"/>
    <n v="2.4066000000000001E-2"/>
    <n v="5.1073E-2"/>
    <n v="-2.281E-3"/>
    <n v="-1.3391E-2"/>
    <n v="9.1280000000000007E-3"/>
    <n v="1.258E-3"/>
    <m/>
    <m/>
    <m/>
    <m/>
    <m/>
  </r>
  <r>
    <n v="2016"/>
    <x v="8"/>
    <d v="2016-09-01T00:00:00"/>
    <x v="1"/>
    <x v="6"/>
    <n v="0.10231999999999999"/>
    <n v="0"/>
    <n v="1.2"/>
    <n v="7.5199999999999998E-3"/>
    <n v="1.0829999999999999E-2"/>
    <n v="1.05E-4"/>
    <n v="-1.2E-4"/>
    <n v="6.1999999999999998E-3"/>
    <n v="0"/>
    <m/>
    <n v="7.0784E-2"/>
    <n v="5.3249999999999999E-3"/>
    <n v="2.4066000000000001E-2"/>
    <n v="5.1073E-2"/>
    <n v="-9.0499999999999999E-4"/>
    <n v="-6.6369999999999997E-3"/>
    <n v="8.1700000000000002E-3"/>
    <n v="1.258E-3"/>
    <m/>
    <m/>
    <m/>
    <m/>
    <m/>
  </r>
  <r>
    <n v="2016"/>
    <x v="9"/>
    <d v="2016-10-01T00:00:00"/>
    <x v="1"/>
    <x v="6"/>
    <n v="8.9010000000000006E-2"/>
    <n v="0"/>
    <n v="1.2"/>
    <n v="7.5199999999999998E-3"/>
    <n v="1.042E-2"/>
    <n v="6.4999999999999994E-5"/>
    <n v="-1.2E-4"/>
    <n v="6.1999999999999998E-3"/>
    <n v="0"/>
    <m/>
    <n v="6.3924999999999996E-2"/>
    <n v="5.8919999999999997E-3"/>
    <n v="2.4066000000000001E-2"/>
    <n v="5.1073E-2"/>
    <n v="1.542E-3"/>
    <n v="-8.1449999999999995E-3"/>
    <n v="1.4955E-2"/>
    <n v="1.258E-3"/>
    <m/>
    <m/>
    <m/>
    <m/>
    <m/>
  </r>
  <r>
    <n v="2016"/>
    <x v="10"/>
    <d v="2016-11-01T00:00:00"/>
    <x v="1"/>
    <x v="6"/>
    <n v="8.9010000000000006E-2"/>
    <n v="0"/>
    <n v="1.2"/>
    <n v="7.5199999999999998E-3"/>
    <n v="1.4659999999999999E-2"/>
    <n v="8.2999999999999998E-5"/>
    <n v="-1.2E-4"/>
    <n v="6.1999999999999998E-3"/>
    <n v="0"/>
    <m/>
    <n v="4.7875000000000001E-2"/>
    <n v="5.4489999999999999E-3"/>
    <n v="2.4066000000000001E-2"/>
    <n v="5.1073E-2"/>
    <n v="4.0569999999999998E-3"/>
    <n v="-3.7390000000000001E-3"/>
    <n v="1.8825999999999999E-2"/>
    <n v="1.258E-3"/>
    <m/>
    <m/>
    <m/>
    <m/>
    <m/>
  </r>
  <r>
    <n v="2016"/>
    <x v="11"/>
    <d v="2016-12-01T00:00:00"/>
    <x v="1"/>
    <x v="6"/>
    <n v="8.9010000000000006E-2"/>
    <n v="0"/>
    <n v="1.2"/>
    <n v="7.5199999999999998E-3"/>
    <n v="1.2200000000000001E-2"/>
    <n v="1.16E-4"/>
    <n v="-1.2E-4"/>
    <n v="6.1999999999999998E-3"/>
    <n v="0"/>
    <m/>
    <n v="6.9762000000000005E-2"/>
    <n v="4.254E-3"/>
    <n v="2.4066000000000001E-2"/>
    <n v="5.1073E-2"/>
    <n v="9.9649999999999999E-3"/>
    <n v="-6.202E-3"/>
    <n v="9.4299999999999991E-3"/>
    <n v="1.258E-3"/>
    <m/>
    <m/>
    <m/>
    <m/>
    <m/>
  </r>
  <r>
    <n v="2017"/>
    <x v="0"/>
    <d v="2017-01-01T00:00:00"/>
    <x v="1"/>
    <x v="6"/>
    <n v="8.9010000000000006E-2"/>
    <n v="0"/>
    <n v="1.2"/>
    <n v="7.5199999999999998E-3"/>
    <n v="7.2300000000000003E-3"/>
    <n v="1.8599999999999999E-4"/>
    <n v="-7.8999999999999996E-5"/>
    <n v="6.6999999999999994E-3"/>
    <n v="0"/>
    <m/>
    <n v="6.4454999999999998E-2"/>
    <n v="4.1999999999999997E-3"/>
    <n v="2.4066000000000001E-2"/>
    <n v="5.1073E-2"/>
    <n v="5.927E-3"/>
    <n v="-1.493E-3"/>
    <n v="-7.6579999999999999E-3"/>
    <n v="1.258E-3"/>
    <m/>
    <m/>
    <m/>
    <m/>
    <m/>
  </r>
  <r>
    <n v="2017"/>
    <x v="1"/>
    <d v="2017-02-01T00:00:00"/>
    <x v="1"/>
    <x v="7"/>
    <n v="9.6269999999999994E-2"/>
    <n v="6.7100000000000005E-4"/>
    <n v="1.2"/>
    <n v="1.6800000000000001E-3"/>
    <n v="1.1039999999999999E-2"/>
    <n v="1.84E-4"/>
    <n v="-7.8999999999999996E-5"/>
    <n v="6.6999999999999994E-3"/>
    <n v="0"/>
    <m/>
    <n v="5.2235999999999998E-2"/>
    <n v="3.8930000000000002E-3"/>
    <n v="2.4066000000000001E-2"/>
    <n v="5.1073E-2"/>
    <n v="1.6469000000000001E-2"/>
    <n v="-5.0639999999999999E-3"/>
    <n v="2.0227999999999999E-2"/>
    <n v="1.258E-3"/>
    <m/>
    <m/>
    <m/>
    <m/>
    <m/>
  </r>
  <r>
    <n v="2017"/>
    <x v="2"/>
    <d v="2017-03-01T00:00:00"/>
    <x v="1"/>
    <x v="7"/>
    <n v="9.6269999999999994E-2"/>
    <n v="6.7100000000000005E-4"/>
    <n v="1.2"/>
    <n v="1.6800000000000001E-3"/>
    <n v="1.405E-2"/>
    <n v="1.0900000000000001E-4"/>
    <n v="-7.8999999999999996E-5"/>
    <n v="6.6999999999999994E-3"/>
    <n v="0"/>
    <m/>
    <n v="5.9171000000000001E-2"/>
    <n v="3.954E-3"/>
    <n v="2.4066000000000001E-2"/>
    <n v="5.1073E-2"/>
    <n v="6.0499999999999996E-4"/>
    <n v="-3.5769999999999999E-3"/>
    <n v="2.2492000000000002E-2"/>
    <n v="1.258E-3"/>
    <m/>
    <m/>
    <m/>
    <m/>
    <m/>
  </r>
  <r>
    <n v="2017"/>
    <x v="3"/>
    <d v="2017-04-01T00:00:00"/>
    <x v="1"/>
    <x v="7"/>
    <n v="9.6269999999999994E-2"/>
    <n v="6.7100000000000005E-4"/>
    <n v="1.2"/>
    <n v="1.6800000000000001E-3"/>
    <n v="1.2070000000000001E-2"/>
    <n v="1.3899999999999999E-4"/>
    <n v="-7.8999999999999996E-5"/>
    <n v="6.6999999999999994E-3"/>
    <n v="0"/>
    <m/>
    <n v="5.4820000000000001E-2"/>
    <n v="3.4220000000000001E-3"/>
    <n v="2.4066000000000001E-2"/>
    <n v="5.0516999999999999E-2"/>
    <n v="-1.55E-4"/>
    <n v="-7.3980000000000001E-3"/>
    <n v="1.7446E-2"/>
    <n v="1.258E-3"/>
    <n v="0"/>
    <n v="3.2719999999999997E-3"/>
    <m/>
    <m/>
    <m/>
  </r>
  <r>
    <n v="2017"/>
    <x v="4"/>
    <d v="2017-05-01T00:00:00"/>
    <x v="1"/>
    <x v="7"/>
    <n v="9.6269999999999994E-2"/>
    <n v="6.7100000000000005E-4"/>
    <n v="1.2"/>
    <n v="1.6800000000000001E-3"/>
    <n v="3.47E-3"/>
    <n v="1.21E-4"/>
    <n v="-7.8999999999999996E-5"/>
    <n v="6.6999999999999994E-3"/>
    <n v="0"/>
    <m/>
    <n v="8.0496999999999999E-2"/>
    <n v="4.3639999999999998E-3"/>
    <n v="2.4066000000000001E-2"/>
    <n v="5.0516999999999999E-2"/>
    <n v="6.0689999999999997E-3"/>
    <n v="-1.5219999999999999E-3"/>
    <n v="1.5899E-2"/>
    <n v="1.258E-3"/>
    <n v="0"/>
    <n v="3.2719999999999997E-3"/>
    <m/>
    <m/>
    <m/>
  </r>
  <r>
    <n v="2017"/>
    <x v="5"/>
    <d v="2017-06-01T00:00:00"/>
    <x v="1"/>
    <x v="7"/>
    <n v="0.11067"/>
    <n v="6.7100000000000005E-4"/>
    <n v="1.2"/>
    <n v="1.6800000000000001E-3"/>
    <n v="6.1599999999999997E-3"/>
    <n v="1.5E-5"/>
    <n v="-7.8999999999999996E-5"/>
    <n v="6.6999999999999994E-3"/>
    <n v="0"/>
    <m/>
    <n v="7.9344999999999999E-2"/>
    <n v="3.8779999999999999E-3"/>
    <n v="2.4066000000000001E-2"/>
    <n v="4.7925000000000009E-2"/>
    <n v="2.6489999999999999E-3"/>
    <n v="-1.9910000000000001E-3"/>
    <n v="1.0965000000000001E-2"/>
    <n v="1.258E-3"/>
    <n v="0"/>
    <n v="3.2719999999999997E-3"/>
    <m/>
    <m/>
    <m/>
  </r>
  <r>
    <n v="2017"/>
    <x v="6"/>
    <d v="2017-07-01T00:00:00"/>
    <x v="1"/>
    <x v="7"/>
    <n v="0.11067"/>
    <n v="6.7100000000000005E-4"/>
    <n v="1.2"/>
    <n v="1.6800000000000001E-3"/>
    <n v="5.2399999999999999E-3"/>
    <n v="4.0000000000000003E-5"/>
    <n v="-7.8999999999999996E-5"/>
    <n v="6.6999999999999994E-3"/>
    <n v="0"/>
    <m/>
    <n v="8.2488000000000006E-2"/>
    <n v="3.7950000000000002E-3"/>
    <n v="2.4066000000000001E-2"/>
    <n v="5.0516999999999999E-2"/>
    <n v="1.7750000000000001E-3"/>
    <n v="-8.097E-3"/>
    <n v="5.2820000000000002E-3"/>
    <n v="1.1850000000000001E-3"/>
    <n v="0"/>
    <n v="3.2719999999999997E-3"/>
    <m/>
    <m/>
    <m/>
  </r>
  <r>
    <n v="2017"/>
    <x v="7"/>
    <d v="2017-08-01T00:00:00"/>
    <x v="1"/>
    <x v="7"/>
    <n v="0.11067"/>
    <n v="6.7100000000000005E-4"/>
    <n v="1.2"/>
    <n v="3.3500000000000001E-3"/>
    <n v="5.4299999999999999E-3"/>
    <n v="4.8999999999999998E-5"/>
    <n v="-7.8999999999999996E-5"/>
    <n v="6.6999999999999994E-3"/>
    <n v="0"/>
    <m/>
    <n v="7.6877000000000001E-2"/>
    <n v="4.0629999999999998E-3"/>
    <n v="2.4066000000000001E-2"/>
    <n v="5.0516999999999999E-2"/>
    <n v="2.4190000000000001E-3"/>
    <n v="-1.1750999999999999E-2"/>
    <n v="6.3930000000000002E-3"/>
    <n v="1.1850000000000001E-3"/>
    <n v="0"/>
    <n v="3.2719999999999997E-3"/>
    <m/>
    <m/>
    <m/>
  </r>
  <r>
    <n v="2017"/>
    <x v="8"/>
    <d v="2017-09-01T00:00:00"/>
    <x v="1"/>
    <x v="7"/>
    <n v="0.11067"/>
    <n v="6.7100000000000005E-4"/>
    <n v="1.2"/>
    <n v="3.3500000000000001E-3"/>
    <n v="6.5900000000000004E-3"/>
    <n v="6.0000000000000002E-5"/>
    <n v="-7.8999999999999996E-5"/>
    <n v="6.6999999999999994E-3"/>
    <n v="0"/>
    <m/>
    <n v="7.3622999999999994E-2"/>
    <n v="4.4980000000000003E-3"/>
    <n v="2.4066000000000001E-2"/>
    <n v="5.0516999999999999E-2"/>
    <n v="2.7000000000000001E-3"/>
    <n v="-1.2829999999999999E-2"/>
    <n v="1.5217E-2"/>
    <n v="1.1850000000000001E-3"/>
    <n v="0"/>
    <n v="3.2719999999999997E-3"/>
    <m/>
    <m/>
    <m/>
  </r>
  <r>
    <n v="2017"/>
    <x v="9"/>
    <d v="2017-10-01T00:00:00"/>
    <x v="1"/>
    <x v="7"/>
    <n v="9.6269999999999994E-2"/>
    <n v="6.7100000000000005E-4"/>
    <n v="1.2"/>
    <n v="3.3500000000000001E-3"/>
    <n v="5.8500000000000002E-3"/>
    <n v="6.0999999999999999E-5"/>
    <n v="-7.8999999999999996E-5"/>
    <n v="6.7000000000000002E-3"/>
    <n v="0"/>
    <m/>
    <n v="7.5721999999999998E-2"/>
    <n v="4.398E-3"/>
    <n v="2.4066000000000001E-2"/>
    <n v="5.0516999999999999E-2"/>
    <n v="3.9039999999999999E-3"/>
    <n v="-1.3148E-2"/>
    <n v="1.4765E-2"/>
    <n v="1.1850000000000001E-3"/>
    <n v="0"/>
    <n v="3.2720000000000002E-3"/>
    <m/>
    <m/>
    <m/>
  </r>
  <r>
    <n v="2017"/>
    <x v="10"/>
    <d v="2017-11-01T00:00:00"/>
    <x v="1"/>
    <x v="7"/>
    <n v="9.6269999999999994E-2"/>
    <n v="6.7100000000000005E-4"/>
    <n v="1.2"/>
    <n v="3.3500000000000001E-3"/>
    <n v="1.091E-2"/>
    <n v="7.2000000000000002E-5"/>
    <n v="-7.8999999999999996E-5"/>
    <n v="6.7000000000000002E-3"/>
    <m/>
    <m/>
    <n v="4.7704999999999997E-2"/>
    <n v="4.0169999999999997E-3"/>
    <n v="2.4066000000000001E-2"/>
    <n v="5.0516999999999999E-2"/>
    <n v="1.529E-3"/>
    <n v="-1.094E-2"/>
    <n v="1.7125000000000001E-2"/>
    <n v="1.1850000000000001E-3"/>
    <n v="0"/>
    <n v="3.2720000000000002E-3"/>
    <m/>
    <m/>
    <m/>
  </r>
  <r>
    <n v="2017"/>
    <x v="11"/>
    <d v="2017-12-01T00:00:00"/>
    <x v="1"/>
    <x v="7"/>
    <n v="9.6269999999999994E-2"/>
    <n v="6.7100000000000005E-4"/>
    <n v="1.2"/>
    <n v="3.3500000000000001E-3"/>
    <n v="8.3999999999999995E-3"/>
    <n v="7.4999999999999993E-5"/>
    <n v="-7.8999999999999996E-5"/>
    <n v="6.7000000000000002E-3"/>
    <m/>
    <m/>
    <n v="6.9903000000000007E-2"/>
    <n v="4.0559999999999997E-3"/>
    <n v="2.4066000000000001E-2"/>
    <n v="5.0516999999999999E-2"/>
    <n v="2.8050000000000002E-3"/>
    <n v="-1.5989999999999999E-3"/>
    <n v="5.7199999999999994E-3"/>
    <n v="2.003E-3"/>
    <n v="0"/>
    <n v="3.2720000000000002E-3"/>
    <m/>
    <m/>
    <m/>
  </r>
  <r>
    <n v="2018"/>
    <x v="0"/>
    <d v="2018-01-01T00:00:00"/>
    <x v="1"/>
    <x v="8"/>
    <n v="0.10221"/>
    <n v="0"/>
    <n v="1.2"/>
    <n v="3.3500000000000001E-3"/>
    <n v="5.1399999999999996E-3"/>
    <n v="8.0000000000000007E-5"/>
    <n v="-6.9999999999999999E-6"/>
    <n v="6.7999999999999996E-3"/>
    <m/>
    <m/>
    <n v="0.12045500000000001"/>
    <n v="4.0070000000000001E-3"/>
    <n v="2.4066000000000001E-2"/>
    <n v="5.0516999999999999E-2"/>
    <n v="2.1640000000000001E-3"/>
    <n v="-2.3314000000000001E-2"/>
    <n v="-1.7694000000000001E-2"/>
    <n v="0"/>
    <n v="0"/>
    <n v="3.2720000000000002E-3"/>
    <m/>
    <m/>
    <m/>
  </r>
  <r>
    <n v="2018"/>
    <x v="1"/>
    <d v="2018-02-01T00:00:00"/>
    <x v="1"/>
    <x v="8"/>
    <n v="0.10221"/>
    <n v="0"/>
    <n v="1.2"/>
    <n v="5.9199999999999999E-3"/>
    <n v="5.6499999999999996E-3"/>
    <n v="8.7000000000000001E-5"/>
    <n v="-6.9999999999999999E-6"/>
    <n v="6.7999999999999996E-3"/>
    <m/>
    <m/>
    <n v="5.2739000000000001E-2"/>
    <n v="3.898E-3"/>
    <n v="2.4066000000000001E-2"/>
    <n v="5.0516999999999999E-2"/>
    <n v="-8.7500000000000002E-4"/>
    <n v="3.6180999999999998E-2"/>
    <n v="-2.4358999999999999E-2"/>
    <n v="0"/>
    <n v="0"/>
    <n v="3.2720000000000002E-3"/>
    <m/>
    <m/>
    <m/>
  </r>
  <r>
    <n v="2018"/>
    <x v="2"/>
    <d v="2018-03-01T00:00:00"/>
    <x v="1"/>
    <x v="8"/>
    <n v="0.10221"/>
    <n v="4.2499999999999998E-4"/>
    <n v="1.2"/>
    <n v="5.9199999999999999E-3"/>
    <n v="8.94E-3"/>
    <n v="2.8E-5"/>
    <n v="-6.9999999999999999E-6"/>
    <n v="6.7999999999999996E-3"/>
    <m/>
    <m/>
    <n v="5.0159000000000002E-2"/>
    <n v="5.1370000000000001E-3"/>
    <n v="2.4066000000000001E-2"/>
    <n v="5.0516999999999999E-2"/>
    <n v="5.0489999999999997E-3"/>
    <n v="-2.9989999999999999E-3"/>
    <n v="2.5770999999999999E-2"/>
    <n v="0"/>
    <n v="0"/>
    <n v="3.2720000000000002E-3"/>
    <m/>
    <m/>
    <m/>
  </r>
  <r>
    <n v="2018"/>
    <x v="3"/>
    <d v="2018-04-01T00:00:00"/>
    <x v="1"/>
    <x v="8"/>
    <n v="0.10221"/>
    <n v="0"/>
    <n v="1.2"/>
    <n v="5.9199999999999999E-3"/>
    <n v="1.102E-2"/>
    <n v="-1.9000000000000001E-5"/>
    <n v="-6.9999999999999999E-6"/>
    <n v="6.7999999999999996E-3"/>
    <m/>
    <m/>
    <n v="5.3288000000000002E-2"/>
    <n v="6.5240000000000003E-3"/>
    <n v="2.4066000000000001E-2"/>
    <n v="4.9891999999999999E-2"/>
    <n v="-1.222E-3"/>
    <n v="-2.6319999999999998E-3"/>
    <n v="2.5222000000000001E-2"/>
    <n v="0"/>
    <n v="0"/>
    <n v="3.8070000000000001E-3"/>
    <m/>
    <m/>
    <m/>
  </r>
  <r>
    <n v="2018"/>
    <x v="4"/>
    <d v="2018-05-01T00:00:00"/>
    <x v="1"/>
    <x v="8"/>
    <n v="0.10221"/>
    <n v="0"/>
    <n v="1.2"/>
    <n v="5.9199999999999999E-3"/>
    <n v="4.9100000000000003E-3"/>
    <n v="1.1400000000000001E-4"/>
    <n v="-6.9999999999999999E-6"/>
    <n v="6.7999999999999996E-3"/>
    <m/>
    <m/>
    <n v="8.1305000000000002E-2"/>
    <n v="4.0249999999999999E-3"/>
    <n v="2.4066000000000001E-2"/>
    <n v="4.9891999999999999E-2"/>
    <n v="-3.1510000000000002E-3"/>
    <n v="6.0800000000000003E-4"/>
    <n v="1.3719E-2"/>
    <n v="0"/>
    <n v="0"/>
    <n v="3.8070000000000001E-3"/>
    <m/>
    <m/>
    <m/>
  </r>
  <r>
    <n v="2018"/>
    <x v="5"/>
    <d v="2018-06-01T00:00:00"/>
    <x v="1"/>
    <x v="8"/>
    <n v="0.11749"/>
    <n v="0"/>
    <n v="1.2"/>
    <n v="5.9199999999999999E-3"/>
    <n v="6.3299999999999997E-3"/>
    <n v="3.6000000000000001E-5"/>
    <n v="-6.9999999999999999E-6"/>
    <n v="6.7999999999999996E-3"/>
    <m/>
    <m/>
    <n v="8.5657999999999998E-2"/>
    <n v="4.2399999999999998E-3"/>
    <n v="2.4066000000000001E-2"/>
    <n v="4.9891999999999999E-2"/>
    <n v="3.0370000000000002E-3"/>
    <n v="-1.802E-3"/>
    <n v="8.0680000000000005E-3"/>
    <n v="0"/>
    <n v="0"/>
    <n v="3.8070000000000001E-3"/>
    <n v="1.5E-3"/>
    <m/>
    <m/>
  </r>
  <r>
    <n v="2018"/>
    <x v="6"/>
    <d v="2018-07-01T00:00:00"/>
    <x v="1"/>
    <x v="8"/>
    <n v="0.11749"/>
    <n v="0"/>
    <n v="1.2"/>
    <n v="5.9199999999999999E-3"/>
    <n v="5.1799999999999997E-3"/>
    <n v="5.0000000000000004E-6"/>
    <n v="-6.9999999999999999E-6"/>
    <n v="6.7999999999999996E-3"/>
    <m/>
    <m/>
    <n v="9.3205999999999997E-2"/>
    <n v="4.1460000000000004E-3"/>
    <n v="2.4066000000000001E-2"/>
    <n v="4.9891999999999999E-2"/>
    <n v="2.9250000000000001E-3"/>
    <n v="-4.6E-5"/>
    <n v="-3.2400000000000001E-4"/>
    <n v="0"/>
    <n v="0"/>
    <n v="3.8070000000000001E-3"/>
    <n v="1.5E-3"/>
    <m/>
    <m/>
  </r>
  <r>
    <n v="2018"/>
    <x v="7"/>
    <d v="2018-08-01T00:00:00"/>
    <x v="1"/>
    <x v="8"/>
    <n v="0.11749"/>
    <n v="0"/>
    <n v="1.2"/>
    <n v="6.45E-3"/>
    <n v="5.1399999999999996E-3"/>
    <n v="6.9999999999999994E-5"/>
    <n v="-6.9999999999999999E-6"/>
    <n v="6.7999999999999996E-3"/>
    <m/>
    <m/>
    <n v="9.5276E-2"/>
    <n v="4.3379999999999998E-3"/>
    <n v="2.4066000000000001E-2"/>
    <n v="4.9891999999999999E-2"/>
    <n v="1.751E-3"/>
    <n v="-3.4907000000000001E-2"/>
    <n v="6.2779999999999997E-3"/>
    <n v="0"/>
    <n v="0"/>
    <n v="3.8070000000000001E-3"/>
    <n v="1.5E-3"/>
    <m/>
    <m/>
  </r>
  <r>
    <n v="2018"/>
    <x v="8"/>
    <d v="2018-09-01T00:00:00"/>
    <x v="1"/>
    <x v="8"/>
    <n v="0.11749"/>
    <n v="0"/>
    <n v="1.2"/>
    <n v="6.45E-3"/>
    <n v="8.3999999999999995E-3"/>
    <n v="8.7000000000000001E-5"/>
    <n v="-6.9999999999999999E-6"/>
    <n v="6.7999999999999996E-3"/>
    <m/>
    <m/>
    <n v="9.0418999999999999E-2"/>
    <n v="4.9890000000000004E-3"/>
    <n v="2.4066000000000001E-2"/>
    <n v="4.9891999999999999E-2"/>
    <n v="5.7799999999999995E-4"/>
    <n v="-2.0049999999999998E-3"/>
    <n v="-3.9680000000000002E-3"/>
    <n v="0"/>
    <n v="0"/>
    <n v="3.8070000000000001E-3"/>
    <n v="1.5E-3"/>
    <m/>
    <m/>
  </r>
  <r>
    <n v="2018"/>
    <x v="9"/>
    <d v="2018-10-01T00:00:00"/>
    <x v="1"/>
    <x v="8"/>
    <n v="0.10221"/>
    <n v="0"/>
    <n v="1.2"/>
    <n v="6.45E-3"/>
    <n v="6.4099999999999999E-3"/>
    <n v="6.2000000000000003E-5"/>
    <n v="-6.9999999999999999E-6"/>
    <n v="6.7999999999999996E-3"/>
    <m/>
    <m/>
    <n v="8.9620000000000005E-2"/>
    <n v="4.908E-3"/>
    <n v="2.4066000000000001E-2"/>
    <n v="4.9891999999999999E-2"/>
    <n v="-7.3700000000000002E-4"/>
    <n v="-4.2009999999999999E-3"/>
    <n v="5.5160000000000001E-3"/>
    <n v="0"/>
    <n v="0"/>
    <n v="3.8070000000000001E-3"/>
    <n v="1.5E-3"/>
    <m/>
    <m/>
  </r>
  <r>
    <n v="2018"/>
    <x v="10"/>
    <d v="2018-11-01T00:00:00"/>
    <x v="1"/>
    <x v="8"/>
    <n v="0.10221"/>
    <n v="0"/>
    <n v="1.2"/>
    <n v="-7.7999999999999999E-4"/>
    <n v="1.272E-2"/>
    <n v="5.8999999999999998E-5"/>
    <n v="-6.9999999999999999E-6"/>
    <n v="6.7999999999999996E-3"/>
    <m/>
    <m/>
    <n v="6.2331999999999999E-2"/>
    <n v="4.7140000000000003E-3"/>
    <n v="2.4066000000000001E-2"/>
    <n v="4.9891999999999999E-2"/>
    <n v="4.1199999999999999E-4"/>
    <n v="-9.1380000000000003E-3"/>
    <n v="8.7189999999999993E-3"/>
    <n v="0"/>
    <n v="0"/>
    <n v="3.8070000000000001E-3"/>
    <n v="1.5E-3"/>
    <m/>
    <m/>
  </r>
  <r>
    <n v="2018"/>
    <x v="11"/>
    <d v="2018-12-01T00:00:00"/>
    <x v="1"/>
    <x v="8"/>
    <n v="0.10221"/>
    <n v="0"/>
    <n v="1.2"/>
    <n v="-7.7999999999999999E-4"/>
    <n v="1.0359999999999999E-2"/>
    <n v="4.1999999999999998E-5"/>
    <n v="-6.9999999999999999E-6"/>
    <n v="6.7999999999999996E-3"/>
    <m/>
    <m/>
    <n v="6.3325999999999993E-2"/>
    <n v="4.28E-3"/>
    <n v="2.4066000000000001E-2"/>
    <n v="4.9891999999999999E-2"/>
    <n v="-3.4120000000000001E-3"/>
    <n v="-7.0419999999999996E-3"/>
    <n v="1.426E-3"/>
    <n v="0"/>
    <n v="0"/>
    <n v="3.8070000000000001E-3"/>
    <n v="1.5E-3"/>
    <m/>
    <m/>
  </r>
  <r>
    <n v="2019"/>
    <x v="0"/>
    <d v="2019-01-01T00:00:00"/>
    <x v="1"/>
    <x v="9"/>
    <n v="0.10817"/>
    <n v="0"/>
    <n v="1.2"/>
    <n v="-7.7999999999999999E-4"/>
    <n v="7.3000000000000001E-3"/>
    <n v="6.9999999999999994E-5"/>
    <n v="0"/>
    <n v="6.7999999999999996E-3"/>
    <m/>
    <m/>
    <n v="7.4443999999999996E-2"/>
    <n v="3.9560000000000003E-3"/>
    <n v="2.4066000000000001E-2"/>
    <n v="4.9891999999999999E-2"/>
    <n v="4.4000000000000002E-4"/>
    <n v="-4.444E-3"/>
    <n v="9.2079999999999992E-3"/>
    <n v="0"/>
    <n v="0"/>
    <n v="3.8070000000000001E-3"/>
    <n v="1.5E-3"/>
    <n v="-7.4999999999999997E-3"/>
    <m/>
  </r>
  <r>
    <n v="2019"/>
    <x v="1"/>
    <d v="2019-02-01T00:00:00"/>
    <x v="1"/>
    <x v="9"/>
    <n v="0.10817"/>
    <n v="0"/>
    <n v="1.2"/>
    <n v="-8.9999999999999998E-4"/>
    <n v="9.3299999999999998E-3"/>
    <n v="6.7999999999999999E-5"/>
    <n v="0"/>
    <n v="6.7999999999999996E-3"/>
    <m/>
    <m/>
    <n v="5.6105000000000002E-2"/>
    <n v="4.0559999999999997E-3"/>
    <n v="2.4066000000000001E-2"/>
    <n v="4.9891999999999999E-2"/>
    <n v="-1.7799999999999999E-3"/>
    <n v="-9.2929999999999992E-3"/>
    <n v="1.3044E-2"/>
    <n v="0"/>
    <n v="0"/>
    <n v="3.8070000000000001E-3"/>
    <n v="1.5E-3"/>
    <n v="-7.4999999999999997E-3"/>
    <m/>
  </r>
  <r>
    <n v="2019"/>
    <x v="2"/>
    <d v="2019-03-01T00:00:00"/>
    <x v="1"/>
    <x v="9"/>
    <n v="0.10817"/>
    <n v="0"/>
    <n v="1.2"/>
    <n v="-8.9999999999999998E-4"/>
    <n v="1.204E-2"/>
    <n v="4.6999999999999997E-5"/>
    <n v="0"/>
    <n v="6.7999999999999996E-3"/>
    <m/>
    <m/>
    <n v="5.7331E-2"/>
    <n v="4.3740000000000003E-3"/>
    <n v="2.4066000000000001E-2"/>
    <n v="4.9891999999999999E-2"/>
    <n v="-1.1100000000000001E-3"/>
    <n v="-9.9209999999999993E-3"/>
    <n v="2.0591000000000002E-2"/>
    <n v="0"/>
    <n v="0"/>
    <n v="3.8070000000000001E-3"/>
    <n v="1.5E-3"/>
    <n v="-7.4999999999999997E-3"/>
    <m/>
  </r>
  <r>
    <n v="2019"/>
    <x v="3"/>
    <d v="2019-04-01T00:00:00"/>
    <x v="1"/>
    <x v="9"/>
    <n v="0.10817"/>
    <n v="0"/>
    <n v="1.2"/>
    <n v="-8.9999999999999998E-4"/>
    <n v="1.3350000000000001E-2"/>
    <n v="-1.8E-5"/>
    <n v="0"/>
    <n v="6.7999999999999996E-3"/>
    <m/>
    <m/>
    <n v="5.1485999999999997E-2"/>
    <n v="2.0249999999999999E-3"/>
    <n v="2.4066000000000001E-2"/>
    <n v="4.9089000000000001E-2"/>
    <n v="-5.8320000000000004E-3"/>
    <n v="-6.96E-3"/>
    <n v="2.6273000000000001E-2"/>
    <n v="0"/>
    <n v="0"/>
    <n v="3.4220000000000001E-3"/>
    <n v="1.5E-3"/>
    <n v="-7.4999999999999997E-3"/>
    <m/>
  </r>
  <r>
    <n v="2019"/>
    <x v="4"/>
    <d v="2019-05-01T00:00:00"/>
    <x v="1"/>
    <x v="9"/>
    <n v="0.10817"/>
    <n v="0"/>
    <n v="1.2"/>
    <n v="-8.9999999999999998E-4"/>
    <n v="5.0299999999999997E-3"/>
    <n v="7.3999999999999996E-5"/>
    <n v="0"/>
    <n v="6.7999999999999996E-3"/>
    <m/>
    <m/>
    <n v="7.0291000000000006E-2"/>
    <n v="4.6480000000000002E-3"/>
    <n v="2.4066000000000001E-2"/>
    <n v="4.9089000000000001E-2"/>
    <n v="-2.0890000000000001E-3"/>
    <n v="-6.7669999999999996E-3"/>
    <n v="1.2558E-2"/>
    <n v="0"/>
    <n v="0"/>
    <n v="3.4220000000000001E-3"/>
    <n v="1.1000000000000001E-3"/>
    <n v="-7.4999999999999997E-3"/>
    <m/>
  </r>
  <r>
    <n v="2019"/>
    <x v="5"/>
    <d v="2019-06-01T00:00:00"/>
    <x v="1"/>
    <x v="9"/>
    <n v="0.12434000000000001"/>
    <n v="0"/>
    <n v="1.2"/>
    <n v="4.8599999999999997E-3"/>
    <n v="6.8799999999999998E-3"/>
    <n v="2.4000000000000001E-5"/>
    <n v="0"/>
    <n v="6.7999999999999996E-3"/>
    <m/>
    <m/>
    <n v="7.0679000000000006E-2"/>
    <n v="4.0850000000000001E-3"/>
    <n v="2.4066000000000001E-2"/>
    <n v="4.9035000000000002E-2"/>
    <n v="1.884E-3"/>
    <n v="5.4070000000000003E-3"/>
    <n v="1.0312999999999999E-2"/>
    <n v="0"/>
    <n v="0"/>
    <n v="3.4220000000000001E-3"/>
    <n v="1.1000000000000001E-3"/>
    <n v="-7.4999999999999997E-3"/>
    <m/>
  </r>
  <r>
    <n v="2019"/>
    <x v="6"/>
    <d v="2019-07-01T00:00:00"/>
    <x v="1"/>
    <x v="9"/>
    <n v="0.12434000000000001"/>
    <n v="0"/>
    <n v="1.2"/>
    <n v="4.8599999999999997E-3"/>
    <n v="4.8700000000000002E-3"/>
    <n v="2.1999999999999999E-5"/>
    <n v="0"/>
    <n v="6.7999999999999996E-3"/>
    <m/>
    <m/>
    <n v="8.0113000000000004E-2"/>
    <n v="4.0540000000000003E-3"/>
    <n v="2.4066000000000001E-2"/>
    <n v="4.9089000000000001E-2"/>
    <n v="1.126E-3"/>
    <n v="-1.338E-3"/>
    <n v="5.091E-3"/>
    <n v="0"/>
    <n v="0"/>
    <n v="3.4220000000000001E-3"/>
    <n v="1.1000000000000001E-3"/>
    <n v="-7.4999999999999997E-3"/>
    <m/>
  </r>
  <r>
    <n v="2019"/>
    <x v="7"/>
    <d v="2019-08-01T00:00:00"/>
    <x v="1"/>
    <x v="9"/>
    <n v="0.12434000000000001"/>
    <n v="0"/>
    <n v="1.2"/>
    <n v="9.8899999999999995E-3"/>
    <n v="5.2100000000000002E-3"/>
    <n v="5.8999999999999998E-5"/>
    <n v="0"/>
    <n v="6.7999999999999996E-3"/>
    <m/>
    <m/>
    <n v="7.4048000000000003E-2"/>
    <n v="4.3350000000000003E-3"/>
    <n v="2.4066000000000001E-2"/>
    <n v="4.9089000000000001E-2"/>
    <n v="7.9699999999999997E-4"/>
    <n v="-1.26E-2"/>
    <n v="1.58E-3"/>
    <n v="0"/>
    <n v="0"/>
    <n v="3.4220000000000001E-3"/>
    <n v="1.1000000000000001E-3"/>
    <n v="-7.4999999999999997E-3"/>
    <m/>
  </r>
  <r>
    <n v="2019"/>
    <x v="8"/>
    <d v="2019-09-01T00:00:00"/>
    <x v="1"/>
    <x v="9"/>
    <n v="0.12434000000000001"/>
    <n v="0"/>
    <n v="1.2"/>
    <n v="9.8899999999999995E-3"/>
    <n v="5.9800000000000001E-3"/>
    <n v="6.4999999999999994E-5"/>
    <n v="0"/>
    <n v="6.7999999999999996E-3"/>
    <m/>
    <m/>
    <n v="6.7737000000000006E-2"/>
    <n v="5.0150000000000004E-3"/>
    <n v="2.4066000000000001E-2"/>
    <n v="4.9089000000000001E-2"/>
    <n v="1.407E-3"/>
    <n v="-2.0170000000000001E-3"/>
    <n v="7.1659999999999996E-3"/>
    <n v="0"/>
    <n v="0"/>
    <n v="3.4220000000000001E-3"/>
    <n v="1.1000000000000001E-3"/>
    <n v="-7.4999999999999997E-3"/>
    <m/>
  </r>
  <r>
    <n v="2019"/>
    <x v="9"/>
    <d v="2019-10-01T00:00:00"/>
    <x v="1"/>
    <x v="9"/>
    <n v="0.10817"/>
    <n v="0"/>
    <n v="1.2"/>
    <n v="9.8899999999999995E-3"/>
    <n v="4.7600000000000003E-3"/>
    <n v="4.8000000000000001E-5"/>
    <n v="0"/>
    <n v="6.7999999999999996E-3"/>
    <m/>
    <m/>
    <n v="6.5698999999999994E-2"/>
    <n v="5.1110000000000001E-3"/>
    <n v="2.4066000000000001E-2"/>
    <n v="4.9089000000000001E-2"/>
    <n v="3.336E-3"/>
    <n v="-9.8309999999999995E-3"/>
    <n v="9.6159999999999995E-3"/>
    <n v="0"/>
    <n v="0"/>
    <n v="3.4220000000000001E-3"/>
    <n v="1.1000000000000001E-3"/>
    <n v="-7.4999999999999997E-3"/>
    <m/>
  </r>
  <r>
    <n v="2019"/>
    <x v="10"/>
    <d v="2019-11-01T00:00:00"/>
    <x v="1"/>
    <x v="9"/>
    <n v="0.10817"/>
    <n v="0"/>
    <n v="1.2"/>
    <n v="9.8899999999999995E-3"/>
    <n v="1.125E-2"/>
    <n v="5.5999999999999999E-5"/>
    <n v="0"/>
    <n v="6.7999999999999996E-3"/>
    <m/>
    <m/>
    <n v="4.6455000000000003E-2"/>
    <n v="4.4359999999999998E-3"/>
    <n v="2.4066000000000001E-2"/>
    <n v="4.9089000000000001E-2"/>
    <n v="2.6640000000000001E-3"/>
    <n v="1.2149999999999999E-3"/>
    <n v="1.7815000000000001E-2"/>
    <n v="0"/>
    <n v="0"/>
    <n v="3.4220000000000001E-3"/>
    <n v="1.1000000000000001E-3"/>
    <n v="-7.4999999999999997E-3"/>
    <m/>
  </r>
  <r>
    <n v="2019"/>
    <x v="11"/>
    <d v="2019-12-01T00:00:00"/>
    <x v="1"/>
    <x v="9"/>
    <n v="0.10817"/>
    <n v="0"/>
    <n v="1.2"/>
    <n v="9.8899999999999995E-3"/>
    <n v="9.3600000000000003E-3"/>
    <n v="5.8999999999999998E-5"/>
    <n v="0"/>
    <n v="6.7999999999999996E-3"/>
    <m/>
    <m/>
    <n v="4.9214000000000001E-2"/>
    <n v="3.9900000000000005E-3"/>
    <n v="2.4066000000000001E-2"/>
    <n v="4.9089000000000001E-2"/>
    <n v="2.1849999999999999E-3"/>
    <n v="-4.0379999999999999E-3"/>
    <n v="1.1573999999999999E-2"/>
    <n v="0"/>
    <n v="0"/>
    <n v="3.4220000000000001E-3"/>
    <n v="1.1000000000000001E-3"/>
    <n v="-7.4999999999999997E-3"/>
    <m/>
  </r>
  <r>
    <n v="2020"/>
    <x v="0"/>
    <d v="2020-01-01T00:00:00"/>
    <x v="1"/>
    <x v="9"/>
    <n v="0.10817"/>
    <n v="0"/>
    <n v="1.2"/>
    <n v="9.8899999999999995E-3"/>
    <n v="8.7899999999999992E-3"/>
    <n v="9.5000000000000005E-5"/>
    <n v="9.9999999999999995E-7"/>
    <n v="5.0000000000000001E-3"/>
    <m/>
    <m/>
    <n v="4.5340999999999999E-2"/>
    <n v="4.0829999999999998E-3"/>
    <n v="2.4066000000000001E-2"/>
    <n v="4.9089000000000001E-2"/>
    <n v="3.421E-3"/>
    <n v="-3.21E-4"/>
    <n v="1.712E-2"/>
    <n v="0"/>
    <n v="0"/>
    <n v="3.4220000000000001E-3"/>
    <n v="1.1000000000000001E-3"/>
    <n v="0"/>
    <m/>
  </r>
  <r>
    <n v="2020"/>
    <x v="1"/>
    <d v="2020-02-01T00:00:00"/>
    <x v="2"/>
    <x v="10"/>
    <n v="0.11125"/>
    <n v="-6.3299999999999999E-4"/>
    <n v="1.28"/>
    <n v="7.5300000000000002E-3"/>
    <n v="1.0200000000000001E-2"/>
    <n v="8.0000000000000007E-5"/>
    <n v="9.9999999999999995E-7"/>
    <n v="5.0000000000000001E-3"/>
    <m/>
    <m/>
    <n v="4.1394E-2"/>
    <n v="3.7209999999999999E-3"/>
    <n v="2.4066000000000001E-2"/>
    <n v="4.9089000000000001E-2"/>
    <n v="2.6870000000000002E-3"/>
    <n v="-2.977E-3"/>
    <n v="2.6335000000000001E-2"/>
    <n v="0"/>
    <n v="0"/>
    <n v="3.4220000000000001E-3"/>
    <n v="1.1000000000000001E-3"/>
    <n v="0"/>
    <m/>
  </r>
  <r>
    <n v="2020"/>
    <x v="2"/>
    <d v="2020-03-01T00:00:00"/>
    <x v="2"/>
    <x v="10"/>
    <n v="0.11125"/>
    <n v="-6.3299999999999999E-4"/>
    <n v="1.28"/>
    <n v="7.5300000000000002E-3"/>
    <n v="1.1730000000000001E-2"/>
    <n v="5.3000000000000001E-5"/>
    <n v="9.9999999999999995E-7"/>
    <n v="5.0000000000000001E-3"/>
    <m/>
    <m/>
    <n v="3.5852000000000002E-2"/>
    <n v="3.6099999999999999E-3"/>
    <n v="2.4066000000000001E-2"/>
    <n v="4.9089000000000001E-2"/>
    <n v="-5.53E-4"/>
    <n v="-2.748E-3"/>
    <n v="2.376E-2"/>
    <n v="0"/>
    <n v="0"/>
    <n v="3.4220000000000001E-3"/>
    <n v="1.1000000000000001E-3"/>
    <n v="0"/>
    <m/>
  </r>
  <r>
    <n v="2020"/>
    <x v="3"/>
    <d v="2020-04-01T00:00:00"/>
    <x v="2"/>
    <x v="10"/>
    <n v="0.11125"/>
    <n v="-6.3299999999999999E-4"/>
    <n v="1.28"/>
    <n v="7.5300000000000002E-3"/>
    <n v="1.1560000000000001E-2"/>
    <n v="6.0999999999999999E-5"/>
    <n v="9.9999999999999995E-7"/>
    <n v="5.0000000000000001E-3"/>
    <m/>
    <m/>
    <n v="3.4659000000000002E-2"/>
    <n v="6.3480000000000003E-3"/>
    <n v="2.4066000000000001E-2"/>
    <n v="5.0505000000000001E-2"/>
    <n v="-6.3709999999999999E-3"/>
    <n v="-3.2520000000000001E-3"/>
    <n v="2.4566999999999999E-2"/>
    <n v="0"/>
    <n v="0"/>
    <n v="4.627E-3"/>
    <n v="1.1000000000000001E-3"/>
    <n v="0"/>
    <m/>
  </r>
  <r>
    <n v="2020"/>
    <x v="4"/>
    <d v="2020-05-01T00:00:00"/>
    <x v="2"/>
    <x v="10"/>
    <n v="0.11125"/>
    <n v="-6.3299999999999999E-4"/>
    <n v="1.28"/>
    <n v="7.5300000000000002E-3"/>
    <n v="6.2399999999999999E-3"/>
    <n v="3.1999999999999999E-5"/>
    <n v="9.9999999999999995E-7"/>
    <n v="5.0000000000000001E-3"/>
    <m/>
    <m/>
    <n v="9.3167E-2"/>
    <n v="4.0400000000000002E-3"/>
    <n v="2.4066000000000001E-2"/>
    <n v="5.0505000000000001E-2"/>
    <n v="-2.3440000000000002E-3"/>
    <n v="-4.1330000000000004E-3"/>
    <n v="5.0470000000000003E-3"/>
    <n v="0"/>
    <n v="0"/>
    <n v="4.627E-3"/>
    <n v="1.1000000000000001E-3"/>
    <n v="0"/>
    <m/>
  </r>
  <r>
    <n v="2020"/>
    <x v="5"/>
    <d v="2020-06-01T00:00:00"/>
    <x v="2"/>
    <x v="10"/>
    <n v="0.12787999999999999"/>
    <n v="-6.3299999999999999E-4"/>
    <n v="1.28"/>
    <n v="7.5300000000000002E-3"/>
    <n v="6.43E-3"/>
    <n v="-1.9999999999999999E-6"/>
    <n v="9.9999999999999995E-7"/>
    <n v="5.0000000000000001E-3"/>
    <m/>
    <m/>
    <n v="9.5603999999999995E-2"/>
    <n v="3.62E-3"/>
    <n v="2.4066000000000001E-2"/>
    <n v="5.0505000000000001E-2"/>
    <n v="-6.2699999999999995E-4"/>
    <n v="1.3165E-2"/>
    <n v="5.731E-3"/>
    <n v="0"/>
    <n v="0"/>
    <n v="4.627E-3"/>
    <n v="1.1000000000000001E-3"/>
    <n v="0"/>
    <m/>
  </r>
  <r>
    <n v="2020"/>
    <x v="6"/>
    <d v="2020-07-01T00:00:00"/>
    <x v="2"/>
    <x v="10"/>
    <n v="0.12787999999999999"/>
    <n v="-6.3299999999999999E-4"/>
    <n v="1.28"/>
    <n v="7.5300000000000002E-3"/>
    <n v="4.8300000000000001E-3"/>
    <n v="7.9999999999999996E-6"/>
    <n v="9.9999999999999995E-7"/>
    <n v="5.0000000000000001E-3"/>
    <m/>
    <m/>
    <n v="0.101219"/>
    <n v="3.6879999999999999E-3"/>
    <n v="2.4066000000000001E-2"/>
    <n v="5.0505000000000001E-2"/>
    <n v="5.5000000000000003E-4"/>
    <n v="-9.2409999999999992E-3"/>
    <n v="-1.6310000000000001E-3"/>
    <n v="0"/>
    <n v="0"/>
    <n v="4.627E-3"/>
    <n v="1.1000000000000001E-3"/>
    <n v="0"/>
    <m/>
  </r>
  <r>
    <n v="2020"/>
    <x v="7"/>
    <d v="2020-08-01T00:00:00"/>
    <x v="2"/>
    <x v="10"/>
    <n v="0.12787999999999999"/>
    <n v="-6.3299999999999999E-4"/>
    <n v="1.28"/>
    <n v="1.9599999999999999E-3"/>
    <n v="4.2500000000000003E-3"/>
    <n v="2.5000000000000001E-5"/>
    <n v="9.9999999999999995E-7"/>
    <n v="5.0000000000000001E-3"/>
    <m/>
    <m/>
    <n v="9.8321000000000006E-2"/>
    <n v="4.0629999999999998E-3"/>
    <n v="2.4066000000000001E-2"/>
    <n v="5.0505000000000001E-2"/>
    <n v="-2.9E-4"/>
    <n v="-1.8194999999999999E-2"/>
    <n v="6.1700000000000004E-4"/>
    <n v="0"/>
    <n v="0"/>
    <n v="4.627E-3"/>
    <n v="1.1000000000000001E-3"/>
    <n v="0"/>
    <m/>
  </r>
  <r>
    <n v="2020"/>
    <x v="8"/>
    <d v="2020-09-01T00:00:00"/>
    <x v="2"/>
    <x v="10"/>
    <n v="0.12787999999999999"/>
    <n v="-6.3299999999999999E-4"/>
    <n v="1.28"/>
    <n v="1.9599999999999999E-3"/>
    <n v="5.1999999999999998E-3"/>
    <n v="2.9E-5"/>
    <n v="9.9999999999999995E-7"/>
    <n v="5.0000000000000001E-3"/>
    <m/>
    <m/>
    <n v="9.3935000000000005E-2"/>
    <n v="4.4710000000000001E-3"/>
    <n v="2.4066000000000001E-2"/>
    <n v="5.0505000000000001E-2"/>
    <n v="1.4909999999999999E-3"/>
    <n v="-1.8955E-2"/>
    <n v="3.19E-4"/>
    <n v="0"/>
    <n v="0"/>
    <n v="4.627E-3"/>
    <n v="1.1000000000000001E-3"/>
    <n v="0"/>
    <m/>
  </r>
  <r>
    <n v="2020"/>
    <x v="9"/>
    <d v="2020-10-01T00:00:00"/>
    <x v="2"/>
    <x v="10"/>
    <n v="0.11125"/>
    <n v="-6.3299999999999999E-4"/>
    <n v="1.28"/>
    <n v="1.9599999999999999E-3"/>
    <n v="4.28E-3"/>
    <n v="1.8E-5"/>
    <n v="9.9999999999999995E-7"/>
    <n v="5.0000000000000001E-3"/>
    <m/>
    <m/>
    <n v="9.4106000000000009E-2"/>
    <n v="4.4780000000000002E-3"/>
    <n v="2.4066000000000001E-2"/>
    <n v="5.0505000000000001E-2"/>
    <n v="3.5770000000000003E-3"/>
    <n v="-9.9979999999999999E-3"/>
    <n v="4.0660000000000002E-3"/>
    <n v="0"/>
    <n v="0"/>
    <n v="4.627E-3"/>
    <n v="1.1000000000000001E-3"/>
    <n v="0"/>
    <m/>
  </r>
  <r>
    <n v="2020"/>
    <x v="10"/>
    <d v="2020-11-01T00:00:00"/>
    <x v="2"/>
    <x v="10"/>
    <n v="0.11125"/>
    <n v="-6.3299999999999999E-4"/>
    <n v="1.28"/>
    <n v="1.9599999999999999E-3"/>
    <n v="8.4399999999999996E-3"/>
    <n v="3.0000000000000001E-5"/>
    <n v="9.9999999999999995E-7"/>
    <n v="5.0000000000000001E-3"/>
    <m/>
    <m/>
    <n v="7.3266999999999999E-2"/>
    <n v="3.8270000000000001E-3"/>
    <n v="2.4066000000000001E-2"/>
    <n v="5.0505000000000001E-2"/>
    <n v="2.7929999999999999E-3"/>
    <n v="1.21E-4"/>
    <n v="1.2094000000000001E-2"/>
    <n v="0"/>
    <n v="0"/>
    <n v="4.627E-3"/>
    <n v="1.1000000000000001E-3"/>
    <n v="0"/>
    <m/>
  </r>
  <r>
    <n v="2020"/>
    <x v="11"/>
    <d v="2020-12-01T00:00:00"/>
    <x v="2"/>
    <x v="10"/>
    <n v="0.11125"/>
    <n v="-6.3299999999999999E-4"/>
    <n v="1.28"/>
    <n v="1.9599999999999999E-3"/>
    <n v="1.1299999999999999E-2"/>
    <n v="2.6999999999999999E-5"/>
    <n v="9.9999999999999995E-7"/>
    <n v="5.0000000000000001E-3"/>
    <m/>
    <n v="1E-4"/>
    <n v="8.5391999999999996E-2"/>
    <n v="3.5300000000000002E-3"/>
    <n v="2.4066000000000001E-2"/>
    <n v="5.0505000000000001E-2"/>
    <n v="8.2830000000000004E-3"/>
    <n v="-9.3690000000000006E-3"/>
    <n v="1.506E-2"/>
    <n v="0"/>
    <n v="0"/>
    <n v="4.627E-3"/>
    <n v="1.1000000000000001E-3"/>
    <n v="0"/>
    <n v="0"/>
  </r>
  <r>
    <n v="2021"/>
    <x v="0"/>
    <d v="2021-01-01T00:00:00"/>
    <x v="3"/>
    <x v="11"/>
    <n v="0.11976000000000001"/>
    <n v="0"/>
    <n v="1.28"/>
    <n v="1.9599999999999999E-3"/>
    <n v="6.0600000000000003E-3"/>
    <n v="5.7000000000000003E-5"/>
    <n v="-9.9999999999999995E-7"/>
    <n v="5.4000000000000003E-3"/>
    <m/>
    <n v="1E-4"/>
    <n v="8.882799999999999E-2"/>
    <n v="3.862E-3"/>
    <n v="2.4066000000000001E-2"/>
    <n v="5.0505000000000001E-2"/>
    <n v="5.4209999999999996E-3"/>
    <n v="-2.104E-3"/>
    <n v="1.2990999999999999E-2"/>
    <n v="0"/>
    <n v="0"/>
    <n v="4.627E-3"/>
    <n v="1.1000000000000001E-3"/>
    <n v="0"/>
    <n v="0"/>
  </r>
  <r>
    <n v="2021"/>
    <x v="1"/>
    <d v="2021-02-01T00:00:00"/>
    <x v="3"/>
    <x v="11"/>
    <n v="0.11976000000000001"/>
    <n v="0"/>
    <n v="1.28"/>
    <n v="-1.4239999999999999E-2"/>
    <n v="6.0299999999999998E-3"/>
    <n v="1.0899999999999999E-4"/>
    <n v="-9.9999999999999995E-7"/>
    <n v="5.4000000000000003E-3"/>
    <m/>
    <n v="1E-4"/>
    <n v="0.119825"/>
    <n v="4.0739999999999995E-3"/>
    <n v="2.4066000000000001E-2"/>
    <n v="5.0505000000000001E-2"/>
    <n v="6.6510000000000007E-3"/>
    <n v="2.8999999999999997E-5"/>
    <n v="6.2660000000000007E-3"/>
    <n v="0"/>
    <n v="0"/>
    <n v="4.627E-3"/>
    <n v="1.1000000000000001E-3"/>
    <n v="0"/>
    <n v="0"/>
  </r>
  <r>
    <n v="2021"/>
    <x v="2"/>
    <d v="2021-03-01T00:00:00"/>
    <x v="3"/>
    <x v="11"/>
    <n v="0.11976000000000001"/>
    <n v="4.3300000000000001E-4"/>
    <n v="1.28"/>
    <n v="-1.4239999999999999E-2"/>
    <n v="6.2399999999999999E-3"/>
    <n v="6.6000000000000005E-5"/>
    <n v="-9.9999999999999995E-7"/>
    <n v="5.4000000000000003E-3"/>
    <m/>
    <n v="1E-4"/>
    <n v="8.224999999999999E-2"/>
    <n v="4.2370000000000003E-3"/>
    <n v="2.4066000000000001E-2"/>
    <n v="5.0505000000000001E-2"/>
    <n v="-2.1349999999999997E-3"/>
    <n v="3.4739999999999997E-3"/>
    <n v="-1.7357000000000001E-2"/>
    <n v="0"/>
    <n v="0"/>
    <n v="4.627E-3"/>
    <n v="1.1000000000000001E-3"/>
    <n v="0"/>
    <n v="0"/>
  </r>
  <r>
    <n v="2021"/>
    <x v="3"/>
    <d v="2021-04-01T00:00:00"/>
    <x v="3"/>
    <x v="11"/>
    <n v="0.11976000000000001"/>
    <n v="0"/>
    <n v="1.28"/>
    <n v="-1.4239999999999999E-2"/>
    <n v="8.2299999999999995E-3"/>
    <n v="3.1000000000000001E-5"/>
    <n v="-9.9999999999999995E-7"/>
    <n v="5.4000000000000003E-3"/>
    <m/>
    <n v="1E-4"/>
    <n v="7.7038999999999996E-2"/>
    <n v="1.681E-3"/>
    <n v="2.4066000000000001E-2"/>
    <n v="4.9190999999999999E-2"/>
    <n v="1.902E-3"/>
    <n v="1.2728999999999999E-2"/>
    <n v="1.6205000000000001E-2"/>
    <n v="0"/>
    <n v="0"/>
    <n v="5.3890000000000006E-3"/>
    <n v="1.1000000000000001E-3"/>
    <n v="0"/>
    <n v="0"/>
  </r>
  <r>
    <n v="2021"/>
    <x v="4"/>
    <d v="2021-05-01T00:00:00"/>
    <x v="3"/>
    <x v="11"/>
    <n v="0.11976000000000001"/>
    <n v="0"/>
    <n v="1.28"/>
    <n v="-1.4239999999999999E-2"/>
    <n v="1.0120000000000001E-2"/>
    <n v="-1.2999999999999999E-5"/>
    <n v="-9.9999999999999995E-7"/>
    <n v="5.4000000000000003E-3"/>
    <m/>
    <n v="1E-4"/>
    <n v="6.7180999999999991E-2"/>
    <n v="4.0049999999999999E-3"/>
    <n v="2.4066000000000001E-2"/>
    <n v="4.9190999999999999E-2"/>
    <n v="1.647E-3"/>
    <n v="1.2611000000000001E-2"/>
    <n v="2.1937999999999999E-2"/>
    <n v="0"/>
    <n v="0"/>
    <n v="5.3890000000000006E-3"/>
    <n v="1.1000000000000001E-3"/>
    <n v="0"/>
    <n v="0"/>
  </r>
  <r>
    <n v="2021"/>
    <x v="5"/>
    <d v="2021-06-01T00:00:00"/>
    <x v="3"/>
    <x v="11"/>
    <n v="0.13766"/>
    <n v="0"/>
    <n v="1.28"/>
    <n v="-1.4239999999999999E-2"/>
    <n v="1.1200000000000002E-2"/>
    <n v="3.0000000000000001E-5"/>
    <n v="-9.9999999999999995E-7"/>
    <n v="5.4000000000000003E-3"/>
    <m/>
    <n v="1E-4"/>
    <n v="7.8192999999999999E-2"/>
    <n v="3.5830000000000002E-3"/>
    <n v="2.4066000000000001E-2"/>
    <n v="4.9190999999999999E-2"/>
    <n v="2.1180000000000001E-3"/>
    <n v="-1.3399000000000001E-2"/>
    <n v="7.4919999999999995E-3"/>
    <n v="0"/>
    <n v="0"/>
    <n v="5.3890000000000006E-3"/>
    <n v="1.1000000000000001E-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64672-F64A-43FF-AA07-86C8B6C717AF}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B3:N29" firstHeaderRow="1" firstDataRow="2" firstDataCol="1"/>
  <pivotFields count="28">
    <pivotField compact="0" outline="0" showAll="0"/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numFmtId="164" outline="0" showAll="0"/>
    <pivotField dataField="1" compact="0" numFmtId="7" outline="0" showAll="0">
      <items count="5">
        <item x="0"/>
        <item x="1"/>
        <item x="2"/>
        <item x="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numFmtId="7" outline="0" showAll="0"/>
    <pivotField dataField="1" compact="0" outline="0" showAll="0"/>
    <pivotField dataField="1" compact="0" outline="0" showAll="0"/>
    <pivotField dataField="1" compact="0" numFmtId="166" outline="0" showAll="0"/>
    <pivotField dataField="1" compact="0" numFmtId="166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numFmtId="166" outline="0" showAll="0"/>
    <pivotField dataField="1" compact="0" numFmtId="170" outline="0" showAll="0"/>
    <pivotField dataField="1" compact="0" numFmtId="170" outline="0" showAll="0"/>
    <pivotField dataField="1" compact="0" numFmtId="166" outline="0" showAll="0"/>
    <pivotField dataField="1" compact="0" numFmtId="166" outline="0" showAll="0"/>
    <pivotField dataField="1" compact="0" numFmtId="166" outline="0" showAll="0"/>
    <pivotField dataField="1" compact="0" numFmtId="166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25">
    <dataField name="Sum of BASIC SERVICE/CUSTOMER CHARGE" fld="3" baseField="0" baseItem="0"/>
    <dataField name="Sum of DELIVERY CHARGE, PER KWH (FIRST 250 KWH)" fld="4" baseField="0" baseItem="0"/>
    <dataField name="Sum of DELIVERY CHARGE, PER KWH (OVER 250 KWH)" fld="5" baseField="0" baseItem="0"/>
    <dataField name="Sum of DELIVERY REVENUE SURCHARGE PER KWH" fld="6" baseField="0" baseItem="0"/>
    <dataField name="Sum of BILL ISSUANCE CHARGE (BPP), PER BILL" fld="7" baseField="0" baseItem="0"/>
    <dataField name="Sum of REVENUE DECOUPLING ADJ. (RDM), PER KWH" fld="8" baseField="0" baseItem="0"/>
    <dataField name="Sum of MONTHLY ADJUSTMENT (MAC), PER KWH" fld="9" baseField="0" baseItem="0"/>
    <dataField name="Sum of UNCOLLECTIBLE DELIVERY (MAC)" fld="10" baseField="0" baseItem="0"/>
    <dataField name="Sum of TRANSITION ADJUSTMENT - DELIVERY" fld="11" baseField="0" baseItem="0"/>
    <dataField name="Sum of SYSTEM BENEFIT CHARGE, PER KWH" fld="12" baseField="0" baseItem="0"/>
    <dataField name="Sum of RENEWABLE PORTFOLIO CHARGE, PER KWH" fld="13" baseField="0" baseItem="0"/>
    <dataField name="Sum of VDER COST RECOVERY DELIVERY, PER KWH" fld="14" baseField="0" baseItem="0"/>
    <dataField name="Sum of ELECTRIC SUPPLY (MSC), PER KWH" fld="15" baseField="0" baseItem="0"/>
    <dataField name="Sum of MERCHANT FUNCTION CHARGE, PER KWH" fld="16" baseField="0" baseItem="0"/>
    <dataField name="Sum of TAXES (NYC)  COMMODITY" fld="17" baseField="0" baseItem="0"/>
    <dataField name="Sum of TAXES (NYC)  DELIVERY" fld="18" baseField="0" baseItem="0"/>
    <dataField name="Sum of MAC, PER KWH" fld="19" baseField="0" baseItem="0"/>
    <dataField name="Sum of MSCI, PER KWH" fld="20" baseField="0" baseItem="0"/>
    <dataField name="Sum of MSCII, PER KWH" fld="21" baseField="0" baseItem="0"/>
    <dataField name="Sum of NYS (18a) ASSESSMENT, PER KWH" fld="22" baseField="0" baseItem="0"/>
    <dataField name="Sum of CLEAN ENERGY STD DELIVERY CHARGE, PER KWH" fld="23" baseField="0" baseItem="0"/>
    <dataField name="Sum of CLEAN ENERGY STD SUPPLY CHARGE, PER KWH" fld="24" baseField="0" baseItem="0"/>
    <dataField name="Sum of DYNAMIC LOAD MGMT SURCHARGE, PER KWH" fld="25" baseField="0" baseItem="0"/>
    <dataField name="Sum of TAX SURCREDIT" fld="26" baseField="0" baseItem="0"/>
    <dataField name="Sum of VDER COST RECOVERY SUPPLY, PER KWH" fld="27" baseField="0" baseItem="0"/>
  </dataFields>
  <formats count="5">
    <format dxfId="4">
      <pivotArea outline="0" collapsedLevelsAreSubtotals="1" fieldPosition="0"/>
    </format>
    <format dxfId="3">
      <pivotArea field="1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7E794-1B4D-4CEC-9006-B3C053225BA3}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Q3:AC29" firstHeaderRow="1" firstDataRow="2" firstDataCol="1"/>
  <pivotFields count="28">
    <pivotField compact="0" outline="0" showAll="0"/>
    <pivotField axis="axisCol" compact="0" outline="0" showAll="0" stdDevSubtotal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stdDev"/>
      </items>
    </pivotField>
    <pivotField compact="0" numFmtId="164" outline="0" showAll="0"/>
    <pivotField dataField="1" compact="0" numFmtId="7" outline="0" showAll="0">
      <items count="5">
        <item x="0"/>
        <item x="1"/>
        <item x="2"/>
        <item x="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numFmtId="7" outline="0" showAll="0"/>
    <pivotField dataField="1" compact="0" outline="0" showAll="0"/>
    <pivotField dataField="1" compact="0" outline="0" showAll="0"/>
    <pivotField dataField="1" compact="0" numFmtId="166" outline="0" showAll="0"/>
    <pivotField dataField="1" compact="0" numFmtId="166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numFmtId="166" outline="0" showAll="0"/>
    <pivotField dataField="1" compact="0" numFmtId="170" outline="0" showAll="0"/>
    <pivotField dataField="1" compact="0" numFmtId="170" outline="0" showAll="0"/>
    <pivotField dataField="1" compact="0" numFmtId="166" outline="0" showAll="0"/>
    <pivotField dataField="1" compact="0" numFmtId="166" outline="0" showAll="0"/>
    <pivotField dataField="1" compact="0" numFmtId="166" outline="0" showAll="0"/>
    <pivotField dataField="1" compact="0" numFmtId="166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25">
    <dataField name="StdDev of BASIC SERVICE/CUSTOMER CHARGE" fld="3" subtotal="stdDev" baseField="1" baseItem="1" numFmtId="171"/>
    <dataField name="StdDev of DELIVERY CHARGE, PER KWH (FIRST 250 KWH)" fld="4" subtotal="stdDev" baseField="1" baseItem="1" numFmtId="171"/>
    <dataField name="StdDev of DELIVERY CHARGE, PER KWH (OVER 250 KWH)" fld="5" subtotal="stdDev" baseField="1" baseItem="1" numFmtId="171"/>
    <dataField name="StdDev of DELIVERY REVENUE SURCHARGE PER KWH" fld="6" subtotal="stdDev" baseField="1" baseItem="1" numFmtId="171"/>
    <dataField name="StdDev of BILL ISSUANCE CHARGE (BPP), PER BILL" fld="7" subtotal="stdDev" baseField="1" baseItem="1" numFmtId="171"/>
    <dataField name="StdDev of REVENUE DECOUPLING ADJ. (RDM), PER KWH" fld="8" subtotal="stdDev" baseField="1" baseItem="1" numFmtId="171"/>
    <dataField name="StdDev of MONTHLY ADJUSTMENT (MAC), PER KWH" fld="9" subtotal="stdDev" baseField="1" baseItem="1" numFmtId="171"/>
    <dataField name="StdDev of UNCOLLECTIBLE DELIVERY (MAC)" fld="10" subtotal="stdDev" baseField="1" baseItem="1" numFmtId="171"/>
    <dataField name="StdDev of TRANSITION ADJUSTMENT - DELIVERY" fld="11" subtotal="stdDev" baseField="1" baseItem="1" numFmtId="171"/>
    <dataField name="StdDev of SYSTEM BENEFIT CHARGE, PER KWH" fld="12" subtotal="stdDev" baseField="1" baseItem="1" numFmtId="171"/>
    <dataField name="StdDev of RENEWABLE PORTFOLIO CHARGE, PER KWH" fld="13" subtotal="stdDev" baseField="1" baseItem="1" numFmtId="171"/>
    <dataField name="StdDev of VDER COST RECOVERY DELIVERY, PER KWH" fld="14" subtotal="stdDev" baseField="1" baseItem="1" numFmtId="171"/>
    <dataField name="StdDev of ELECTRIC SUPPLY (MSC), PER KWH" fld="15" subtotal="stdDev" baseField="1" baseItem="1" numFmtId="171"/>
    <dataField name="StdDev of MERCHANT FUNCTION CHARGE, PER KWH" fld="16" subtotal="stdDev" baseField="1" baseItem="1" numFmtId="171"/>
    <dataField name="StdDev of TAXES (NYC)  COMMODITY" fld="17" subtotal="stdDev" baseField="1" baseItem="1" numFmtId="171"/>
    <dataField name="StdDev of TAXES (NYC)  DELIVERY" fld="18" subtotal="stdDev" baseField="1" baseItem="1" numFmtId="171"/>
    <dataField name="StdDev of MAC, PER KWH" fld="19" subtotal="stdDev" baseField="1" baseItem="1" numFmtId="171"/>
    <dataField name="StdDev of MSCI, PER KWH" fld="20" subtotal="stdDev" baseField="1" baseItem="1" numFmtId="171"/>
    <dataField name="StdDev of MSCII, PER KWH" fld="21" subtotal="stdDev" baseField="1" baseItem="1" numFmtId="171"/>
    <dataField name="StdDev of NYS (18a) ASSESSMENT, PER KWH" fld="22" subtotal="stdDev" baseField="1" baseItem="1" numFmtId="171"/>
    <dataField name="StdDev of CLEAN ENERGY STD DELIVERY CHARGE, PER KWH" fld="23" subtotal="stdDev" baseField="1" baseItem="1" numFmtId="171"/>
    <dataField name="StdDev of CLEAN ENERGY STD SUPPLY CHARGE, PER KWH" fld="24" subtotal="stdDev" baseField="1" baseItem="1" numFmtId="171"/>
    <dataField name="StdDev of DYNAMIC LOAD MGMT SURCHARGE, PER KWH" fld="25" subtotal="stdDev" baseField="1" baseItem="1" numFmtId="171"/>
    <dataField name="StdDev of TAX SURCREDIT" fld="26" subtotal="stdDev" baseField="1" baseItem="1" numFmtId="171"/>
    <dataField name="StdDev of VDER COST RECOVERY SUPPLY, PER KWH" fld="27" subtotal="stdDev" baseField="1" baseItem="1" numFmtId="171"/>
  </dataFields>
  <formats count="30">
    <format dxfId="34">
      <pivotArea outline="0" collapsedLevelsAreSubtotals="1" fieldPosition="0"/>
    </format>
    <format dxfId="33">
      <pivotArea field="1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Col="1" outline="0" fieldPosition="0"/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28">
      <pivotArea outline="0" fieldPosition="0">
        <references count="1">
          <reference field="4294967294" count="1">
            <x v="1"/>
          </reference>
        </references>
      </pivotArea>
    </format>
    <format dxfId="27">
      <pivotArea outline="0" fieldPosition="0">
        <references count="1">
          <reference field="4294967294" count="1">
            <x v="2"/>
          </reference>
        </references>
      </pivotArea>
    </format>
    <format dxfId="26">
      <pivotArea outline="0" fieldPosition="0">
        <references count="1">
          <reference field="4294967294" count="1">
            <x v="3"/>
          </reference>
        </references>
      </pivotArea>
    </format>
    <format dxfId="25">
      <pivotArea outline="0" fieldPosition="0">
        <references count="1">
          <reference field="4294967294" count="1">
            <x v="4"/>
          </reference>
        </references>
      </pivotArea>
    </format>
    <format dxfId="24">
      <pivotArea outline="0" fieldPosition="0">
        <references count="1">
          <reference field="4294967294" count="1">
            <x v="5"/>
          </reference>
        </references>
      </pivotArea>
    </format>
    <format dxfId="23">
      <pivotArea outline="0" fieldPosition="0">
        <references count="1">
          <reference field="4294967294" count="1">
            <x v="6"/>
          </reference>
        </references>
      </pivotArea>
    </format>
    <format dxfId="22">
      <pivotArea outline="0" fieldPosition="0">
        <references count="1">
          <reference field="4294967294" count="1">
            <x v="7"/>
          </reference>
        </references>
      </pivotArea>
    </format>
    <format dxfId="21">
      <pivotArea outline="0" fieldPosition="0">
        <references count="1">
          <reference field="4294967294" count="1">
            <x v="8"/>
          </reference>
        </references>
      </pivotArea>
    </format>
    <format dxfId="20">
      <pivotArea outline="0" fieldPosition="0">
        <references count="1">
          <reference field="4294967294" count="1">
            <x v="9"/>
          </reference>
        </references>
      </pivotArea>
    </format>
    <format dxfId="19">
      <pivotArea outline="0" fieldPosition="0">
        <references count="1">
          <reference field="4294967294" count="1">
            <x v="10"/>
          </reference>
        </references>
      </pivotArea>
    </format>
    <format dxfId="18">
      <pivotArea outline="0" fieldPosition="0">
        <references count="1">
          <reference field="4294967294" count="1">
            <x v="11"/>
          </reference>
        </references>
      </pivotArea>
    </format>
    <format dxfId="17">
      <pivotArea outline="0" fieldPosition="0">
        <references count="1">
          <reference field="4294967294" count="1">
            <x v="12"/>
          </reference>
        </references>
      </pivotArea>
    </format>
    <format dxfId="16">
      <pivotArea outline="0" fieldPosition="0">
        <references count="1">
          <reference field="4294967294" count="1">
            <x v="13"/>
          </reference>
        </references>
      </pivotArea>
    </format>
    <format dxfId="15">
      <pivotArea outline="0" fieldPosition="0">
        <references count="1">
          <reference field="4294967294" count="1">
            <x v="14"/>
          </reference>
        </references>
      </pivotArea>
    </format>
    <format dxfId="14">
      <pivotArea outline="0" fieldPosition="0">
        <references count="1">
          <reference field="4294967294" count="1">
            <x v="15"/>
          </reference>
        </references>
      </pivotArea>
    </format>
    <format dxfId="13">
      <pivotArea outline="0" fieldPosition="0">
        <references count="1">
          <reference field="4294967294" count="1">
            <x v="16"/>
          </reference>
        </references>
      </pivotArea>
    </format>
    <format dxfId="12">
      <pivotArea outline="0" fieldPosition="0">
        <references count="1">
          <reference field="4294967294" count="1">
            <x v="17"/>
          </reference>
        </references>
      </pivotArea>
    </format>
    <format dxfId="11">
      <pivotArea outline="0" fieldPosition="0">
        <references count="1">
          <reference field="4294967294" count="1">
            <x v="18"/>
          </reference>
        </references>
      </pivotArea>
    </format>
    <format dxfId="10">
      <pivotArea outline="0" fieldPosition="0">
        <references count="1">
          <reference field="4294967294" count="1">
            <x v="19"/>
          </reference>
        </references>
      </pivotArea>
    </format>
    <format dxfId="9">
      <pivotArea outline="0" fieldPosition="0">
        <references count="1">
          <reference field="4294967294" count="1">
            <x v="20"/>
          </reference>
        </references>
      </pivotArea>
    </format>
    <format dxfId="8">
      <pivotArea outline="0" fieldPosition="0">
        <references count="1">
          <reference field="4294967294" count="1">
            <x v="21"/>
          </reference>
        </references>
      </pivotArea>
    </format>
    <format dxfId="7">
      <pivotArea outline="0" fieldPosition="0">
        <references count="1">
          <reference field="4294967294" count="1">
            <x v="22"/>
          </reference>
        </references>
      </pivotArea>
    </format>
    <format dxfId="6">
      <pivotArea outline="0" fieldPosition="0">
        <references count="1">
          <reference field="4294967294" count="1">
            <x v="23"/>
          </reference>
        </references>
      </pivotArea>
    </format>
    <format dxfId="5">
      <pivotArea outline="0" fieldPosition="0">
        <references count="1">
          <reference field="4294967294" count="1">
            <x v="2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ed.com/_external/cerates/documents/elecPSC10/StatSDR-10.pdf" TargetMode="External"/><Relationship Id="rId117" Type="http://schemas.openxmlformats.org/officeDocument/2006/relationships/hyperlink" Target="https://www.coned.com/_external/cerates/documents/elecPSC10/StatMFC-111.pdf" TargetMode="External"/><Relationship Id="rId21" Type="http://schemas.openxmlformats.org/officeDocument/2006/relationships/hyperlink" Target="https://www.coned.com/_external/cerates/documents/elecPSC10/StatDLM-4.pdf" TargetMode="External"/><Relationship Id="rId42" Type="http://schemas.openxmlformats.org/officeDocument/2006/relationships/hyperlink" Target="https://www.coned.com/_external/cerates/documents/elecPSC10/StatDLM-4.pdf" TargetMode="External"/><Relationship Id="rId47" Type="http://schemas.openxmlformats.org/officeDocument/2006/relationships/hyperlink" Target="https://www.coned.com/_external/cerates/documents/elecPSC10/electric-tariff.pdf" TargetMode="External"/><Relationship Id="rId63" Type="http://schemas.openxmlformats.org/officeDocument/2006/relationships/hyperlink" Target="https://www.coned.com/_external/cerates/documents/elecPSC10/StatVDER-CR-4.pdf" TargetMode="External"/><Relationship Id="rId68" Type="http://schemas.openxmlformats.org/officeDocument/2006/relationships/hyperlink" Target="https://www.coned.com/_external/cerates/documents/elecPSC10/electric-tariff.pdf" TargetMode="External"/><Relationship Id="rId84" Type="http://schemas.openxmlformats.org/officeDocument/2006/relationships/hyperlink" Target="https://www.coned.com/_external/cerates/documents/elecPSC10/StatVDER-CR-4.pdf" TargetMode="External"/><Relationship Id="rId89" Type="http://schemas.openxmlformats.org/officeDocument/2006/relationships/hyperlink" Target="https://www.coned.com/_external/cerates/documents/elecPSC10/electric-tariff.pdf" TargetMode="External"/><Relationship Id="rId112" Type="http://schemas.openxmlformats.org/officeDocument/2006/relationships/hyperlink" Target="https://www.coned.com/_external/cerates/documents/elecPSC10/StatMAC-109.pdf" TargetMode="External"/><Relationship Id="rId16" Type="http://schemas.openxmlformats.org/officeDocument/2006/relationships/hyperlink" Target="https://www.coned.com/_external/cerates/documents/elecPSC10/MACAdjCurrentPSCNo10.pdf" TargetMode="External"/><Relationship Id="rId107" Type="http://schemas.openxmlformats.org/officeDocument/2006/relationships/hyperlink" Target="https://www.coned.com/_external/cerates/documents/elecPSC10/electric-tariff.pdf" TargetMode="External"/><Relationship Id="rId11" Type="http://schemas.openxmlformats.org/officeDocument/2006/relationships/hyperlink" Target="https://www.coned.com/_external/cerates/documents/elecPSC10/StatVDER-CR-4.pdf" TargetMode="External"/><Relationship Id="rId32" Type="http://schemas.openxmlformats.org/officeDocument/2006/relationships/hyperlink" Target="https://www.coned.com/_external/cerates/documents/elecPSC10/StatSBC-11.pdf" TargetMode="External"/><Relationship Id="rId37" Type="http://schemas.openxmlformats.org/officeDocument/2006/relationships/hyperlink" Target="https://www.coned.com/_external/cerates/documents/elecPSC10/MACAdjCurrentPSCNo10.pdf" TargetMode="External"/><Relationship Id="rId53" Type="http://schemas.openxmlformats.org/officeDocument/2006/relationships/hyperlink" Target="https://www.coned.com/_external/cerates/documents/elecPSC10/StatVDER-CR-4.pdf" TargetMode="External"/><Relationship Id="rId58" Type="http://schemas.openxmlformats.org/officeDocument/2006/relationships/hyperlink" Target="https://www.coned.com/_external/cerates/documents/elecPSC10/MSCAdjCurrentPSCNo10.pdf" TargetMode="External"/><Relationship Id="rId74" Type="http://schemas.openxmlformats.org/officeDocument/2006/relationships/hyperlink" Target="https://www.coned.com/_external/cerates/documents/elecPSC10/StatVDER-CR-4.pdf" TargetMode="External"/><Relationship Id="rId79" Type="http://schemas.openxmlformats.org/officeDocument/2006/relationships/hyperlink" Target="https://www.coned.com/_external/cerates/documents/elecPSC10/MSCAdjCurrentPSCNo10.pdf" TargetMode="External"/><Relationship Id="rId102" Type="http://schemas.openxmlformats.org/officeDocument/2006/relationships/hyperlink" Target="https://www.coned.com/_external/cerates/documents/elecPSC10/StatCESD-1.pdf" TargetMode="External"/><Relationship Id="rId123" Type="http://schemas.openxmlformats.org/officeDocument/2006/relationships/hyperlink" Target="https://www.coned.com/_external/cerates/documents/elecPSC10/StatCESD-1.pdf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www.coned.com/_external/cerates/documents/elecPSC10/electric-tariff.pdf" TargetMode="External"/><Relationship Id="rId90" Type="http://schemas.openxmlformats.org/officeDocument/2006/relationships/hyperlink" Target="https://www.coned.com/_external/cerates/documents/elecPSC10/StatRDM-27.pdf" TargetMode="External"/><Relationship Id="rId95" Type="http://schemas.openxmlformats.org/officeDocument/2006/relationships/hyperlink" Target="https://www.coned.com/_external/cerates/documents/elecPSC10/StatVDER-CR-4.pdf" TargetMode="External"/><Relationship Id="rId19" Type="http://schemas.openxmlformats.org/officeDocument/2006/relationships/hyperlink" Target="https://www.coned.com/_external/cerates/documents/elecPSC10/StatCESD-1.pdf" TargetMode="External"/><Relationship Id="rId14" Type="http://schemas.openxmlformats.org/officeDocument/2006/relationships/hyperlink" Target="https://www.coned.com/_external/cerates/documents/elecPSC10/StatGRT-20.pdf" TargetMode="External"/><Relationship Id="rId22" Type="http://schemas.openxmlformats.org/officeDocument/2006/relationships/hyperlink" Target="https://www.coned.com/_external/cerates/documents/elecPSC10/StatVDER-CR-4.pdf" TargetMode="External"/><Relationship Id="rId27" Type="http://schemas.openxmlformats.org/officeDocument/2006/relationships/hyperlink" Target="https://www.coned.com/_external/cerates/documents/elecPSC10/electric-tariff.pdf" TargetMode="External"/><Relationship Id="rId30" Type="http://schemas.openxmlformats.org/officeDocument/2006/relationships/hyperlink" Target="https://www.coned.com/_external/cerates/documents/elecPSC10/MACAdjCurrentPSCNo10.pdf" TargetMode="External"/><Relationship Id="rId35" Type="http://schemas.openxmlformats.org/officeDocument/2006/relationships/hyperlink" Target="https://www.coned.com/_external/cerates/documents/elecPSC10/StatGRT-20.pdf" TargetMode="External"/><Relationship Id="rId43" Type="http://schemas.openxmlformats.org/officeDocument/2006/relationships/hyperlink" Target="https://www.coned.com/_external/cerates/documents/elecPSC10/StatVDER-CR-4.pdf" TargetMode="External"/><Relationship Id="rId48" Type="http://schemas.openxmlformats.org/officeDocument/2006/relationships/hyperlink" Target="https://www.coned.com/_external/cerates/documents/elecPSC10/StatRDM-27.pdf" TargetMode="External"/><Relationship Id="rId56" Type="http://schemas.openxmlformats.org/officeDocument/2006/relationships/hyperlink" Target="https://www.coned.com/_external/cerates/documents/elecPSC10/StatGRT-20.pdf" TargetMode="External"/><Relationship Id="rId64" Type="http://schemas.openxmlformats.org/officeDocument/2006/relationships/hyperlink" Target="https://www.coned.com/_external/cerates/documents/elecPSC10/electric-tariff.pdf" TargetMode="External"/><Relationship Id="rId69" Type="http://schemas.openxmlformats.org/officeDocument/2006/relationships/hyperlink" Target="https://www.coned.com/_external/cerates/documents/elecPSC10/StatRDM-27.pdf" TargetMode="External"/><Relationship Id="rId77" Type="http://schemas.openxmlformats.org/officeDocument/2006/relationships/hyperlink" Target="https://www.coned.com/_external/cerates/documents/elecPSC10/StatGRT-21.pdf" TargetMode="External"/><Relationship Id="rId100" Type="http://schemas.openxmlformats.org/officeDocument/2006/relationships/hyperlink" Target="https://www.coned.com/_external/cerates/documents/elecPSC10/MSCAdjCurrentPSCNo10.pdf" TargetMode="External"/><Relationship Id="rId105" Type="http://schemas.openxmlformats.org/officeDocument/2006/relationships/hyperlink" Target="https://www.coned.com/_external/cerates/documents/elecPSC10/StatVDER-CR-4.pdf" TargetMode="External"/><Relationship Id="rId113" Type="http://schemas.openxmlformats.org/officeDocument/2006/relationships/hyperlink" Target="https://www.coned.com/_external/cerates/documents/elecPSC10/MACAdjCurrentPSCNo10.pdf" TargetMode="External"/><Relationship Id="rId118" Type="http://schemas.openxmlformats.org/officeDocument/2006/relationships/hyperlink" Target="https://www.coned.com/_external/cerates/documents/elecPSC10/StatGRT-20.pdf" TargetMode="External"/><Relationship Id="rId126" Type="http://schemas.openxmlformats.org/officeDocument/2006/relationships/hyperlink" Target="https://www.coned.com/_external/cerates/documents/elecPSC10/StatVDER-CR-4.pdf" TargetMode="External"/><Relationship Id="rId8" Type="http://schemas.openxmlformats.org/officeDocument/2006/relationships/hyperlink" Target="https://www.coned.com/_external/cerates/documents/elecPSC10/MACAdjCurrentPSCNo10.pdf" TargetMode="External"/><Relationship Id="rId51" Type="http://schemas.openxmlformats.org/officeDocument/2006/relationships/hyperlink" Target="https://www.coned.com/_external/cerates/documents/elecPSC10/MACAdjCurrentPSCNo10.pdf" TargetMode="External"/><Relationship Id="rId72" Type="http://schemas.openxmlformats.org/officeDocument/2006/relationships/hyperlink" Target="https://www.coned.com/_external/cerates/documents/elecPSC10/MACAdjCurrentPSCNo10.pdf" TargetMode="External"/><Relationship Id="rId80" Type="http://schemas.openxmlformats.org/officeDocument/2006/relationships/hyperlink" Target="https://www.coned.com/_external/cerates/documents/elecPSC10/MSCAdjCurrentPSCNo10.pdf" TargetMode="External"/><Relationship Id="rId85" Type="http://schemas.openxmlformats.org/officeDocument/2006/relationships/hyperlink" Target="https://www.coned.com/_external/cerates/documents/elecPSC10/electric-tariff.pdf" TargetMode="External"/><Relationship Id="rId93" Type="http://schemas.openxmlformats.org/officeDocument/2006/relationships/hyperlink" Target="https://www.coned.com/_external/cerates/documents/elecPSC10/MACAdjCurrentPSCNo10.pdf" TargetMode="External"/><Relationship Id="rId98" Type="http://schemas.openxmlformats.org/officeDocument/2006/relationships/hyperlink" Target="https://www.coned.com/_external/cerates/documents/elecPSC10/StatGRT-21.pdf" TargetMode="External"/><Relationship Id="rId121" Type="http://schemas.openxmlformats.org/officeDocument/2006/relationships/hyperlink" Target="https://www.coned.com/_external/cerates/documents/elecPSC10/MSCAdjCurrentPSCNo10.pdf" TargetMode="External"/><Relationship Id="rId3" Type="http://schemas.openxmlformats.org/officeDocument/2006/relationships/hyperlink" Target="https://www.coned.com/_external/cerates/documents/elecPSC10/electric-tariff.pdf" TargetMode="External"/><Relationship Id="rId12" Type="http://schemas.openxmlformats.org/officeDocument/2006/relationships/hyperlink" Target="https://apps.coned.com/CEMyAccount/csol/MSCcc.aspx" TargetMode="External"/><Relationship Id="rId17" Type="http://schemas.openxmlformats.org/officeDocument/2006/relationships/hyperlink" Target="https://www.coned.com/_external/cerates/documents/elecPSC10/MSCAdjCurrentPSCNo10.pdf" TargetMode="External"/><Relationship Id="rId25" Type="http://schemas.openxmlformats.org/officeDocument/2006/relationships/hyperlink" Target="https://www.coned.com/_external/cerates/documents/elecPSC10/electric-tariff.pdf" TargetMode="External"/><Relationship Id="rId33" Type="http://schemas.openxmlformats.org/officeDocument/2006/relationships/hyperlink" Target="https://www.coned.com/_external/cerates/documents/elecPSC10/StatVDER-CR-4.pdf" TargetMode="External"/><Relationship Id="rId38" Type="http://schemas.openxmlformats.org/officeDocument/2006/relationships/hyperlink" Target="https://www.coned.com/_external/cerates/documents/elecPSC10/MSCAdjCurrentPSCNo10.pdf" TargetMode="External"/><Relationship Id="rId46" Type="http://schemas.openxmlformats.org/officeDocument/2006/relationships/hyperlink" Target="https://www.coned.com/_external/cerates/documents/elecPSC10/StatSDR-10.pdf" TargetMode="External"/><Relationship Id="rId59" Type="http://schemas.openxmlformats.org/officeDocument/2006/relationships/hyperlink" Target="https://www.coned.com/_external/cerates/documents/elecPSC10/MSCAdjCurrentPSCNo10.pdf" TargetMode="External"/><Relationship Id="rId67" Type="http://schemas.openxmlformats.org/officeDocument/2006/relationships/hyperlink" Target="https://www.coned.com/_external/cerates/documents/elecPSC10/StatSDR-10.pdf" TargetMode="External"/><Relationship Id="rId103" Type="http://schemas.openxmlformats.org/officeDocument/2006/relationships/hyperlink" Target="https://www.coned.com/_external/cerates/documents/elecPSC10/StatCESS-5.pdf" TargetMode="External"/><Relationship Id="rId108" Type="http://schemas.openxmlformats.org/officeDocument/2006/relationships/hyperlink" Target="https://www.coned.com/_external/cerates/documents/elecPSC10/electric-tariff.pdf" TargetMode="External"/><Relationship Id="rId116" Type="http://schemas.openxmlformats.org/officeDocument/2006/relationships/hyperlink" Target="https://www.coned.com/_external/cerates/documents/elecPSC10/StatVDER-CR-4.pdf" TargetMode="External"/><Relationship Id="rId124" Type="http://schemas.openxmlformats.org/officeDocument/2006/relationships/hyperlink" Target="https://www.coned.com/_external/cerates/documents/elecPSC10/StatCESS-5.pdf" TargetMode="External"/><Relationship Id="rId129" Type="http://schemas.openxmlformats.org/officeDocument/2006/relationships/vmlDrawing" Target="../drawings/vmlDrawing1.vml"/><Relationship Id="rId20" Type="http://schemas.openxmlformats.org/officeDocument/2006/relationships/hyperlink" Target="https://www.coned.com/_external/cerates/documents/elecPSC10/StatCESS-5.pdf" TargetMode="External"/><Relationship Id="rId41" Type="http://schemas.openxmlformats.org/officeDocument/2006/relationships/hyperlink" Target="https://www.coned.com/_external/cerates/documents/elecPSC10/StatCESS-5.pdf" TargetMode="External"/><Relationship Id="rId54" Type="http://schemas.openxmlformats.org/officeDocument/2006/relationships/hyperlink" Target="https://www.coned.com/_external/cerates/documents/elecPSC10/StatMFC-111.pdf" TargetMode="External"/><Relationship Id="rId62" Type="http://schemas.openxmlformats.org/officeDocument/2006/relationships/hyperlink" Target="https://www.coned.com/_external/cerates/documents/elecPSC10/StatDLM-4.pdf" TargetMode="External"/><Relationship Id="rId70" Type="http://schemas.openxmlformats.org/officeDocument/2006/relationships/hyperlink" Target="https://www.coned.com/_external/cerates/documents/elecPSC10/StatMAC-109.pdf" TargetMode="External"/><Relationship Id="rId75" Type="http://schemas.openxmlformats.org/officeDocument/2006/relationships/hyperlink" Target="https://www.coned.com/_external/cerates/documents/elecPSC10/StatMFC-111.pdf" TargetMode="External"/><Relationship Id="rId83" Type="http://schemas.openxmlformats.org/officeDocument/2006/relationships/hyperlink" Target="https://www.coned.com/_external/cerates/documents/elecPSC10/StatDLM-4.pdf" TargetMode="External"/><Relationship Id="rId88" Type="http://schemas.openxmlformats.org/officeDocument/2006/relationships/hyperlink" Target="https://www.coned.com/_external/cerates/documents/elecPSC10/StatSDR-10.pdf" TargetMode="External"/><Relationship Id="rId91" Type="http://schemas.openxmlformats.org/officeDocument/2006/relationships/hyperlink" Target="https://www.coned.com/_external/cerates/documents/elecPSC10/StatMAC-109.pdf" TargetMode="External"/><Relationship Id="rId96" Type="http://schemas.openxmlformats.org/officeDocument/2006/relationships/hyperlink" Target="https://www.coned.com/_external/cerates/documents/elecPSC10/StatMFC-111.pdf" TargetMode="External"/><Relationship Id="rId111" Type="http://schemas.openxmlformats.org/officeDocument/2006/relationships/hyperlink" Target="https://www.coned.com/_external/cerates/documents/elecPSC10/StatRDM-27.pdf" TargetMode="External"/><Relationship Id="rId1" Type="http://schemas.openxmlformats.org/officeDocument/2006/relationships/hyperlink" Target="https://www.coned.com/_external/cerates/documents/elecPSC10/electric-tariff.pdf" TargetMode="External"/><Relationship Id="rId6" Type="http://schemas.openxmlformats.org/officeDocument/2006/relationships/hyperlink" Target="https://www.coned.com/_external/cerates/documents/elecPSC10/StatRDM-26.pdf" TargetMode="External"/><Relationship Id="rId15" Type="http://schemas.openxmlformats.org/officeDocument/2006/relationships/hyperlink" Target="https://www.coned.com/_external/cerates/documents/elecPSC10/StatGRT-20.pdf" TargetMode="External"/><Relationship Id="rId23" Type="http://schemas.openxmlformats.org/officeDocument/2006/relationships/hyperlink" Target="https://www.coned.com/_external/cerates/documents/elecPSC10/electric-tariff.pdf" TargetMode="External"/><Relationship Id="rId28" Type="http://schemas.openxmlformats.org/officeDocument/2006/relationships/hyperlink" Target="https://www.coned.com/_external/cerates/documents/elecPSC10/StatRDM-27.pdf" TargetMode="External"/><Relationship Id="rId36" Type="http://schemas.openxmlformats.org/officeDocument/2006/relationships/hyperlink" Target="https://www.coned.com/_external/cerates/documents/elecPSC10/StatGRT-20.pdf" TargetMode="External"/><Relationship Id="rId49" Type="http://schemas.openxmlformats.org/officeDocument/2006/relationships/hyperlink" Target="https://www.coned.com/_external/cerates/documents/elecPSC10/StatMAC-109.pdf" TargetMode="External"/><Relationship Id="rId57" Type="http://schemas.openxmlformats.org/officeDocument/2006/relationships/hyperlink" Target="https://www.coned.com/_external/cerates/documents/elecPSC10/MACAdjCurrentPSCNo10.pdf" TargetMode="External"/><Relationship Id="rId106" Type="http://schemas.openxmlformats.org/officeDocument/2006/relationships/hyperlink" Target="https://www.coned.com/_external/cerates/documents/elecPSC10/electric-tariff.pdf" TargetMode="External"/><Relationship Id="rId114" Type="http://schemas.openxmlformats.org/officeDocument/2006/relationships/hyperlink" Target="https://www.coned.com/_external/cerates/documents/elecPSC10/MACAdjCurrentPSCNo10.pdf" TargetMode="External"/><Relationship Id="rId119" Type="http://schemas.openxmlformats.org/officeDocument/2006/relationships/hyperlink" Target="https://www.coned.com/_external/cerates/documents/elecPSC10/StatGRT-21.pdf" TargetMode="External"/><Relationship Id="rId127" Type="http://schemas.openxmlformats.org/officeDocument/2006/relationships/hyperlink" Target="https://www.coned.com/_external/cerates/documents/elecPSC10/electric-tariff.pdf" TargetMode="External"/><Relationship Id="rId10" Type="http://schemas.openxmlformats.org/officeDocument/2006/relationships/hyperlink" Target="https://www.coned.com/_external/cerates/documents/elecPSC10/StatSBC-11.pdf" TargetMode="External"/><Relationship Id="rId31" Type="http://schemas.openxmlformats.org/officeDocument/2006/relationships/hyperlink" Target="https://www.coned.com/_external/cerates/documents/elecPSC10/MACAdjCurrentPSCNo10.pdf" TargetMode="External"/><Relationship Id="rId44" Type="http://schemas.openxmlformats.org/officeDocument/2006/relationships/hyperlink" Target="https://www.coned.com/_external/cerates/documents/elecPSC10/electric-tariff.pdf" TargetMode="External"/><Relationship Id="rId52" Type="http://schemas.openxmlformats.org/officeDocument/2006/relationships/hyperlink" Target="https://www.coned.com/_external/cerates/documents/elecPSC10/StatSBC-11.pdf" TargetMode="External"/><Relationship Id="rId60" Type="http://schemas.openxmlformats.org/officeDocument/2006/relationships/hyperlink" Target="https://www.coned.com/_external/cerates/documents/elecPSC10/StatCESD-1.pdf" TargetMode="External"/><Relationship Id="rId65" Type="http://schemas.openxmlformats.org/officeDocument/2006/relationships/hyperlink" Target="https://www.coned.com/_external/cerates/documents/elecPSC10/electric-tariff.pdf" TargetMode="External"/><Relationship Id="rId73" Type="http://schemas.openxmlformats.org/officeDocument/2006/relationships/hyperlink" Target="https://www.coned.com/_external/cerates/documents/elecPSC10/StatSBC-11.pdf" TargetMode="External"/><Relationship Id="rId78" Type="http://schemas.openxmlformats.org/officeDocument/2006/relationships/hyperlink" Target="https://www.coned.com/_external/cerates/documents/elecPSC10/MACAdjCurrentPSCNo10.pdf" TargetMode="External"/><Relationship Id="rId81" Type="http://schemas.openxmlformats.org/officeDocument/2006/relationships/hyperlink" Target="https://www.coned.com/_external/cerates/documents/elecPSC10/StatCESD-1.pdf" TargetMode="External"/><Relationship Id="rId86" Type="http://schemas.openxmlformats.org/officeDocument/2006/relationships/hyperlink" Target="https://www.coned.com/_external/cerates/documents/elecPSC10/electric-tariff.pdf" TargetMode="External"/><Relationship Id="rId94" Type="http://schemas.openxmlformats.org/officeDocument/2006/relationships/hyperlink" Target="https://www.coned.com/_external/cerates/documents/elecPSC10/StatSBC-11.pdf" TargetMode="External"/><Relationship Id="rId99" Type="http://schemas.openxmlformats.org/officeDocument/2006/relationships/hyperlink" Target="https://www.coned.com/_external/cerates/documents/elecPSC10/MACAdjCurrentPSCNo10.pdf" TargetMode="External"/><Relationship Id="rId101" Type="http://schemas.openxmlformats.org/officeDocument/2006/relationships/hyperlink" Target="https://www.coned.com/_external/cerates/documents/elecPSC10/MSCAdjCurrentPSCNo10.pdf" TargetMode="External"/><Relationship Id="rId122" Type="http://schemas.openxmlformats.org/officeDocument/2006/relationships/hyperlink" Target="https://www.coned.com/_external/cerates/documents/elecPSC10/MSCAdjCurrentPSCNo10.pdf" TargetMode="External"/><Relationship Id="rId130" Type="http://schemas.openxmlformats.org/officeDocument/2006/relationships/comments" Target="../comments1.xml"/><Relationship Id="rId4" Type="http://schemas.openxmlformats.org/officeDocument/2006/relationships/hyperlink" Target="https://www.coned.com/_external/cerates/documents/elecPSC10/StatSDR-10.pdf" TargetMode="External"/><Relationship Id="rId9" Type="http://schemas.openxmlformats.org/officeDocument/2006/relationships/hyperlink" Target="https://www.coned.com/_external/cerates/documents/elecPSC10/MACAdjCurrentPSCNo10.pdf" TargetMode="External"/><Relationship Id="rId13" Type="http://schemas.openxmlformats.org/officeDocument/2006/relationships/hyperlink" Target="https://www.coned.com/_external/cerates/documents/elecPSC10/StatMFC-110.pdf" TargetMode="External"/><Relationship Id="rId18" Type="http://schemas.openxmlformats.org/officeDocument/2006/relationships/hyperlink" Target="https://www.coned.com/_external/cerates/documents/elecPSC10/MSCAdjCurrentPSCNo10.pdf" TargetMode="External"/><Relationship Id="rId39" Type="http://schemas.openxmlformats.org/officeDocument/2006/relationships/hyperlink" Target="https://www.coned.com/_external/cerates/documents/elecPSC10/MSCAdjCurrentPSCNo10.pdf" TargetMode="External"/><Relationship Id="rId109" Type="http://schemas.openxmlformats.org/officeDocument/2006/relationships/hyperlink" Target="https://www.coned.com/_external/cerates/documents/elecPSC10/StatSDR-10.pdf" TargetMode="External"/><Relationship Id="rId34" Type="http://schemas.openxmlformats.org/officeDocument/2006/relationships/hyperlink" Target="https://www.coned.com/_external/cerates/documents/elecPSC10/StatMFC-111.pdf" TargetMode="External"/><Relationship Id="rId50" Type="http://schemas.openxmlformats.org/officeDocument/2006/relationships/hyperlink" Target="https://www.coned.com/_external/cerates/documents/elecPSC10/MACAdjCurrentPSCNo10.pdf" TargetMode="External"/><Relationship Id="rId55" Type="http://schemas.openxmlformats.org/officeDocument/2006/relationships/hyperlink" Target="https://www.coned.com/_external/cerates/documents/elecPSC10/StatGRT-20.pdf" TargetMode="External"/><Relationship Id="rId76" Type="http://schemas.openxmlformats.org/officeDocument/2006/relationships/hyperlink" Target="https://www.coned.com/_external/cerates/documents/elecPSC10/StatGRT-20.pdf" TargetMode="External"/><Relationship Id="rId97" Type="http://schemas.openxmlformats.org/officeDocument/2006/relationships/hyperlink" Target="https://www.coned.com/_external/cerates/documents/elecPSC10/StatGRT-20.pdf" TargetMode="External"/><Relationship Id="rId104" Type="http://schemas.openxmlformats.org/officeDocument/2006/relationships/hyperlink" Target="https://www.coned.com/_external/cerates/documents/elecPSC10/StatDLM-4.pdf" TargetMode="External"/><Relationship Id="rId120" Type="http://schemas.openxmlformats.org/officeDocument/2006/relationships/hyperlink" Target="https://www.coned.com/_external/cerates/documents/elecPSC10/MACAdjCurrentPSCNo10.pdf" TargetMode="External"/><Relationship Id="rId125" Type="http://schemas.openxmlformats.org/officeDocument/2006/relationships/hyperlink" Target="https://www.coned.com/_external/cerates/documents/elecPSC10/StatDLM-4.pdf" TargetMode="External"/><Relationship Id="rId7" Type="http://schemas.openxmlformats.org/officeDocument/2006/relationships/hyperlink" Target="https://www.coned.com/_external/cerates/documents/elecPSC10/StatMAC-108.pdf" TargetMode="External"/><Relationship Id="rId71" Type="http://schemas.openxmlformats.org/officeDocument/2006/relationships/hyperlink" Target="https://www.coned.com/_external/cerates/documents/elecPSC10/MACAdjCurrentPSCNo10.pdf" TargetMode="External"/><Relationship Id="rId92" Type="http://schemas.openxmlformats.org/officeDocument/2006/relationships/hyperlink" Target="https://www.coned.com/_external/cerates/documents/elecPSC10/MACAdjCurrentPSCNo10.pdf" TargetMode="External"/><Relationship Id="rId2" Type="http://schemas.openxmlformats.org/officeDocument/2006/relationships/hyperlink" Target="https://www.coned.com/_external/cerates/documents/elecPSC10/electric-tariff.pdf" TargetMode="External"/><Relationship Id="rId29" Type="http://schemas.openxmlformats.org/officeDocument/2006/relationships/hyperlink" Target="https://www.coned.com/_external/cerates/documents/elecPSC10/StatMAC-109.pdf" TargetMode="External"/><Relationship Id="rId24" Type="http://schemas.openxmlformats.org/officeDocument/2006/relationships/hyperlink" Target="https://www.coned.com/_external/cerates/documents/elecPSC10/electric-tariff.pdf" TargetMode="External"/><Relationship Id="rId40" Type="http://schemas.openxmlformats.org/officeDocument/2006/relationships/hyperlink" Target="https://www.coned.com/_external/cerates/documents/elecPSC10/StatCESD-1.pdf" TargetMode="External"/><Relationship Id="rId45" Type="http://schemas.openxmlformats.org/officeDocument/2006/relationships/hyperlink" Target="https://www.coned.com/_external/cerates/documents/elecPSC10/electric-tariff.pdf" TargetMode="External"/><Relationship Id="rId66" Type="http://schemas.openxmlformats.org/officeDocument/2006/relationships/hyperlink" Target="https://www.coned.com/_external/cerates/documents/elecPSC10/electric-tariff.pdf" TargetMode="External"/><Relationship Id="rId87" Type="http://schemas.openxmlformats.org/officeDocument/2006/relationships/hyperlink" Target="https://www.coned.com/_external/cerates/documents/elecPSC10/electric-tariff.pdf" TargetMode="External"/><Relationship Id="rId110" Type="http://schemas.openxmlformats.org/officeDocument/2006/relationships/hyperlink" Target="https://www.coned.com/_external/cerates/documents/elecPSC10/electric-tariff.pdf" TargetMode="External"/><Relationship Id="rId115" Type="http://schemas.openxmlformats.org/officeDocument/2006/relationships/hyperlink" Target="https://www.coned.com/_external/cerates/documents/elecPSC10/StatSBC-11.pdf" TargetMode="External"/><Relationship Id="rId61" Type="http://schemas.openxmlformats.org/officeDocument/2006/relationships/hyperlink" Target="https://www.coned.com/_external/cerates/documents/elecPSC10/StatCESS-5.pdf" TargetMode="External"/><Relationship Id="rId82" Type="http://schemas.openxmlformats.org/officeDocument/2006/relationships/hyperlink" Target="https://www.coned.com/_external/cerates/documents/elecPSC10/StatCESS-5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ed.com/_external/cerates/documents/elecPSC10/StatSDR-10.pdf" TargetMode="External"/><Relationship Id="rId117" Type="http://schemas.openxmlformats.org/officeDocument/2006/relationships/hyperlink" Target="https://www.coned.com/_external/cerates/documents/elecPSC10/StatMFC-111.pdf" TargetMode="External"/><Relationship Id="rId21" Type="http://schemas.openxmlformats.org/officeDocument/2006/relationships/hyperlink" Target="https://www.coned.com/_external/cerates/documents/elecPSC10/StatDLM-4.pdf" TargetMode="External"/><Relationship Id="rId42" Type="http://schemas.openxmlformats.org/officeDocument/2006/relationships/hyperlink" Target="https://www.coned.com/_external/cerates/documents/elecPSC10/StatDLM-4.pdf" TargetMode="External"/><Relationship Id="rId47" Type="http://schemas.openxmlformats.org/officeDocument/2006/relationships/hyperlink" Target="https://www.coned.com/_external/cerates/documents/elecPSC10/electric-tariff.pdf" TargetMode="External"/><Relationship Id="rId63" Type="http://schemas.openxmlformats.org/officeDocument/2006/relationships/hyperlink" Target="https://www.coned.com/_external/cerates/documents/elecPSC10/StatVDER-CR-4.pdf" TargetMode="External"/><Relationship Id="rId68" Type="http://schemas.openxmlformats.org/officeDocument/2006/relationships/hyperlink" Target="https://www.coned.com/_external/cerates/documents/elecPSC10/electric-tariff.pdf" TargetMode="External"/><Relationship Id="rId84" Type="http://schemas.openxmlformats.org/officeDocument/2006/relationships/hyperlink" Target="https://www.coned.com/_external/cerates/documents/elecPSC10/StatVDER-CR-4.pdf" TargetMode="External"/><Relationship Id="rId89" Type="http://schemas.openxmlformats.org/officeDocument/2006/relationships/hyperlink" Target="https://www.coned.com/_external/cerates/documents/elecPSC10/electric-tariff.pdf" TargetMode="External"/><Relationship Id="rId112" Type="http://schemas.openxmlformats.org/officeDocument/2006/relationships/hyperlink" Target="https://www.coned.com/_external/cerates/documents/elecPSC10/StatMAC-109.pdf" TargetMode="External"/><Relationship Id="rId16" Type="http://schemas.openxmlformats.org/officeDocument/2006/relationships/hyperlink" Target="https://www.coned.com/_external/cerates/documents/elecPSC10/MACAdjCurrentPSCNo10.pdf" TargetMode="External"/><Relationship Id="rId107" Type="http://schemas.openxmlformats.org/officeDocument/2006/relationships/hyperlink" Target="https://www.coned.com/_external/cerates/documents/elecPSC10/electric-tariff.pdf" TargetMode="External"/><Relationship Id="rId11" Type="http://schemas.openxmlformats.org/officeDocument/2006/relationships/hyperlink" Target="https://www.coned.com/_external/cerates/documents/elecPSC10/StatVDER-CR-4.pdf" TargetMode="External"/><Relationship Id="rId32" Type="http://schemas.openxmlformats.org/officeDocument/2006/relationships/hyperlink" Target="https://www.coned.com/_external/cerates/documents/elecPSC10/StatSBC-11.pdf" TargetMode="External"/><Relationship Id="rId37" Type="http://schemas.openxmlformats.org/officeDocument/2006/relationships/hyperlink" Target="https://www.coned.com/_external/cerates/documents/elecPSC10/MACAdjCurrentPSCNo10.pdf" TargetMode="External"/><Relationship Id="rId53" Type="http://schemas.openxmlformats.org/officeDocument/2006/relationships/hyperlink" Target="https://www.coned.com/_external/cerates/documents/elecPSC10/StatVDER-CR-4.pdf" TargetMode="External"/><Relationship Id="rId58" Type="http://schemas.openxmlformats.org/officeDocument/2006/relationships/hyperlink" Target="https://www.coned.com/_external/cerates/documents/elecPSC10/MSCAdjCurrentPSCNo10.pdf" TargetMode="External"/><Relationship Id="rId74" Type="http://schemas.openxmlformats.org/officeDocument/2006/relationships/hyperlink" Target="https://www.coned.com/_external/cerates/documents/elecPSC10/StatVDER-CR-4.pdf" TargetMode="External"/><Relationship Id="rId79" Type="http://schemas.openxmlformats.org/officeDocument/2006/relationships/hyperlink" Target="https://www.coned.com/_external/cerates/documents/elecPSC10/MSCAdjCurrentPSCNo10.pdf" TargetMode="External"/><Relationship Id="rId102" Type="http://schemas.openxmlformats.org/officeDocument/2006/relationships/hyperlink" Target="https://www.coned.com/_external/cerates/documents/elecPSC10/StatCESD-1.pdf" TargetMode="External"/><Relationship Id="rId123" Type="http://schemas.openxmlformats.org/officeDocument/2006/relationships/hyperlink" Target="https://www.coned.com/_external/cerates/documents/elecPSC10/StatCESD-1.pdf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www.coned.com/_external/cerates/documents/elecPSC10/electric-tariff.pdf" TargetMode="External"/><Relationship Id="rId90" Type="http://schemas.openxmlformats.org/officeDocument/2006/relationships/hyperlink" Target="https://www.coned.com/_external/cerates/documents/elecPSC10/StatRDM-27.pdf" TargetMode="External"/><Relationship Id="rId95" Type="http://schemas.openxmlformats.org/officeDocument/2006/relationships/hyperlink" Target="https://www.coned.com/_external/cerates/documents/elecPSC10/StatVDER-CR-4.pdf" TargetMode="External"/><Relationship Id="rId19" Type="http://schemas.openxmlformats.org/officeDocument/2006/relationships/hyperlink" Target="https://www.coned.com/_external/cerates/documents/elecPSC10/StatCESD-1.pdf" TargetMode="External"/><Relationship Id="rId14" Type="http://schemas.openxmlformats.org/officeDocument/2006/relationships/hyperlink" Target="https://www.coned.com/_external/cerates/documents/elecPSC10/StatGRT-20.pdf" TargetMode="External"/><Relationship Id="rId22" Type="http://schemas.openxmlformats.org/officeDocument/2006/relationships/hyperlink" Target="https://www.coned.com/_external/cerates/documents/elecPSC10/StatVDER-CR-4.pdf" TargetMode="External"/><Relationship Id="rId27" Type="http://schemas.openxmlformats.org/officeDocument/2006/relationships/hyperlink" Target="https://www.coned.com/_external/cerates/documents/elecPSC10/electric-tariff.pdf" TargetMode="External"/><Relationship Id="rId30" Type="http://schemas.openxmlformats.org/officeDocument/2006/relationships/hyperlink" Target="https://www.coned.com/_external/cerates/documents/elecPSC10/MACAdjCurrentPSCNo10.pdf" TargetMode="External"/><Relationship Id="rId35" Type="http://schemas.openxmlformats.org/officeDocument/2006/relationships/hyperlink" Target="https://www.coned.com/_external/cerates/documents/elecPSC10/StatGRT-20.pdf" TargetMode="External"/><Relationship Id="rId43" Type="http://schemas.openxmlformats.org/officeDocument/2006/relationships/hyperlink" Target="https://www.coned.com/_external/cerates/documents/elecPSC10/StatVDER-CR-4.pdf" TargetMode="External"/><Relationship Id="rId48" Type="http://schemas.openxmlformats.org/officeDocument/2006/relationships/hyperlink" Target="https://www.coned.com/_external/cerates/documents/elecPSC10/StatRDM-27.pdf" TargetMode="External"/><Relationship Id="rId56" Type="http://schemas.openxmlformats.org/officeDocument/2006/relationships/hyperlink" Target="https://www.coned.com/_external/cerates/documents/elecPSC10/StatGRT-20.pdf" TargetMode="External"/><Relationship Id="rId64" Type="http://schemas.openxmlformats.org/officeDocument/2006/relationships/hyperlink" Target="https://www.coned.com/_external/cerates/documents/elecPSC10/electric-tariff.pdf" TargetMode="External"/><Relationship Id="rId69" Type="http://schemas.openxmlformats.org/officeDocument/2006/relationships/hyperlink" Target="https://www.coned.com/_external/cerates/documents/elecPSC10/StatRDM-27.pdf" TargetMode="External"/><Relationship Id="rId77" Type="http://schemas.openxmlformats.org/officeDocument/2006/relationships/hyperlink" Target="https://www.coned.com/_external/cerates/documents/elecPSC10/StatGRT-21.pdf" TargetMode="External"/><Relationship Id="rId100" Type="http://schemas.openxmlformats.org/officeDocument/2006/relationships/hyperlink" Target="https://www.coned.com/_external/cerates/documents/elecPSC10/MSCAdjCurrentPSCNo10.pdf" TargetMode="External"/><Relationship Id="rId105" Type="http://schemas.openxmlformats.org/officeDocument/2006/relationships/hyperlink" Target="https://www.coned.com/_external/cerates/documents/elecPSC10/StatVDER-CR-4.pdf" TargetMode="External"/><Relationship Id="rId113" Type="http://schemas.openxmlformats.org/officeDocument/2006/relationships/hyperlink" Target="https://www.coned.com/_external/cerates/documents/elecPSC10/MACAdjCurrentPSCNo10.pdf" TargetMode="External"/><Relationship Id="rId118" Type="http://schemas.openxmlformats.org/officeDocument/2006/relationships/hyperlink" Target="https://www.coned.com/_external/cerates/documents/elecPSC10/StatGRT-20.pdf" TargetMode="External"/><Relationship Id="rId126" Type="http://schemas.openxmlformats.org/officeDocument/2006/relationships/hyperlink" Target="https://www.coned.com/_external/cerates/documents/elecPSC10/StatVDER-CR-4.pdf" TargetMode="External"/><Relationship Id="rId8" Type="http://schemas.openxmlformats.org/officeDocument/2006/relationships/hyperlink" Target="https://www.coned.com/_external/cerates/documents/elecPSC10/MACAdjCurrentPSCNo10.pdf" TargetMode="External"/><Relationship Id="rId51" Type="http://schemas.openxmlformats.org/officeDocument/2006/relationships/hyperlink" Target="https://www.coned.com/_external/cerates/documents/elecPSC10/MACAdjCurrentPSCNo10.pdf" TargetMode="External"/><Relationship Id="rId72" Type="http://schemas.openxmlformats.org/officeDocument/2006/relationships/hyperlink" Target="https://www.coned.com/_external/cerates/documents/elecPSC10/MACAdjCurrentPSCNo10.pdf" TargetMode="External"/><Relationship Id="rId80" Type="http://schemas.openxmlformats.org/officeDocument/2006/relationships/hyperlink" Target="https://www.coned.com/_external/cerates/documents/elecPSC10/MSCAdjCurrentPSCNo10.pdf" TargetMode="External"/><Relationship Id="rId85" Type="http://schemas.openxmlformats.org/officeDocument/2006/relationships/hyperlink" Target="https://www.coned.com/_external/cerates/documents/elecPSC10/electric-tariff.pdf" TargetMode="External"/><Relationship Id="rId93" Type="http://schemas.openxmlformats.org/officeDocument/2006/relationships/hyperlink" Target="https://www.coned.com/_external/cerates/documents/elecPSC10/MACAdjCurrentPSCNo10.pdf" TargetMode="External"/><Relationship Id="rId98" Type="http://schemas.openxmlformats.org/officeDocument/2006/relationships/hyperlink" Target="https://www.coned.com/_external/cerates/documents/elecPSC10/StatGRT-21.pdf" TargetMode="External"/><Relationship Id="rId121" Type="http://schemas.openxmlformats.org/officeDocument/2006/relationships/hyperlink" Target="https://www.coned.com/_external/cerates/documents/elecPSC10/MSCAdjCurrentPSCNo10.pdf" TargetMode="External"/><Relationship Id="rId3" Type="http://schemas.openxmlformats.org/officeDocument/2006/relationships/hyperlink" Target="https://www.coned.com/_external/cerates/documents/elecPSC10/electric-tariff.pdf" TargetMode="External"/><Relationship Id="rId12" Type="http://schemas.openxmlformats.org/officeDocument/2006/relationships/hyperlink" Target="https://apps.coned.com/CEMyAccount/csol/MSCcc.aspx" TargetMode="External"/><Relationship Id="rId17" Type="http://schemas.openxmlformats.org/officeDocument/2006/relationships/hyperlink" Target="https://www.coned.com/_external/cerates/documents/elecPSC10/MSCAdjCurrentPSCNo10.pdf" TargetMode="External"/><Relationship Id="rId25" Type="http://schemas.openxmlformats.org/officeDocument/2006/relationships/hyperlink" Target="https://www.coned.com/_external/cerates/documents/elecPSC10/electric-tariff.pdf" TargetMode="External"/><Relationship Id="rId33" Type="http://schemas.openxmlformats.org/officeDocument/2006/relationships/hyperlink" Target="https://www.coned.com/_external/cerates/documents/elecPSC10/StatVDER-CR-4.pdf" TargetMode="External"/><Relationship Id="rId38" Type="http://schemas.openxmlformats.org/officeDocument/2006/relationships/hyperlink" Target="https://www.coned.com/_external/cerates/documents/elecPSC10/MSCAdjCurrentPSCNo10.pdf" TargetMode="External"/><Relationship Id="rId46" Type="http://schemas.openxmlformats.org/officeDocument/2006/relationships/hyperlink" Target="https://www.coned.com/_external/cerates/documents/elecPSC10/StatSDR-10.pdf" TargetMode="External"/><Relationship Id="rId59" Type="http://schemas.openxmlformats.org/officeDocument/2006/relationships/hyperlink" Target="https://www.coned.com/_external/cerates/documents/elecPSC10/MSCAdjCurrentPSCNo10.pdf" TargetMode="External"/><Relationship Id="rId67" Type="http://schemas.openxmlformats.org/officeDocument/2006/relationships/hyperlink" Target="https://www.coned.com/_external/cerates/documents/elecPSC10/StatSDR-10.pdf" TargetMode="External"/><Relationship Id="rId103" Type="http://schemas.openxmlformats.org/officeDocument/2006/relationships/hyperlink" Target="https://www.coned.com/_external/cerates/documents/elecPSC10/StatCESS-5.pdf" TargetMode="External"/><Relationship Id="rId108" Type="http://schemas.openxmlformats.org/officeDocument/2006/relationships/hyperlink" Target="https://www.coned.com/_external/cerates/documents/elecPSC10/electric-tariff.pdf" TargetMode="External"/><Relationship Id="rId116" Type="http://schemas.openxmlformats.org/officeDocument/2006/relationships/hyperlink" Target="https://www.coned.com/_external/cerates/documents/elecPSC10/StatVDER-CR-4.pdf" TargetMode="External"/><Relationship Id="rId124" Type="http://schemas.openxmlformats.org/officeDocument/2006/relationships/hyperlink" Target="https://www.coned.com/_external/cerates/documents/elecPSC10/StatCESS-5.pdf" TargetMode="External"/><Relationship Id="rId129" Type="http://schemas.openxmlformats.org/officeDocument/2006/relationships/vmlDrawing" Target="../drawings/vmlDrawing2.vml"/><Relationship Id="rId20" Type="http://schemas.openxmlformats.org/officeDocument/2006/relationships/hyperlink" Target="https://www.coned.com/_external/cerates/documents/elecPSC10/StatCESS-5.pdf" TargetMode="External"/><Relationship Id="rId41" Type="http://schemas.openxmlformats.org/officeDocument/2006/relationships/hyperlink" Target="https://www.coned.com/_external/cerates/documents/elecPSC10/StatCESS-5.pdf" TargetMode="External"/><Relationship Id="rId54" Type="http://schemas.openxmlformats.org/officeDocument/2006/relationships/hyperlink" Target="https://www.coned.com/_external/cerates/documents/elecPSC10/StatMFC-111.pdf" TargetMode="External"/><Relationship Id="rId62" Type="http://schemas.openxmlformats.org/officeDocument/2006/relationships/hyperlink" Target="https://www.coned.com/_external/cerates/documents/elecPSC10/StatDLM-4.pdf" TargetMode="External"/><Relationship Id="rId70" Type="http://schemas.openxmlformats.org/officeDocument/2006/relationships/hyperlink" Target="https://www.coned.com/_external/cerates/documents/elecPSC10/StatMAC-109.pdf" TargetMode="External"/><Relationship Id="rId75" Type="http://schemas.openxmlformats.org/officeDocument/2006/relationships/hyperlink" Target="https://www.coned.com/_external/cerates/documents/elecPSC10/StatMFC-111.pdf" TargetMode="External"/><Relationship Id="rId83" Type="http://schemas.openxmlformats.org/officeDocument/2006/relationships/hyperlink" Target="https://www.coned.com/_external/cerates/documents/elecPSC10/StatDLM-4.pdf" TargetMode="External"/><Relationship Id="rId88" Type="http://schemas.openxmlformats.org/officeDocument/2006/relationships/hyperlink" Target="https://www.coned.com/_external/cerates/documents/elecPSC10/StatSDR-10.pdf" TargetMode="External"/><Relationship Id="rId91" Type="http://schemas.openxmlformats.org/officeDocument/2006/relationships/hyperlink" Target="https://www.coned.com/_external/cerates/documents/elecPSC10/StatMAC-109.pdf" TargetMode="External"/><Relationship Id="rId96" Type="http://schemas.openxmlformats.org/officeDocument/2006/relationships/hyperlink" Target="https://www.coned.com/_external/cerates/documents/elecPSC10/StatMFC-111.pdf" TargetMode="External"/><Relationship Id="rId111" Type="http://schemas.openxmlformats.org/officeDocument/2006/relationships/hyperlink" Target="https://www.coned.com/_external/cerates/documents/elecPSC10/StatRDM-27.pdf" TargetMode="External"/><Relationship Id="rId1" Type="http://schemas.openxmlformats.org/officeDocument/2006/relationships/hyperlink" Target="https://www.coned.com/_external/cerates/documents/elecPSC10/electric-tariff.pdf" TargetMode="External"/><Relationship Id="rId6" Type="http://schemas.openxmlformats.org/officeDocument/2006/relationships/hyperlink" Target="https://www.coned.com/_external/cerates/documents/elecPSC10/StatRDM-26.pdf" TargetMode="External"/><Relationship Id="rId15" Type="http://schemas.openxmlformats.org/officeDocument/2006/relationships/hyperlink" Target="https://www.coned.com/_external/cerates/documents/elecPSC10/StatGRT-20.pdf" TargetMode="External"/><Relationship Id="rId23" Type="http://schemas.openxmlformats.org/officeDocument/2006/relationships/hyperlink" Target="https://www.coned.com/_external/cerates/documents/elecPSC10/electric-tariff.pdf" TargetMode="External"/><Relationship Id="rId28" Type="http://schemas.openxmlformats.org/officeDocument/2006/relationships/hyperlink" Target="https://www.coned.com/_external/cerates/documents/elecPSC10/StatRDM-27.pdf" TargetMode="External"/><Relationship Id="rId36" Type="http://schemas.openxmlformats.org/officeDocument/2006/relationships/hyperlink" Target="https://www.coned.com/_external/cerates/documents/elecPSC10/StatGRT-20.pdf" TargetMode="External"/><Relationship Id="rId49" Type="http://schemas.openxmlformats.org/officeDocument/2006/relationships/hyperlink" Target="https://www.coned.com/_external/cerates/documents/elecPSC10/StatMAC-109.pdf" TargetMode="External"/><Relationship Id="rId57" Type="http://schemas.openxmlformats.org/officeDocument/2006/relationships/hyperlink" Target="https://www.coned.com/_external/cerates/documents/elecPSC10/MACAdjCurrentPSCNo10.pdf" TargetMode="External"/><Relationship Id="rId106" Type="http://schemas.openxmlformats.org/officeDocument/2006/relationships/hyperlink" Target="https://www.coned.com/_external/cerates/documents/elecPSC10/electric-tariff.pdf" TargetMode="External"/><Relationship Id="rId114" Type="http://schemas.openxmlformats.org/officeDocument/2006/relationships/hyperlink" Target="https://www.coned.com/_external/cerates/documents/elecPSC10/MACAdjCurrentPSCNo10.pdf" TargetMode="External"/><Relationship Id="rId119" Type="http://schemas.openxmlformats.org/officeDocument/2006/relationships/hyperlink" Target="https://www.coned.com/_external/cerates/documents/elecPSC10/StatGRT-21.pdf" TargetMode="External"/><Relationship Id="rId127" Type="http://schemas.openxmlformats.org/officeDocument/2006/relationships/hyperlink" Target="https://www.coned.com/_external/cerates/documents/elecPSC10/electric-tariff.pdf" TargetMode="External"/><Relationship Id="rId10" Type="http://schemas.openxmlformats.org/officeDocument/2006/relationships/hyperlink" Target="https://www.coned.com/_external/cerates/documents/elecPSC10/StatSBC-11.pdf" TargetMode="External"/><Relationship Id="rId31" Type="http://schemas.openxmlformats.org/officeDocument/2006/relationships/hyperlink" Target="https://www.coned.com/_external/cerates/documents/elecPSC10/MACAdjCurrentPSCNo10.pdf" TargetMode="External"/><Relationship Id="rId44" Type="http://schemas.openxmlformats.org/officeDocument/2006/relationships/hyperlink" Target="https://www.coned.com/_external/cerates/documents/elecPSC10/electric-tariff.pdf" TargetMode="External"/><Relationship Id="rId52" Type="http://schemas.openxmlformats.org/officeDocument/2006/relationships/hyperlink" Target="https://www.coned.com/_external/cerates/documents/elecPSC10/StatSBC-11.pdf" TargetMode="External"/><Relationship Id="rId60" Type="http://schemas.openxmlformats.org/officeDocument/2006/relationships/hyperlink" Target="https://www.coned.com/_external/cerates/documents/elecPSC10/StatCESD-1.pdf" TargetMode="External"/><Relationship Id="rId65" Type="http://schemas.openxmlformats.org/officeDocument/2006/relationships/hyperlink" Target="https://www.coned.com/_external/cerates/documents/elecPSC10/electric-tariff.pdf" TargetMode="External"/><Relationship Id="rId73" Type="http://schemas.openxmlformats.org/officeDocument/2006/relationships/hyperlink" Target="https://www.coned.com/_external/cerates/documents/elecPSC10/StatSBC-11.pdf" TargetMode="External"/><Relationship Id="rId78" Type="http://schemas.openxmlformats.org/officeDocument/2006/relationships/hyperlink" Target="https://www.coned.com/_external/cerates/documents/elecPSC10/MACAdjCurrentPSCNo10.pdf" TargetMode="External"/><Relationship Id="rId81" Type="http://schemas.openxmlformats.org/officeDocument/2006/relationships/hyperlink" Target="https://www.coned.com/_external/cerates/documents/elecPSC10/StatCESD-1.pdf" TargetMode="External"/><Relationship Id="rId86" Type="http://schemas.openxmlformats.org/officeDocument/2006/relationships/hyperlink" Target="https://www.coned.com/_external/cerates/documents/elecPSC10/electric-tariff.pdf" TargetMode="External"/><Relationship Id="rId94" Type="http://schemas.openxmlformats.org/officeDocument/2006/relationships/hyperlink" Target="https://www.coned.com/_external/cerates/documents/elecPSC10/StatSBC-11.pdf" TargetMode="External"/><Relationship Id="rId99" Type="http://schemas.openxmlformats.org/officeDocument/2006/relationships/hyperlink" Target="https://www.coned.com/_external/cerates/documents/elecPSC10/MACAdjCurrentPSCNo10.pdf" TargetMode="External"/><Relationship Id="rId101" Type="http://schemas.openxmlformats.org/officeDocument/2006/relationships/hyperlink" Target="https://www.coned.com/_external/cerates/documents/elecPSC10/MSCAdjCurrentPSCNo10.pdf" TargetMode="External"/><Relationship Id="rId122" Type="http://schemas.openxmlformats.org/officeDocument/2006/relationships/hyperlink" Target="https://www.coned.com/_external/cerates/documents/elecPSC10/MSCAdjCurrentPSCNo10.pdf" TargetMode="External"/><Relationship Id="rId130" Type="http://schemas.openxmlformats.org/officeDocument/2006/relationships/comments" Target="../comments2.xml"/><Relationship Id="rId4" Type="http://schemas.openxmlformats.org/officeDocument/2006/relationships/hyperlink" Target="https://www.coned.com/_external/cerates/documents/elecPSC10/StatSDR-10.pdf" TargetMode="External"/><Relationship Id="rId9" Type="http://schemas.openxmlformats.org/officeDocument/2006/relationships/hyperlink" Target="https://www.coned.com/_external/cerates/documents/elecPSC10/MACAdjCurrentPSCNo10.pdf" TargetMode="External"/><Relationship Id="rId13" Type="http://schemas.openxmlformats.org/officeDocument/2006/relationships/hyperlink" Target="https://www.coned.com/_external/cerates/documents/elecPSC10/StatMFC-110.pdf" TargetMode="External"/><Relationship Id="rId18" Type="http://schemas.openxmlformats.org/officeDocument/2006/relationships/hyperlink" Target="https://www.coned.com/_external/cerates/documents/elecPSC10/MSCAdjCurrentPSCNo10.pdf" TargetMode="External"/><Relationship Id="rId39" Type="http://schemas.openxmlformats.org/officeDocument/2006/relationships/hyperlink" Target="https://www.coned.com/_external/cerates/documents/elecPSC10/MSCAdjCurrentPSCNo10.pdf" TargetMode="External"/><Relationship Id="rId109" Type="http://schemas.openxmlformats.org/officeDocument/2006/relationships/hyperlink" Target="https://www.coned.com/_external/cerates/documents/elecPSC10/StatSDR-10.pdf" TargetMode="External"/><Relationship Id="rId34" Type="http://schemas.openxmlformats.org/officeDocument/2006/relationships/hyperlink" Target="https://www.coned.com/_external/cerates/documents/elecPSC10/StatMFC-111.pdf" TargetMode="External"/><Relationship Id="rId50" Type="http://schemas.openxmlformats.org/officeDocument/2006/relationships/hyperlink" Target="https://www.coned.com/_external/cerates/documents/elecPSC10/MACAdjCurrentPSCNo10.pdf" TargetMode="External"/><Relationship Id="rId55" Type="http://schemas.openxmlformats.org/officeDocument/2006/relationships/hyperlink" Target="https://www.coned.com/_external/cerates/documents/elecPSC10/StatGRT-20.pdf" TargetMode="External"/><Relationship Id="rId76" Type="http://schemas.openxmlformats.org/officeDocument/2006/relationships/hyperlink" Target="https://www.coned.com/_external/cerates/documents/elecPSC10/StatGRT-20.pdf" TargetMode="External"/><Relationship Id="rId97" Type="http://schemas.openxmlformats.org/officeDocument/2006/relationships/hyperlink" Target="https://www.coned.com/_external/cerates/documents/elecPSC10/StatGRT-20.pdf" TargetMode="External"/><Relationship Id="rId104" Type="http://schemas.openxmlformats.org/officeDocument/2006/relationships/hyperlink" Target="https://www.coned.com/_external/cerates/documents/elecPSC10/StatDLM-4.pdf" TargetMode="External"/><Relationship Id="rId120" Type="http://schemas.openxmlformats.org/officeDocument/2006/relationships/hyperlink" Target="https://www.coned.com/_external/cerates/documents/elecPSC10/MACAdjCurrentPSCNo10.pdf" TargetMode="External"/><Relationship Id="rId125" Type="http://schemas.openxmlformats.org/officeDocument/2006/relationships/hyperlink" Target="https://www.coned.com/_external/cerates/documents/elecPSC10/StatDLM-4.pdf" TargetMode="External"/><Relationship Id="rId7" Type="http://schemas.openxmlformats.org/officeDocument/2006/relationships/hyperlink" Target="https://www.coned.com/_external/cerates/documents/elecPSC10/StatMAC-108.pdf" TargetMode="External"/><Relationship Id="rId71" Type="http://schemas.openxmlformats.org/officeDocument/2006/relationships/hyperlink" Target="https://www.coned.com/_external/cerates/documents/elecPSC10/MACAdjCurrentPSCNo10.pdf" TargetMode="External"/><Relationship Id="rId92" Type="http://schemas.openxmlformats.org/officeDocument/2006/relationships/hyperlink" Target="https://www.coned.com/_external/cerates/documents/elecPSC10/MACAdjCurrentPSCNo10.pdf" TargetMode="External"/><Relationship Id="rId2" Type="http://schemas.openxmlformats.org/officeDocument/2006/relationships/hyperlink" Target="https://www.coned.com/_external/cerates/documents/elecPSC10/electric-tariff.pdf" TargetMode="External"/><Relationship Id="rId29" Type="http://schemas.openxmlformats.org/officeDocument/2006/relationships/hyperlink" Target="https://www.coned.com/_external/cerates/documents/elecPSC10/StatMAC-109.pdf" TargetMode="External"/><Relationship Id="rId24" Type="http://schemas.openxmlformats.org/officeDocument/2006/relationships/hyperlink" Target="https://www.coned.com/_external/cerates/documents/elecPSC10/electric-tariff.pdf" TargetMode="External"/><Relationship Id="rId40" Type="http://schemas.openxmlformats.org/officeDocument/2006/relationships/hyperlink" Target="https://www.coned.com/_external/cerates/documents/elecPSC10/StatCESD-1.pdf" TargetMode="External"/><Relationship Id="rId45" Type="http://schemas.openxmlformats.org/officeDocument/2006/relationships/hyperlink" Target="https://www.coned.com/_external/cerates/documents/elecPSC10/electric-tariff.pdf" TargetMode="External"/><Relationship Id="rId66" Type="http://schemas.openxmlformats.org/officeDocument/2006/relationships/hyperlink" Target="https://www.coned.com/_external/cerates/documents/elecPSC10/electric-tariff.pdf" TargetMode="External"/><Relationship Id="rId87" Type="http://schemas.openxmlformats.org/officeDocument/2006/relationships/hyperlink" Target="https://www.coned.com/_external/cerates/documents/elecPSC10/electric-tariff.pdf" TargetMode="External"/><Relationship Id="rId110" Type="http://schemas.openxmlformats.org/officeDocument/2006/relationships/hyperlink" Target="https://www.coned.com/_external/cerates/documents/elecPSC10/electric-tariff.pdf" TargetMode="External"/><Relationship Id="rId115" Type="http://schemas.openxmlformats.org/officeDocument/2006/relationships/hyperlink" Target="https://www.coned.com/_external/cerates/documents/elecPSC10/StatSBC-11.pdf" TargetMode="External"/><Relationship Id="rId61" Type="http://schemas.openxmlformats.org/officeDocument/2006/relationships/hyperlink" Target="https://www.coned.com/_external/cerates/documents/elecPSC10/StatCESS-5.pdf" TargetMode="External"/><Relationship Id="rId82" Type="http://schemas.openxmlformats.org/officeDocument/2006/relationships/hyperlink" Target="https://www.coned.com/_external/cerates/documents/elecPSC10/StatCESS-5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8EF4-3EDE-45EE-913B-7C90A8B1E619}">
  <sheetPr>
    <pageSetUpPr fitToPage="1"/>
  </sheetPr>
  <dimension ref="A1:EO42"/>
  <sheetViews>
    <sheetView zoomScale="130" zoomScaleNormal="130" workbookViewId="0">
      <pane xSplit="1" ySplit="6" topLeftCell="DY7" activePane="bottomRight" state="frozen"/>
      <selection pane="topRight" activeCell="B1" sqref="B1"/>
      <selection pane="bottomLeft" activeCell="A6" sqref="A6"/>
      <selection pane="bottomRight" activeCell="A4" sqref="A4:EI31"/>
    </sheetView>
  </sheetViews>
  <sheetFormatPr defaultColWidth="9.1796875" defaultRowHeight="10" x14ac:dyDescent="0.2"/>
  <cols>
    <col min="1" max="1" width="37.453125" style="2" customWidth="1"/>
    <col min="2" max="4" width="9.453125" style="2" customWidth="1"/>
    <col min="5" max="5" width="9.453125" style="2" bestFit="1" customWidth="1"/>
    <col min="6" max="9" width="9.1796875" style="2"/>
    <col min="10" max="11" width="9.453125" style="2" bestFit="1" customWidth="1"/>
    <col min="12" max="12" width="9.1796875" style="2"/>
    <col min="13" max="13" width="9.453125" style="2" bestFit="1" customWidth="1"/>
    <col min="14" max="17" width="9.1796875" style="2"/>
    <col min="18" max="18" width="9.453125" style="2" bestFit="1" customWidth="1"/>
    <col min="19" max="22" width="9.1796875" style="2"/>
    <col min="23" max="23" width="9.453125" style="2" bestFit="1" customWidth="1"/>
    <col min="24" max="24" width="9.1796875" style="2"/>
    <col min="25" max="25" width="9.453125" style="2" bestFit="1" customWidth="1"/>
    <col min="26" max="28" width="9.1796875" style="2"/>
    <col min="29" max="29" width="9.453125" style="3" bestFit="1" customWidth="1"/>
    <col min="30" max="32" width="9.453125" style="2" bestFit="1" customWidth="1"/>
    <col min="33" max="33" width="13.453125" style="2" bestFit="1" customWidth="1"/>
    <col min="34" max="34" width="9.453125" style="2" bestFit="1" customWidth="1"/>
    <col min="35" max="35" width="9.1796875" style="2"/>
    <col min="36" max="41" width="9.7265625" style="2" bestFit="1" customWidth="1"/>
    <col min="42" max="45" width="9.453125" style="2" bestFit="1" customWidth="1"/>
    <col min="46" max="47" width="9.1796875" style="2"/>
    <col min="48" max="58" width="9.453125" style="2" bestFit="1" customWidth="1"/>
    <col min="59" max="67" width="9.1796875" style="2"/>
    <col min="68" max="69" width="9.453125" style="2" bestFit="1" customWidth="1"/>
    <col min="70" max="73" width="9.1796875" style="2"/>
    <col min="74" max="75" width="9.453125" style="2" bestFit="1" customWidth="1"/>
    <col min="76" max="77" width="9.1796875" style="2" customWidth="1"/>
    <col min="78" max="82" width="9.453125" style="2" bestFit="1" customWidth="1"/>
    <col min="83" max="84" width="9.54296875" style="2" bestFit="1" customWidth="1"/>
    <col min="85" max="85" width="9.1796875" style="2"/>
    <col min="86" max="87" width="9.453125" style="2" bestFit="1" customWidth="1"/>
    <col min="88" max="88" width="9.1796875" style="2"/>
    <col min="89" max="91" width="9.453125" style="2" bestFit="1" customWidth="1"/>
    <col min="92" max="92" width="9.1796875" style="2"/>
    <col min="93" max="93" width="10.453125" style="2" customWidth="1"/>
    <col min="94" max="94" width="10.54296875" style="2" customWidth="1"/>
    <col min="95" max="95" width="10" style="2" customWidth="1"/>
    <col min="96" max="96" width="10.7265625" style="2" customWidth="1"/>
    <col min="97" max="97" width="11" style="2" customWidth="1"/>
    <col min="98" max="98" width="9.54296875" style="2" bestFit="1" customWidth="1"/>
    <col min="99" max="99" width="9.81640625" style="2" customWidth="1"/>
    <col min="100" max="109" width="9.1796875" style="2"/>
    <col min="110" max="133" width="9.453125" style="2" bestFit="1" customWidth="1"/>
    <col min="134" max="139" width="10.7265625" style="2" bestFit="1" customWidth="1"/>
    <col min="140" max="16384" width="9.1796875" style="2"/>
  </cols>
  <sheetData>
    <row r="1" spans="1:139" ht="10.5" x14ac:dyDescent="0.25">
      <c r="A1" s="1"/>
    </row>
    <row r="4" spans="1:139" x14ac:dyDescent="0.2">
      <c r="A4" s="30" t="s">
        <v>26</v>
      </c>
      <c r="B4" s="30">
        <f>YEAR(B6)</f>
        <v>2010</v>
      </c>
      <c r="C4" s="30">
        <f t="shared" ref="C4:BN4" si="0">YEAR(C6)</f>
        <v>2010</v>
      </c>
      <c r="D4" s="30">
        <f t="shared" si="0"/>
        <v>2010</v>
      </c>
      <c r="E4" s="30">
        <f t="shared" si="0"/>
        <v>2010</v>
      </c>
      <c r="F4" s="30">
        <f t="shared" si="0"/>
        <v>2010</v>
      </c>
      <c r="G4" s="30">
        <f t="shared" si="0"/>
        <v>2010</v>
      </c>
      <c r="H4" s="30">
        <f t="shared" si="0"/>
        <v>2010</v>
      </c>
      <c r="I4" s="30">
        <f t="shared" si="0"/>
        <v>2010</v>
      </c>
      <c r="J4" s="30">
        <f t="shared" si="0"/>
        <v>2010</v>
      </c>
      <c r="K4" s="30">
        <f t="shared" si="0"/>
        <v>2010</v>
      </c>
      <c r="L4" s="30">
        <f t="shared" si="0"/>
        <v>2010</v>
      </c>
      <c r="M4" s="30">
        <f t="shared" si="0"/>
        <v>2010</v>
      </c>
      <c r="N4" s="30">
        <f t="shared" si="0"/>
        <v>2011</v>
      </c>
      <c r="O4" s="30">
        <f t="shared" si="0"/>
        <v>2011</v>
      </c>
      <c r="P4" s="30">
        <f t="shared" si="0"/>
        <v>2011</v>
      </c>
      <c r="Q4" s="30">
        <f t="shared" si="0"/>
        <v>2011</v>
      </c>
      <c r="R4" s="30">
        <f t="shared" si="0"/>
        <v>2011</v>
      </c>
      <c r="S4" s="30">
        <f t="shared" si="0"/>
        <v>2011</v>
      </c>
      <c r="T4" s="30">
        <f t="shared" si="0"/>
        <v>2011</v>
      </c>
      <c r="U4" s="30">
        <f t="shared" si="0"/>
        <v>2011</v>
      </c>
      <c r="V4" s="30">
        <f t="shared" si="0"/>
        <v>2011</v>
      </c>
      <c r="W4" s="30">
        <f t="shared" si="0"/>
        <v>2011</v>
      </c>
      <c r="X4" s="30">
        <f t="shared" si="0"/>
        <v>2011</v>
      </c>
      <c r="Y4" s="30">
        <f t="shared" si="0"/>
        <v>2011</v>
      </c>
      <c r="Z4" s="30">
        <f t="shared" si="0"/>
        <v>2012</v>
      </c>
      <c r="AA4" s="30">
        <f t="shared" si="0"/>
        <v>2012</v>
      </c>
      <c r="AB4" s="30">
        <f t="shared" si="0"/>
        <v>2012</v>
      </c>
      <c r="AC4" s="30">
        <f t="shared" si="0"/>
        <v>2012</v>
      </c>
      <c r="AD4" s="30">
        <f t="shared" si="0"/>
        <v>2012</v>
      </c>
      <c r="AE4" s="30">
        <f t="shared" si="0"/>
        <v>2012</v>
      </c>
      <c r="AF4" s="30">
        <f t="shared" si="0"/>
        <v>2012</v>
      </c>
      <c r="AG4" s="30">
        <f t="shared" si="0"/>
        <v>2012</v>
      </c>
      <c r="AH4" s="30">
        <f t="shared" si="0"/>
        <v>2012</v>
      </c>
      <c r="AI4" s="30">
        <f t="shared" si="0"/>
        <v>2012</v>
      </c>
      <c r="AJ4" s="30">
        <f t="shared" si="0"/>
        <v>2012</v>
      </c>
      <c r="AK4" s="30">
        <f t="shared" si="0"/>
        <v>2012</v>
      </c>
      <c r="AL4" s="30">
        <f t="shared" si="0"/>
        <v>2013</v>
      </c>
      <c r="AM4" s="30">
        <f t="shared" si="0"/>
        <v>2013</v>
      </c>
      <c r="AN4" s="30">
        <f t="shared" si="0"/>
        <v>2013</v>
      </c>
      <c r="AO4" s="30">
        <f t="shared" si="0"/>
        <v>2013</v>
      </c>
      <c r="AP4" s="30">
        <f t="shared" si="0"/>
        <v>2013</v>
      </c>
      <c r="AQ4" s="30">
        <f t="shared" si="0"/>
        <v>2013</v>
      </c>
      <c r="AR4" s="30">
        <f t="shared" si="0"/>
        <v>2013</v>
      </c>
      <c r="AS4" s="30">
        <f t="shared" si="0"/>
        <v>2013</v>
      </c>
      <c r="AT4" s="30">
        <f t="shared" si="0"/>
        <v>2013</v>
      </c>
      <c r="AU4" s="30">
        <f t="shared" si="0"/>
        <v>2013</v>
      </c>
      <c r="AV4" s="30">
        <f t="shared" si="0"/>
        <v>2013</v>
      </c>
      <c r="AW4" s="30">
        <f t="shared" si="0"/>
        <v>2013</v>
      </c>
      <c r="AX4" s="30">
        <f t="shared" si="0"/>
        <v>2014</v>
      </c>
      <c r="AY4" s="30">
        <f t="shared" si="0"/>
        <v>2014</v>
      </c>
      <c r="AZ4" s="30">
        <f t="shared" si="0"/>
        <v>2014</v>
      </c>
      <c r="BA4" s="30">
        <f t="shared" si="0"/>
        <v>2014</v>
      </c>
      <c r="BB4" s="30">
        <f t="shared" si="0"/>
        <v>2014</v>
      </c>
      <c r="BC4" s="30">
        <f t="shared" si="0"/>
        <v>2014</v>
      </c>
      <c r="BD4" s="30">
        <f t="shared" si="0"/>
        <v>2014</v>
      </c>
      <c r="BE4" s="30">
        <f t="shared" si="0"/>
        <v>2014</v>
      </c>
      <c r="BF4" s="30">
        <f t="shared" si="0"/>
        <v>2014</v>
      </c>
      <c r="BG4" s="30">
        <f t="shared" si="0"/>
        <v>2014</v>
      </c>
      <c r="BH4" s="30">
        <f t="shared" si="0"/>
        <v>2014</v>
      </c>
      <c r="BI4" s="30">
        <f t="shared" si="0"/>
        <v>2014</v>
      </c>
      <c r="BJ4" s="30">
        <f t="shared" si="0"/>
        <v>2015</v>
      </c>
      <c r="BK4" s="30">
        <f t="shared" si="0"/>
        <v>2015</v>
      </c>
      <c r="BL4" s="30">
        <f t="shared" si="0"/>
        <v>2015</v>
      </c>
      <c r="BM4" s="30">
        <f t="shared" si="0"/>
        <v>2015</v>
      </c>
      <c r="BN4" s="30">
        <f t="shared" si="0"/>
        <v>2015</v>
      </c>
      <c r="BO4" s="30">
        <f t="shared" ref="BO4:DZ4" si="1">YEAR(BO6)</f>
        <v>2015</v>
      </c>
      <c r="BP4" s="30">
        <f t="shared" si="1"/>
        <v>2015</v>
      </c>
      <c r="BQ4" s="30">
        <f t="shared" si="1"/>
        <v>2015</v>
      </c>
      <c r="BR4" s="30">
        <f t="shared" si="1"/>
        <v>2015</v>
      </c>
      <c r="BS4" s="30">
        <f t="shared" si="1"/>
        <v>2015</v>
      </c>
      <c r="BT4" s="30">
        <f t="shared" si="1"/>
        <v>2015</v>
      </c>
      <c r="BU4" s="30">
        <f t="shared" si="1"/>
        <v>2015</v>
      </c>
      <c r="BV4" s="30">
        <f t="shared" si="1"/>
        <v>2016</v>
      </c>
      <c r="BW4" s="30">
        <f t="shared" si="1"/>
        <v>2016</v>
      </c>
      <c r="BX4" s="30">
        <f t="shared" si="1"/>
        <v>2016</v>
      </c>
      <c r="BY4" s="30">
        <f t="shared" si="1"/>
        <v>2016</v>
      </c>
      <c r="BZ4" s="30">
        <f t="shared" si="1"/>
        <v>2016</v>
      </c>
      <c r="CA4" s="30">
        <f t="shared" si="1"/>
        <v>2016</v>
      </c>
      <c r="CB4" s="30">
        <f t="shared" si="1"/>
        <v>2016</v>
      </c>
      <c r="CC4" s="30">
        <f t="shared" si="1"/>
        <v>2016</v>
      </c>
      <c r="CD4" s="30">
        <f t="shared" si="1"/>
        <v>2016</v>
      </c>
      <c r="CE4" s="30">
        <f t="shared" si="1"/>
        <v>2016</v>
      </c>
      <c r="CF4" s="30">
        <f t="shared" si="1"/>
        <v>2016</v>
      </c>
      <c r="CG4" s="30">
        <f t="shared" si="1"/>
        <v>2016</v>
      </c>
      <c r="CH4" s="30">
        <f t="shared" si="1"/>
        <v>2017</v>
      </c>
      <c r="CI4" s="30">
        <f t="shared" si="1"/>
        <v>2017</v>
      </c>
      <c r="CJ4" s="30">
        <f t="shared" si="1"/>
        <v>2017</v>
      </c>
      <c r="CK4" s="30">
        <f t="shared" si="1"/>
        <v>2017</v>
      </c>
      <c r="CL4" s="30">
        <f t="shared" si="1"/>
        <v>2017</v>
      </c>
      <c r="CM4" s="30">
        <f t="shared" si="1"/>
        <v>2017</v>
      </c>
      <c r="CN4" s="30">
        <f t="shared" si="1"/>
        <v>2017</v>
      </c>
      <c r="CO4" s="30">
        <f t="shared" si="1"/>
        <v>2017</v>
      </c>
      <c r="CP4" s="30">
        <f t="shared" si="1"/>
        <v>2017</v>
      </c>
      <c r="CQ4" s="30">
        <f t="shared" si="1"/>
        <v>2017</v>
      </c>
      <c r="CR4" s="30">
        <f t="shared" si="1"/>
        <v>2017</v>
      </c>
      <c r="CS4" s="30">
        <f t="shared" si="1"/>
        <v>2017</v>
      </c>
      <c r="CT4" s="30">
        <f t="shared" si="1"/>
        <v>2018</v>
      </c>
      <c r="CU4" s="30">
        <f t="shared" si="1"/>
        <v>2018</v>
      </c>
      <c r="CV4" s="30">
        <f t="shared" si="1"/>
        <v>2018</v>
      </c>
      <c r="CW4" s="30">
        <f t="shared" si="1"/>
        <v>2018</v>
      </c>
      <c r="CX4" s="30">
        <f t="shared" si="1"/>
        <v>2018</v>
      </c>
      <c r="CY4" s="30">
        <f t="shared" si="1"/>
        <v>2018</v>
      </c>
      <c r="CZ4" s="30">
        <f t="shared" si="1"/>
        <v>2018</v>
      </c>
      <c r="DA4" s="30">
        <f t="shared" si="1"/>
        <v>2018</v>
      </c>
      <c r="DB4" s="30">
        <f t="shared" si="1"/>
        <v>2018</v>
      </c>
      <c r="DC4" s="30">
        <f t="shared" si="1"/>
        <v>2018</v>
      </c>
      <c r="DD4" s="30">
        <f t="shared" si="1"/>
        <v>2018</v>
      </c>
      <c r="DE4" s="30">
        <f t="shared" si="1"/>
        <v>2018</v>
      </c>
      <c r="DF4" s="30">
        <f t="shared" si="1"/>
        <v>2019</v>
      </c>
      <c r="DG4" s="30">
        <f t="shared" si="1"/>
        <v>2019</v>
      </c>
      <c r="DH4" s="30">
        <f t="shared" si="1"/>
        <v>2019</v>
      </c>
      <c r="DI4" s="30">
        <f t="shared" si="1"/>
        <v>2019</v>
      </c>
      <c r="DJ4" s="30">
        <f t="shared" si="1"/>
        <v>2019</v>
      </c>
      <c r="DK4" s="30">
        <f t="shared" si="1"/>
        <v>2019</v>
      </c>
      <c r="DL4" s="30">
        <f t="shared" si="1"/>
        <v>2019</v>
      </c>
      <c r="DM4" s="30">
        <f t="shared" si="1"/>
        <v>2019</v>
      </c>
      <c r="DN4" s="30">
        <f t="shared" si="1"/>
        <v>2019</v>
      </c>
      <c r="DO4" s="30">
        <f t="shared" si="1"/>
        <v>2019</v>
      </c>
      <c r="DP4" s="30">
        <f t="shared" si="1"/>
        <v>2019</v>
      </c>
      <c r="DQ4" s="30">
        <f t="shared" si="1"/>
        <v>2019</v>
      </c>
      <c r="DR4" s="30">
        <f t="shared" si="1"/>
        <v>2020</v>
      </c>
      <c r="DS4" s="30">
        <f t="shared" si="1"/>
        <v>2020</v>
      </c>
      <c r="DT4" s="30">
        <f t="shared" si="1"/>
        <v>2020</v>
      </c>
      <c r="DU4" s="30">
        <f t="shared" si="1"/>
        <v>2020</v>
      </c>
      <c r="DV4" s="30">
        <f t="shared" si="1"/>
        <v>2020</v>
      </c>
      <c r="DW4" s="30">
        <f t="shared" si="1"/>
        <v>2020</v>
      </c>
      <c r="DX4" s="30">
        <f t="shared" si="1"/>
        <v>2020</v>
      </c>
      <c r="DY4" s="30">
        <f t="shared" si="1"/>
        <v>2020</v>
      </c>
      <c r="DZ4" s="30">
        <f t="shared" si="1"/>
        <v>2020</v>
      </c>
      <c r="EA4" s="30">
        <f t="shared" ref="EA4:EI4" si="2">YEAR(EA6)</f>
        <v>2020</v>
      </c>
      <c r="EB4" s="30">
        <f t="shared" si="2"/>
        <v>2020</v>
      </c>
      <c r="EC4" s="30">
        <f t="shared" si="2"/>
        <v>2020</v>
      </c>
      <c r="ED4" s="30">
        <f t="shared" si="2"/>
        <v>2021</v>
      </c>
      <c r="EE4" s="30">
        <f t="shared" si="2"/>
        <v>2021</v>
      </c>
      <c r="EF4" s="30">
        <f t="shared" si="2"/>
        <v>2021</v>
      </c>
      <c r="EG4" s="30">
        <f t="shared" si="2"/>
        <v>2021</v>
      </c>
      <c r="EH4" s="30">
        <f t="shared" si="2"/>
        <v>2021</v>
      </c>
      <c r="EI4" s="30">
        <f t="shared" si="2"/>
        <v>2021</v>
      </c>
    </row>
    <row r="5" spans="1:139" s="30" customFormat="1" x14ac:dyDescent="0.2">
      <c r="A5" s="30" t="s">
        <v>25</v>
      </c>
      <c r="B5" s="30">
        <f>MONTH(B6)</f>
        <v>1</v>
      </c>
      <c r="C5" s="30">
        <f t="shared" ref="C5:BN5" si="3">MONTH(C6)</f>
        <v>2</v>
      </c>
      <c r="D5" s="30">
        <f t="shared" si="3"/>
        <v>3</v>
      </c>
      <c r="E5" s="30">
        <f t="shared" si="3"/>
        <v>4</v>
      </c>
      <c r="F5" s="30">
        <f t="shared" si="3"/>
        <v>5</v>
      </c>
      <c r="G5" s="30">
        <f t="shared" si="3"/>
        <v>6</v>
      </c>
      <c r="H5" s="30">
        <f t="shared" si="3"/>
        <v>7</v>
      </c>
      <c r="I5" s="30">
        <f t="shared" si="3"/>
        <v>8</v>
      </c>
      <c r="J5" s="30">
        <f t="shared" si="3"/>
        <v>9</v>
      </c>
      <c r="K5" s="30">
        <f t="shared" si="3"/>
        <v>10</v>
      </c>
      <c r="L5" s="30">
        <f t="shared" si="3"/>
        <v>11</v>
      </c>
      <c r="M5" s="30">
        <f t="shared" si="3"/>
        <v>12</v>
      </c>
      <c r="N5" s="30">
        <f t="shared" si="3"/>
        <v>1</v>
      </c>
      <c r="O5" s="30">
        <f t="shared" si="3"/>
        <v>2</v>
      </c>
      <c r="P5" s="30">
        <f t="shared" si="3"/>
        <v>3</v>
      </c>
      <c r="Q5" s="30">
        <f t="shared" si="3"/>
        <v>4</v>
      </c>
      <c r="R5" s="30">
        <f t="shared" si="3"/>
        <v>5</v>
      </c>
      <c r="S5" s="30">
        <f t="shared" si="3"/>
        <v>6</v>
      </c>
      <c r="T5" s="30">
        <f t="shared" si="3"/>
        <v>7</v>
      </c>
      <c r="U5" s="30">
        <f t="shared" si="3"/>
        <v>8</v>
      </c>
      <c r="V5" s="30">
        <f t="shared" si="3"/>
        <v>9</v>
      </c>
      <c r="W5" s="30">
        <f t="shared" si="3"/>
        <v>10</v>
      </c>
      <c r="X5" s="30">
        <f t="shared" si="3"/>
        <v>11</v>
      </c>
      <c r="Y5" s="30">
        <f t="shared" si="3"/>
        <v>12</v>
      </c>
      <c r="Z5" s="30">
        <f t="shared" si="3"/>
        <v>1</v>
      </c>
      <c r="AA5" s="30">
        <f t="shared" si="3"/>
        <v>2</v>
      </c>
      <c r="AB5" s="30">
        <f t="shared" si="3"/>
        <v>3</v>
      </c>
      <c r="AC5" s="30">
        <f t="shared" si="3"/>
        <v>4</v>
      </c>
      <c r="AD5" s="30">
        <f t="shared" si="3"/>
        <v>5</v>
      </c>
      <c r="AE5" s="30">
        <f t="shared" si="3"/>
        <v>6</v>
      </c>
      <c r="AF5" s="30">
        <f t="shared" si="3"/>
        <v>7</v>
      </c>
      <c r="AG5" s="30">
        <f t="shared" si="3"/>
        <v>8</v>
      </c>
      <c r="AH5" s="30">
        <f t="shared" si="3"/>
        <v>9</v>
      </c>
      <c r="AI5" s="30">
        <f t="shared" si="3"/>
        <v>10</v>
      </c>
      <c r="AJ5" s="30">
        <f t="shared" si="3"/>
        <v>11</v>
      </c>
      <c r="AK5" s="30">
        <f t="shared" si="3"/>
        <v>12</v>
      </c>
      <c r="AL5" s="30">
        <f t="shared" si="3"/>
        <v>1</v>
      </c>
      <c r="AM5" s="30">
        <f t="shared" si="3"/>
        <v>2</v>
      </c>
      <c r="AN5" s="30">
        <f t="shared" si="3"/>
        <v>3</v>
      </c>
      <c r="AO5" s="30">
        <f t="shared" si="3"/>
        <v>4</v>
      </c>
      <c r="AP5" s="30">
        <f t="shared" si="3"/>
        <v>5</v>
      </c>
      <c r="AQ5" s="30">
        <f t="shared" si="3"/>
        <v>6</v>
      </c>
      <c r="AR5" s="30">
        <f t="shared" si="3"/>
        <v>7</v>
      </c>
      <c r="AS5" s="30">
        <f t="shared" si="3"/>
        <v>8</v>
      </c>
      <c r="AT5" s="30">
        <f t="shared" si="3"/>
        <v>9</v>
      </c>
      <c r="AU5" s="30">
        <f t="shared" si="3"/>
        <v>10</v>
      </c>
      <c r="AV5" s="30">
        <f t="shared" si="3"/>
        <v>11</v>
      </c>
      <c r="AW5" s="30">
        <f t="shared" si="3"/>
        <v>12</v>
      </c>
      <c r="AX5" s="30">
        <f t="shared" si="3"/>
        <v>1</v>
      </c>
      <c r="AY5" s="30">
        <f t="shared" si="3"/>
        <v>2</v>
      </c>
      <c r="AZ5" s="30">
        <f t="shared" si="3"/>
        <v>3</v>
      </c>
      <c r="BA5" s="30">
        <f t="shared" si="3"/>
        <v>4</v>
      </c>
      <c r="BB5" s="30">
        <f t="shared" si="3"/>
        <v>5</v>
      </c>
      <c r="BC5" s="30">
        <f t="shared" si="3"/>
        <v>6</v>
      </c>
      <c r="BD5" s="30">
        <f t="shared" si="3"/>
        <v>7</v>
      </c>
      <c r="BE5" s="30">
        <f t="shared" si="3"/>
        <v>8</v>
      </c>
      <c r="BF5" s="30">
        <f t="shared" si="3"/>
        <v>9</v>
      </c>
      <c r="BG5" s="30">
        <f t="shared" si="3"/>
        <v>10</v>
      </c>
      <c r="BH5" s="30">
        <f t="shared" si="3"/>
        <v>11</v>
      </c>
      <c r="BI5" s="30">
        <f t="shared" si="3"/>
        <v>12</v>
      </c>
      <c r="BJ5" s="30">
        <f t="shared" si="3"/>
        <v>1</v>
      </c>
      <c r="BK5" s="30">
        <f t="shared" si="3"/>
        <v>2</v>
      </c>
      <c r="BL5" s="30">
        <f t="shared" si="3"/>
        <v>3</v>
      </c>
      <c r="BM5" s="30">
        <f t="shared" si="3"/>
        <v>4</v>
      </c>
      <c r="BN5" s="30">
        <f t="shared" si="3"/>
        <v>5</v>
      </c>
      <c r="BO5" s="30">
        <f t="shared" ref="BO5:DZ5" si="4">MONTH(BO6)</f>
        <v>6</v>
      </c>
      <c r="BP5" s="30">
        <f t="shared" si="4"/>
        <v>7</v>
      </c>
      <c r="BQ5" s="30">
        <f t="shared" si="4"/>
        <v>8</v>
      </c>
      <c r="BR5" s="30">
        <f t="shared" si="4"/>
        <v>9</v>
      </c>
      <c r="BS5" s="30">
        <f t="shared" si="4"/>
        <v>10</v>
      </c>
      <c r="BT5" s="30">
        <f t="shared" si="4"/>
        <v>11</v>
      </c>
      <c r="BU5" s="30">
        <f t="shared" si="4"/>
        <v>12</v>
      </c>
      <c r="BV5" s="30">
        <f t="shared" si="4"/>
        <v>1</v>
      </c>
      <c r="BW5" s="30">
        <f t="shared" si="4"/>
        <v>2</v>
      </c>
      <c r="BX5" s="30">
        <f t="shared" si="4"/>
        <v>3</v>
      </c>
      <c r="BY5" s="30">
        <f t="shared" si="4"/>
        <v>4</v>
      </c>
      <c r="BZ5" s="30">
        <f t="shared" si="4"/>
        <v>5</v>
      </c>
      <c r="CA5" s="30">
        <f t="shared" si="4"/>
        <v>6</v>
      </c>
      <c r="CB5" s="30">
        <f t="shared" si="4"/>
        <v>7</v>
      </c>
      <c r="CC5" s="30">
        <f t="shared" si="4"/>
        <v>8</v>
      </c>
      <c r="CD5" s="30">
        <f t="shared" si="4"/>
        <v>9</v>
      </c>
      <c r="CE5" s="30">
        <f t="shared" si="4"/>
        <v>10</v>
      </c>
      <c r="CF5" s="30">
        <f t="shared" si="4"/>
        <v>11</v>
      </c>
      <c r="CG5" s="30">
        <f t="shared" si="4"/>
        <v>12</v>
      </c>
      <c r="CH5" s="30">
        <f t="shared" si="4"/>
        <v>1</v>
      </c>
      <c r="CI5" s="30">
        <f t="shared" si="4"/>
        <v>2</v>
      </c>
      <c r="CJ5" s="30">
        <f t="shared" si="4"/>
        <v>3</v>
      </c>
      <c r="CK5" s="30">
        <f t="shared" si="4"/>
        <v>4</v>
      </c>
      <c r="CL5" s="30">
        <f t="shared" si="4"/>
        <v>5</v>
      </c>
      <c r="CM5" s="30">
        <f t="shared" si="4"/>
        <v>6</v>
      </c>
      <c r="CN5" s="30">
        <f t="shared" si="4"/>
        <v>7</v>
      </c>
      <c r="CO5" s="30">
        <f t="shared" si="4"/>
        <v>8</v>
      </c>
      <c r="CP5" s="30">
        <f t="shared" si="4"/>
        <v>9</v>
      </c>
      <c r="CQ5" s="30">
        <f t="shared" si="4"/>
        <v>10</v>
      </c>
      <c r="CR5" s="30">
        <f t="shared" si="4"/>
        <v>11</v>
      </c>
      <c r="CS5" s="30">
        <f t="shared" si="4"/>
        <v>12</v>
      </c>
      <c r="CT5" s="30">
        <f t="shared" si="4"/>
        <v>1</v>
      </c>
      <c r="CU5" s="30">
        <f t="shared" si="4"/>
        <v>2</v>
      </c>
      <c r="CV5" s="30">
        <f t="shared" si="4"/>
        <v>3</v>
      </c>
      <c r="CW5" s="30">
        <f t="shared" si="4"/>
        <v>4</v>
      </c>
      <c r="CX5" s="30">
        <f t="shared" si="4"/>
        <v>5</v>
      </c>
      <c r="CY5" s="30">
        <f t="shared" si="4"/>
        <v>6</v>
      </c>
      <c r="CZ5" s="30">
        <f t="shared" si="4"/>
        <v>7</v>
      </c>
      <c r="DA5" s="30">
        <f t="shared" si="4"/>
        <v>8</v>
      </c>
      <c r="DB5" s="30">
        <f t="shared" si="4"/>
        <v>9</v>
      </c>
      <c r="DC5" s="30">
        <f t="shared" si="4"/>
        <v>10</v>
      </c>
      <c r="DD5" s="30">
        <f t="shared" si="4"/>
        <v>11</v>
      </c>
      <c r="DE5" s="30">
        <f t="shared" si="4"/>
        <v>12</v>
      </c>
      <c r="DF5" s="30">
        <f t="shared" si="4"/>
        <v>1</v>
      </c>
      <c r="DG5" s="30">
        <f t="shared" si="4"/>
        <v>2</v>
      </c>
      <c r="DH5" s="30">
        <f t="shared" si="4"/>
        <v>3</v>
      </c>
      <c r="DI5" s="30">
        <f t="shared" si="4"/>
        <v>4</v>
      </c>
      <c r="DJ5" s="30">
        <f t="shared" si="4"/>
        <v>5</v>
      </c>
      <c r="DK5" s="30">
        <f t="shared" si="4"/>
        <v>6</v>
      </c>
      <c r="DL5" s="30">
        <f t="shared" si="4"/>
        <v>7</v>
      </c>
      <c r="DM5" s="30">
        <f t="shared" si="4"/>
        <v>8</v>
      </c>
      <c r="DN5" s="30">
        <f t="shared" si="4"/>
        <v>9</v>
      </c>
      <c r="DO5" s="30">
        <f t="shared" si="4"/>
        <v>10</v>
      </c>
      <c r="DP5" s="30">
        <f t="shared" si="4"/>
        <v>11</v>
      </c>
      <c r="DQ5" s="30">
        <f t="shared" si="4"/>
        <v>12</v>
      </c>
      <c r="DR5" s="30">
        <f t="shared" si="4"/>
        <v>1</v>
      </c>
      <c r="DS5" s="30">
        <f t="shared" si="4"/>
        <v>2</v>
      </c>
      <c r="DT5" s="30">
        <f t="shared" si="4"/>
        <v>3</v>
      </c>
      <c r="DU5" s="30">
        <f t="shared" si="4"/>
        <v>4</v>
      </c>
      <c r="DV5" s="30">
        <f t="shared" si="4"/>
        <v>5</v>
      </c>
      <c r="DW5" s="30">
        <f t="shared" si="4"/>
        <v>6</v>
      </c>
      <c r="DX5" s="30">
        <f t="shared" si="4"/>
        <v>7</v>
      </c>
      <c r="DY5" s="30">
        <f t="shared" si="4"/>
        <v>8</v>
      </c>
      <c r="DZ5" s="30">
        <f t="shared" si="4"/>
        <v>9</v>
      </c>
      <c r="EA5" s="30">
        <f t="shared" ref="EA5:EI5" si="5">MONTH(EA6)</f>
        <v>10</v>
      </c>
      <c r="EB5" s="30">
        <f t="shared" si="5"/>
        <v>11</v>
      </c>
      <c r="EC5" s="30">
        <f t="shared" si="5"/>
        <v>12</v>
      </c>
      <c r="ED5" s="30">
        <f t="shared" si="5"/>
        <v>1</v>
      </c>
      <c r="EE5" s="30">
        <f t="shared" si="5"/>
        <v>2</v>
      </c>
      <c r="EF5" s="30">
        <f t="shared" si="5"/>
        <v>3</v>
      </c>
      <c r="EG5" s="30">
        <f t="shared" si="5"/>
        <v>4</v>
      </c>
      <c r="EH5" s="30">
        <f t="shared" si="5"/>
        <v>5</v>
      </c>
      <c r="EI5" s="30">
        <f t="shared" si="5"/>
        <v>6</v>
      </c>
    </row>
    <row r="6" spans="1:139" s="1" customFormat="1" ht="10.5" x14ac:dyDescent="0.25">
      <c r="A6" s="31" t="s">
        <v>27</v>
      </c>
      <c r="B6" s="31">
        <v>40179</v>
      </c>
      <c r="C6" s="31">
        <v>40210</v>
      </c>
      <c r="D6" s="31">
        <v>40238</v>
      </c>
      <c r="E6" s="31">
        <v>40269</v>
      </c>
      <c r="F6" s="31">
        <v>40299</v>
      </c>
      <c r="G6" s="31">
        <v>40330</v>
      </c>
      <c r="H6" s="31">
        <v>40360</v>
      </c>
      <c r="I6" s="31">
        <v>40391</v>
      </c>
      <c r="J6" s="31">
        <v>40422</v>
      </c>
      <c r="K6" s="31">
        <v>40452</v>
      </c>
      <c r="L6" s="31">
        <v>40483</v>
      </c>
      <c r="M6" s="31">
        <v>40513</v>
      </c>
      <c r="N6" s="31">
        <v>40544</v>
      </c>
      <c r="O6" s="31">
        <v>40575</v>
      </c>
      <c r="P6" s="31">
        <v>40603</v>
      </c>
      <c r="Q6" s="31">
        <v>40634</v>
      </c>
      <c r="R6" s="31">
        <v>40664</v>
      </c>
      <c r="S6" s="31">
        <v>40695</v>
      </c>
      <c r="T6" s="31">
        <v>40725</v>
      </c>
      <c r="U6" s="31">
        <v>40756</v>
      </c>
      <c r="V6" s="31">
        <v>40787</v>
      </c>
      <c r="W6" s="31">
        <v>40817</v>
      </c>
      <c r="X6" s="31">
        <v>40848</v>
      </c>
      <c r="Y6" s="31">
        <v>40878</v>
      </c>
      <c r="Z6" s="31">
        <v>40909</v>
      </c>
      <c r="AA6" s="31">
        <v>40940</v>
      </c>
      <c r="AB6" s="31">
        <v>40969</v>
      </c>
      <c r="AC6" s="31">
        <v>41000</v>
      </c>
      <c r="AD6" s="31">
        <v>41030</v>
      </c>
      <c r="AE6" s="31">
        <v>41061</v>
      </c>
      <c r="AF6" s="31">
        <v>41091</v>
      </c>
      <c r="AG6" s="31">
        <v>41122</v>
      </c>
      <c r="AH6" s="31">
        <v>41153</v>
      </c>
      <c r="AI6" s="31">
        <v>41183</v>
      </c>
      <c r="AJ6" s="31">
        <v>41214</v>
      </c>
      <c r="AK6" s="31">
        <v>41244</v>
      </c>
      <c r="AL6" s="31">
        <v>41275</v>
      </c>
      <c r="AM6" s="31">
        <v>41306</v>
      </c>
      <c r="AN6" s="31">
        <v>41334</v>
      </c>
      <c r="AO6" s="31">
        <v>41365</v>
      </c>
      <c r="AP6" s="31">
        <v>41395</v>
      </c>
      <c r="AQ6" s="31">
        <v>41426</v>
      </c>
      <c r="AR6" s="32">
        <v>41456</v>
      </c>
      <c r="AS6" s="31">
        <f t="shared" ref="AS6:DD6" si="6">+DATE(YEAR(AR6),MONTH(AR6)+1,1)</f>
        <v>41487</v>
      </c>
      <c r="AT6" s="31">
        <f t="shared" si="6"/>
        <v>41518</v>
      </c>
      <c r="AU6" s="31">
        <f t="shared" si="6"/>
        <v>41548</v>
      </c>
      <c r="AV6" s="31">
        <f t="shared" si="6"/>
        <v>41579</v>
      </c>
      <c r="AW6" s="31">
        <f t="shared" si="6"/>
        <v>41609</v>
      </c>
      <c r="AX6" s="31">
        <f t="shared" si="6"/>
        <v>41640</v>
      </c>
      <c r="AY6" s="31">
        <f t="shared" si="6"/>
        <v>41671</v>
      </c>
      <c r="AZ6" s="31">
        <f t="shared" si="6"/>
        <v>41699</v>
      </c>
      <c r="BA6" s="31">
        <f t="shared" si="6"/>
        <v>41730</v>
      </c>
      <c r="BB6" s="31">
        <f t="shared" si="6"/>
        <v>41760</v>
      </c>
      <c r="BC6" s="31">
        <f t="shared" si="6"/>
        <v>41791</v>
      </c>
      <c r="BD6" s="31">
        <f t="shared" si="6"/>
        <v>41821</v>
      </c>
      <c r="BE6" s="31">
        <f t="shared" si="6"/>
        <v>41852</v>
      </c>
      <c r="BF6" s="31">
        <f t="shared" si="6"/>
        <v>41883</v>
      </c>
      <c r="BG6" s="31">
        <f t="shared" si="6"/>
        <v>41913</v>
      </c>
      <c r="BH6" s="31">
        <f t="shared" si="6"/>
        <v>41944</v>
      </c>
      <c r="BI6" s="31">
        <f t="shared" si="6"/>
        <v>41974</v>
      </c>
      <c r="BJ6" s="31">
        <f t="shared" si="6"/>
        <v>42005</v>
      </c>
      <c r="BK6" s="31">
        <f t="shared" si="6"/>
        <v>42036</v>
      </c>
      <c r="BL6" s="31">
        <f t="shared" si="6"/>
        <v>42064</v>
      </c>
      <c r="BM6" s="31">
        <f t="shared" si="6"/>
        <v>42095</v>
      </c>
      <c r="BN6" s="31">
        <f t="shared" si="6"/>
        <v>42125</v>
      </c>
      <c r="BO6" s="31">
        <f t="shared" si="6"/>
        <v>42156</v>
      </c>
      <c r="BP6" s="31">
        <f t="shared" si="6"/>
        <v>42186</v>
      </c>
      <c r="BQ6" s="31">
        <f t="shared" si="6"/>
        <v>42217</v>
      </c>
      <c r="BR6" s="31">
        <f t="shared" si="6"/>
        <v>42248</v>
      </c>
      <c r="BS6" s="31">
        <f t="shared" si="6"/>
        <v>42278</v>
      </c>
      <c r="BT6" s="31">
        <f t="shared" si="6"/>
        <v>42309</v>
      </c>
      <c r="BU6" s="31">
        <f t="shared" si="6"/>
        <v>42339</v>
      </c>
      <c r="BV6" s="31">
        <f t="shared" si="6"/>
        <v>42370</v>
      </c>
      <c r="BW6" s="31">
        <f t="shared" si="6"/>
        <v>42401</v>
      </c>
      <c r="BX6" s="31">
        <f t="shared" si="6"/>
        <v>42430</v>
      </c>
      <c r="BY6" s="31">
        <f t="shared" si="6"/>
        <v>42461</v>
      </c>
      <c r="BZ6" s="31">
        <f t="shared" si="6"/>
        <v>42491</v>
      </c>
      <c r="CA6" s="31">
        <f t="shared" si="6"/>
        <v>42522</v>
      </c>
      <c r="CB6" s="31">
        <f t="shared" si="6"/>
        <v>42552</v>
      </c>
      <c r="CC6" s="31">
        <f t="shared" si="6"/>
        <v>42583</v>
      </c>
      <c r="CD6" s="31">
        <v>42614</v>
      </c>
      <c r="CE6" s="31">
        <f t="shared" si="6"/>
        <v>42644</v>
      </c>
      <c r="CF6" s="31">
        <f t="shared" si="6"/>
        <v>42675</v>
      </c>
      <c r="CG6" s="31">
        <f t="shared" si="6"/>
        <v>42705</v>
      </c>
      <c r="CH6" s="31">
        <f t="shared" si="6"/>
        <v>42736</v>
      </c>
      <c r="CI6" s="31">
        <f t="shared" si="6"/>
        <v>42767</v>
      </c>
      <c r="CJ6" s="31">
        <f t="shared" si="6"/>
        <v>42795</v>
      </c>
      <c r="CK6" s="31">
        <f t="shared" si="6"/>
        <v>42826</v>
      </c>
      <c r="CL6" s="31">
        <f t="shared" si="6"/>
        <v>42856</v>
      </c>
      <c r="CM6" s="31">
        <f t="shared" si="6"/>
        <v>42887</v>
      </c>
      <c r="CN6" s="31">
        <f t="shared" si="6"/>
        <v>42917</v>
      </c>
      <c r="CO6" s="31">
        <f t="shared" si="6"/>
        <v>42948</v>
      </c>
      <c r="CP6" s="31">
        <f t="shared" si="6"/>
        <v>42979</v>
      </c>
      <c r="CQ6" s="31">
        <f t="shared" si="6"/>
        <v>43009</v>
      </c>
      <c r="CR6" s="31">
        <f t="shared" si="6"/>
        <v>43040</v>
      </c>
      <c r="CS6" s="31">
        <f t="shared" si="6"/>
        <v>43070</v>
      </c>
      <c r="CT6" s="31">
        <f t="shared" si="6"/>
        <v>43101</v>
      </c>
      <c r="CU6" s="31">
        <f t="shared" si="6"/>
        <v>43132</v>
      </c>
      <c r="CV6" s="31">
        <f t="shared" si="6"/>
        <v>43160</v>
      </c>
      <c r="CW6" s="31">
        <f t="shared" si="6"/>
        <v>43191</v>
      </c>
      <c r="CX6" s="31">
        <f t="shared" si="6"/>
        <v>43221</v>
      </c>
      <c r="CY6" s="31">
        <f t="shared" si="6"/>
        <v>43252</v>
      </c>
      <c r="CZ6" s="31">
        <f t="shared" si="6"/>
        <v>43282</v>
      </c>
      <c r="DA6" s="31">
        <f t="shared" si="6"/>
        <v>43313</v>
      </c>
      <c r="DB6" s="31">
        <f t="shared" si="6"/>
        <v>43344</v>
      </c>
      <c r="DC6" s="31">
        <f t="shared" si="6"/>
        <v>43374</v>
      </c>
      <c r="DD6" s="31">
        <f t="shared" si="6"/>
        <v>43405</v>
      </c>
      <c r="DE6" s="31">
        <f t="shared" ref="DE6:EI6" si="7">+DATE(YEAR(DD6),MONTH(DD6)+1,1)</f>
        <v>43435</v>
      </c>
      <c r="DF6" s="31">
        <f t="shared" si="7"/>
        <v>43466</v>
      </c>
      <c r="DG6" s="31">
        <f t="shared" si="7"/>
        <v>43497</v>
      </c>
      <c r="DH6" s="31">
        <f t="shared" si="7"/>
        <v>43525</v>
      </c>
      <c r="DI6" s="31">
        <f t="shared" si="7"/>
        <v>43556</v>
      </c>
      <c r="DJ6" s="31">
        <f t="shared" si="7"/>
        <v>43586</v>
      </c>
      <c r="DK6" s="31">
        <f t="shared" si="7"/>
        <v>43617</v>
      </c>
      <c r="DL6" s="31">
        <f t="shared" si="7"/>
        <v>43647</v>
      </c>
      <c r="DM6" s="31">
        <f t="shared" si="7"/>
        <v>43678</v>
      </c>
      <c r="DN6" s="31">
        <f t="shared" si="7"/>
        <v>43709</v>
      </c>
      <c r="DO6" s="31">
        <f t="shared" si="7"/>
        <v>43739</v>
      </c>
      <c r="DP6" s="31">
        <f t="shared" si="7"/>
        <v>43770</v>
      </c>
      <c r="DQ6" s="31">
        <f t="shared" si="7"/>
        <v>43800</v>
      </c>
      <c r="DR6" s="31">
        <f t="shared" si="7"/>
        <v>43831</v>
      </c>
      <c r="DS6" s="31">
        <f t="shared" si="7"/>
        <v>43862</v>
      </c>
      <c r="DT6" s="31">
        <f t="shared" si="7"/>
        <v>43891</v>
      </c>
      <c r="DU6" s="31">
        <f t="shared" si="7"/>
        <v>43922</v>
      </c>
      <c r="DV6" s="31">
        <f t="shared" si="7"/>
        <v>43952</v>
      </c>
      <c r="DW6" s="31">
        <f t="shared" si="7"/>
        <v>43983</v>
      </c>
      <c r="DX6" s="31">
        <f t="shared" si="7"/>
        <v>44013</v>
      </c>
      <c r="DY6" s="31">
        <f t="shared" si="7"/>
        <v>44044</v>
      </c>
      <c r="DZ6" s="31">
        <f t="shared" si="7"/>
        <v>44075</v>
      </c>
      <c r="EA6" s="31">
        <f t="shared" si="7"/>
        <v>44105</v>
      </c>
      <c r="EB6" s="31">
        <f t="shared" si="7"/>
        <v>44136</v>
      </c>
      <c r="EC6" s="31">
        <f t="shared" si="7"/>
        <v>44166</v>
      </c>
      <c r="ED6" s="31">
        <f t="shared" si="7"/>
        <v>44197</v>
      </c>
      <c r="EE6" s="31">
        <f t="shared" si="7"/>
        <v>44228</v>
      </c>
      <c r="EF6" s="31">
        <f t="shared" si="7"/>
        <v>44256</v>
      </c>
      <c r="EG6" s="31">
        <f t="shared" si="7"/>
        <v>44287</v>
      </c>
      <c r="EH6" s="31">
        <f t="shared" si="7"/>
        <v>44317</v>
      </c>
      <c r="EI6" s="31">
        <f t="shared" si="7"/>
        <v>44348</v>
      </c>
    </row>
    <row r="7" spans="1:139" s="4" customFormat="1" x14ac:dyDescent="0.2">
      <c r="A7" s="5" t="s">
        <v>0</v>
      </c>
      <c r="B7" s="6">
        <v>14.18</v>
      </c>
      <c r="C7" s="6">
        <v>14.18</v>
      </c>
      <c r="D7" s="6">
        <v>14.18</v>
      </c>
      <c r="E7" s="7">
        <v>15.76</v>
      </c>
      <c r="F7" s="6">
        <v>15.76</v>
      </c>
      <c r="G7" s="6">
        <v>15.76</v>
      </c>
      <c r="H7" s="6">
        <v>15.76</v>
      </c>
      <c r="I7" s="6">
        <v>15.76</v>
      </c>
      <c r="J7" s="6">
        <v>15.76</v>
      </c>
      <c r="K7" s="6">
        <v>15.76</v>
      </c>
      <c r="L7" s="6">
        <v>15.76</v>
      </c>
      <c r="M7" s="6">
        <v>15.76</v>
      </c>
      <c r="N7" s="6">
        <v>15.76</v>
      </c>
      <c r="O7" s="6">
        <v>15.76</v>
      </c>
      <c r="P7" s="6">
        <v>15.76</v>
      </c>
      <c r="Q7" s="6">
        <v>15.76</v>
      </c>
      <c r="R7" s="6">
        <v>15.76</v>
      </c>
      <c r="S7" s="6">
        <v>15.76</v>
      </c>
      <c r="T7" s="6">
        <v>15.76</v>
      </c>
      <c r="U7" s="6">
        <v>15.76</v>
      </c>
      <c r="V7" s="6">
        <v>15.76</v>
      </c>
      <c r="W7" s="6">
        <v>15.76</v>
      </c>
      <c r="X7" s="6">
        <v>15.76</v>
      </c>
      <c r="Y7" s="6">
        <v>15.76</v>
      </c>
      <c r="Z7" s="7">
        <v>15.76</v>
      </c>
      <c r="AA7" s="6">
        <f t="shared" ref="AA7:BP7" si="8">Z7</f>
        <v>15.76</v>
      </c>
      <c r="AB7" s="6">
        <f t="shared" si="8"/>
        <v>15.76</v>
      </c>
      <c r="AC7" s="6">
        <f t="shared" si="8"/>
        <v>15.76</v>
      </c>
      <c r="AD7" s="6">
        <f t="shared" si="8"/>
        <v>15.76</v>
      </c>
      <c r="AE7" s="6">
        <f t="shared" si="8"/>
        <v>15.76</v>
      </c>
      <c r="AF7" s="6">
        <f t="shared" si="8"/>
        <v>15.76</v>
      </c>
      <c r="AG7" s="6">
        <f t="shared" si="8"/>
        <v>15.76</v>
      </c>
      <c r="AH7" s="6">
        <f t="shared" si="8"/>
        <v>15.76</v>
      </c>
      <c r="AI7" s="6">
        <f t="shared" si="8"/>
        <v>15.76</v>
      </c>
      <c r="AJ7" s="6">
        <f t="shared" si="8"/>
        <v>15.76</v>
      </c>
      <c r="AK7" s="6">
        <f t="shared" si="8"/>
        <v>15.76</v>
      </c>
      <c r="AL7" s="6">
        <f t="shared" si="8"/>
        <v>15.76</v>
      </c>
      <c r="AM7" s="6">
        <f t="shared" si="8"/>
        <v>15.76</v>
      </c>
      <c r="AN7" s="6">
        <f t="shared" si="8"/>
        <v>15.76</v>
      </c>
      <c r="AO7" s="6">
        <f t="shared" si="8"/>
        <v>15.76</v>
      </c>
      <c r="AP7" s="6">
        <f t="shared" si="8"/>
        <v>15.76</v>
      </c>
      <c r="AQ7" s="6">
        <f t="shared" si="8"/>
        <v>15.76</v>
      </c>
      <c r="AR7" s="8">
        <f t="shared" si="8"/>
        <v>15.76</v>
      </c>
      <c r="AS7" s="6">
        <f t="shared" si="8"/>
        <v>15.76</v>
      </c>
      <c r="AT7" s="6">
        <f t="shared" si="8"/>
        <v>15.76</v>
      </c>
      <c r="AU7" s="6">
        <f t="shared" si="8"/>
        <v>15.76</v>
      </c>
      <c r="AV7" s="6">
        <f t="shared" si="8"/>
        <v>15.76</v>
      </c>
      <c r="AW7" s="6">
        <f t="shared" si="8"/>
        <v>15.76</v>
      </c>
      <c r="AX7" s="6">
        <f t="shared" si="8"/>
        <v>15.76</v>
      </c>
      <c r="AY7" s="6">
        <f t="shared" si="8"/>
        <v>15.76</v>
      </c>
      <c r="AZ7" s="6">
        <f t="shared" si="8"/>
        <v>15.76</v>
      </c>
      <c r="BA7" s="6">
        <f t="shared" si="8"/>
        <v>15.76</v>
      </c>
      <c r="BB7" s="6">
        <f t="shared" si="8"/>
        <v>15.76</v>
      </c>
      <c r="BC7" s="6">
        <f t="shared" si="8"/>
        <v>15.76</v>
      </c>
      <c r="BD7" s="6">
        <f t="shared" si="8"/>
        <v>15.76</v>
      </c>
      <c r="BE7" s="6">
        <f t="shared" si="8"/>
        <v>15.76</v>
      </c>
      <c r="BF7" s="6">
        <f t="shared" si="8"/>
        <v>15.76</v>
      </c>
      <c r="BG7" s="6">
        <f t="shared" si="8"/>
        <v>15.76</v>
      </c>
      <c r="BH7" s="6">
        <f t="shared" si="8"/>
        <v>15.76</v>
      </c>
      <c r="BI7" s="6">
        <f t="shared" si="8"/>
        <v>15.76</v>
      </c>
      <c r="BJ7" s="6">
        <f t="shared" si="8"/>
        <v>15.76</v>
      </c>
      <c r="BK7" s="6">
        <f t="shared" si="8"/>
        <v>15.76</v>
      </c>
      <c r="BL7" s="6">
        <f t="shared" si="8"/>
        <v>15.76</v>
      </c>
      <c r="BM7" s="6">
        <f t="shared" si="8"/>
        <v>15.76</v>
      </c>
      <c r="BN7" s="6">
        <f t="shared" si="8"/>
        <v>15.76</v>
      </c>
      <c r="BO7" s="6">
        <f t="shared" si="8"/>
        <v>15.76</v>
      </c>
      <c r="BP7" s="6">
        <f t="shared" si="8"/>
        <v>15.76</v>
      </c>
      <c r="BQ7" s="6">
        <v>15.76</v>
      </c>
      <c r="BR7" s="6">
        <v>15.76</v>
      </c>
      <c r="BS7" s="6">
        <v>15.76</v>
      </c>
      <c r="BT7" s="6">
        <v>15.76</v>
      </c>
      <c r="BU7" s="6">
        <v>15.76</v>
      </c>
      <c r="BV7" s="6">
        <v>15.76</v>
      </c>
      <c r="BW7" s="6">
        <v>15.76</v>
      </c>
      <c r="BX7" s="6">
        <v>15.76</v>
      </c>
      <c r="BY7" s="6">
        <v>15.76</v>
      </c>
      <c r="BZ7" s="6">
        <v>15.76</v>
      </c>
      <c r="CA7" s="6">
        <v>15.76</v>
      </c>
      <c r="CB7" s="6">
        <v>15.76</v>
      </c>
      <c r="CC7" s="6">
        <v>15.76</v>
      </c>
      <c r="CD7" s="6">
        <v>15.76</v>
      </c>
      <c r="CE7" s="6">
        <v>15.76</v>
      </c>
      <c r="CF7" s="6">
        <v>15.76</v>
      </c>
      <c r="CG7" s="6">
        <v>15.76</v>
      </c>
      <c r="CH7" s="6">
        <v>15.76</v>
      </c>
      <c r="CI7" s="6">
        <v>15.76</v>
      </c>
      <c r="CJ7" s="6">
        <v>15.76</v>
      </c>
      <c r="CK7" s="6">
        <v>15.76</v>
      </c>
      <c r="CL7" s="6">
        <v>15.76</v>
      </c>
      <c r="CM7" s="6">
        <v>15.76</v>
      </c>
      <c r="CN7" s="6">
        <v>15.76</v>
      </c>
      <c r="CO7" s="6">
        <v>15.76</v>
      </c>
      <c r="CP7" s="6">
        <v>15.76</v>
      </c>
      <c r="CQ7" s="6">
        <v>15.76</v>
      </c>
      <c r="CR7" s="6">
        <v>15.76</v>
      </c>
      <c r="CS7" s="6">
        <v>15.76</v>
      </c>
      <c r="CT7" s="6">
        <v>15.76</v>
      </c>
      <c r="CU7" s="6">
        <v>15.76</v>
      </c>
      <c r="CV7" s="6">
        <v>15.76</v>
      </c>
      <c r="CW7" s="6">
        <v>15.76</v>
      </c>
      <c r="CX7" s="6">
        <v>15.76</v>
      </c>
      <c r="CY7" s="6">
        <v>15.76</v>
      </c>
      <c r="CZ7" s="6">
        <v>15.76</v>
      </c>
      <c r="DA7" s="6">
        <v>15.76</v>
      </c>
      <c r="DB7" s="6">
        <v>15.76</v>
      </c>
      <c r="DC7" s="6">
        <v>15.76</v>
      </c>
      <c r="DD7" s="6">
        <v>15.76</v>
      </c>
      <c r="DE7" s="6">
        <v>15.76</v>
      </c>
      <c r="DF7" s="6">
        <v>15.76</v>
      </c>
      <c r="DG7" s="6">
        <v>15.76</v>
      </c>
      <c r="DH7" s="6">
        <v>15.76</v>
      </c>
      <c r="DI7" s="6">
        <v>15.76</v>
      </c>
      <c r="DJ7" s="6">
        <v>15.76</v>
      </c>
      <c r="DK7" s="6">
        <v>15.76</v>
      </c>
      <c r="DL7" s="6">
        <v>15.76</v>
      </c>
      <c r="DM7" s="6">
        <v>15.76</v>
      </c>
      <c r="DN7" s="6">
        <v>15.76</v>
      </c>
      <c r="DO7" s="6">
        <v>15.76</v>
      </c>
      <c r="DP7" s="6">
        <v>15.76</v>
      </c>
      <c r="DQ7" s="6">
        <v>15.76</v>
      </c>
      <c r="DR7" s="6">
        <v>15.76</v>
      </c>
      <c r="DS7" s="7">
        <v>16</v>
      </c>
      <c r="DT7" s="6">
        <v>16</v>
      </c>
      <c r="DU7" s="6">
        <v>16</v>
      </c>
      <c r="DV7" s="6">
        <v>16</v>
      </c>
      <c r="DW7" s="6">
        <v>16</v>
      </c>
      <c r="DX7" s="6">
        <v>16</v>
      </c>
      <c r="DY7" s="6">
        <v>16</v>
      </c>
      <c r="DZ7" s="6">
        <v>16</v>
      </c>
      <c r="EA7" s="6">
        <v>16</v>
      </c>
      <c r="EB7" s="6">
        <v>16</v>
      </c>
      <c r="EC7" s="6">
        <v>16</v>
      </c>
      <c r="ED7" s="7">
        <v>16.5</v>
      </c>
      <c r="EE7" s="6">
        <v>16.5</v>
      </c>
      <c r="EF7" s="6">
        <v>16.5</v>
      </c>
      <c r="EG7" s="6">
        <v>16.5</v>
      </c>
      <c r="EH7" s="6">
        <v>16.5</v>
      </c>
      <c r="EI7" s="6">
        <v>16.5</v>
      </c>
    </row>
    <row r="8" spans="1:139" s="4" customFormat="1" x14ac:dyDescent="0.2">
      <c r="A8" s="5" t="s">
        <v>22</v>
      </c>
      <c r="B8" s="9">
        <v>6.6739999999999994E-2</v>
      </c>
      <c r="C8" s="9">
        <v>6.6739999999999994E-2</v>
      </c>
      <c r="D8" s="9">
        <v>6.6739999999999994E-2</v>
      </c>
      <c r="E8" s="10">
        <v>7.2120000000000004E-2</v>
      </c>
      <c r="F8" s="9">
        <v>7.2120000000000004E-2</v>
      </c>
      <c r="G8" s="9">
        <v>7.2120000000000004E-2</v>
      </c>
      <c r="H8" s="9">
        <v>7.2120000000000004E-2</v>
      </c>
      <c r="I8" s="9">
        <v>7.2120000000000004E-2</v>
      </c>
      <c r="J8" s="9">
        <v>7.2120000000000004E-2</v>
      </c>
      <c r="K8" s="10">
        <v>8.2199999999999995E-2</v>
      </c>
      <c r="L8" s="9">
        <v>8.2199999999999995E-2</v>
      </c>
      <c r="M8" s="10">
        <v>7.2120000000000004E-2</v>
      </c>
      <c r="N8" s="9">
        <v>7.2120000000000004E-2</v>
      </c>
      <c r="O8" s="9">
        <v>7.2120000000000004E-2</v>
      </c>
      <c r="P8" s="9">
        <v>7.2120000000000004E-2</v>
      </c>
      <c r="Q8" s="10">
        <v>8.2199999999999995E-2</v>
      </c>
      <c r="R8" s="9">
        <v>8.2199999999999995E-2</v>
      </c>
      <c r="S8" s="9">
        <v>8.2199999999999995E-2</v>
      </c>
      <c r="T8" s="9">
        <v>8.2199999999999995E-2</v>
      </c>
      <c r="U8" s="9">
        <v>8.2199999999999995E-2</v>
      </c>
      <c r="V8" s="9">
        <v>8.2199999999999995E-2</v>
      </c>
      <c r="W8" s="9">
        <v>8.2199999999999995E-2</v>
      </c>
      <c r="X8" s="9">
        <v>8.2199999999999995E-2</v>
      </c>
      <c r="Y8" s="9">
        <v>8.2199999999999995E-2</v>
      </c>
      <c r="Z8" s="10">
        <v>8.2199999999999995E-2</v>
      </c>
      <c r="AA8" s="9">
        <f>Z8</f>
        <v>8.2199999999999995E-2</v>
      </c>
      <c r="AB8" s="9">
        <f>AA8</f>
        <v>8.2199999999999995E-2</v>
      </c>
      <c r="AC8" s="10">
        <v>8.899E-2</v>
      </c>
      <c r="AD8" s="9">
        <f t="shared" ref="AD8:AN8" si="9">AC8</f>
        <v>8.899E-2</v>
      </c>
      <c r="AE8" s="9">
        <f t="shared" si="9"/>
        <v>8.899E-2</v>
      </c>
      <c r="AF8" s="9">
        <f t="shared" si="9"/>
        <v>8.899E-2</v>
      </c>
      <c r="AG8" s="9">
        <f t="shared" si="9"/>
        <v>8.899E-2</v>
      </c>
      <c r="AH8" s="9">
        <f t="shared" si="9"/>
        <v>8.899E-2</v>
      </c>
      <c r="AI8" s="9">
        <f t="shared" si="9"/>
        <v>8.899E-2</v>
      </c>
      <c r="AJ8" s="9">
        <f t="shared" si="9"/>
        <v>8.899E-2</v>
      </c>
      <c r="AK8" s="9">
        <f t="shared" si="9"/>
        <v>8.899E-2</v>
      </c>
      <c r="AL8" s="9">
        <f t="shared" si="9"/>
        <v>8.899E-2</v>
      </c>
      <c r="AM8" s="9">
        <f t="shared" si="9"/>
        <v>8.899E-2</v>
      </c>
      <c r="AN8" s="9">
        <f t="shared" si="9"/>
        <v>8.899E-2</v>
      </c>
      <c r="AO8" s="10">
        <v>8.8940000000000005E-2</v>
      </c>
      <c r="AP8" s="9">
        <v>8.8940000000000005E-2</v>
      </c>
      <c r="AQ8" s="9">
        <v>8.8940000000000005E-2</v>
      </c>
      <c r="AR8" s="11">
        <v>8.8940000000000005E-2</v>
      </c>
      <c r="AS8" s="9">
        <v>8.8940000000000005E-2</v>
      </c>
      <c r="AT8" s="9">
        <v>8.8940000000000005E-2</v>
      </c>
      <c r="AU8" s="9">
        <v>8.8940000000000005E-2</v>
      </c>
      <c r="AV8" s="9">
        <v>8.8940000000000005E-2</v>
      </c>
      <c r="AW8" s="9">
        <v>8.8940000000000005E-2</v>
      </c>
      <c r="AX8" s="9">
        <v>8.8940000000000005E-2</v>
      </c>
      <c r="AY8" s="9">
        <v>8.8940000000000005E-2</v>
      </c>
      <c r="AZ8" s="9">
        <v>8.9069999999999996E-2</v>
      </c>
      <c r="BA8" s="9">
        <v>8.9069999999999996E-2</v>
      </c>
      <c r="BB8" s="9">
        <v>8.9069999999999996E-2</v>
      </c>
      <c r="BC8" s="9">
        <v>8.9069999999999996E-2</v>
      </c>
      <c r="BD8" s="9">
        <v>8.9069999999999996E-2</v>
      </c>
      <c r="BE8" s="9">
        <v>8.9069999999999996E-2</v>
      </c>
      <c r="BF8" s="9">
        <v>8.9069999999999996E-2</v>
      </c>
      <c r="BG8" s="9">
        <v>8.9069999999999996E-2</v>
      </c>
      <c r="BH8" s="9">
        <v>8.9069999999999996E-2</v>
      </c>
      <c r="BI8" s="9">
        <v>8.9069999999999996E-2</v>
      </c>
      <c r="BJ8" s="9">
        <v>8.9010000000000006E-2</v>
      </c>
      <c r="BK8" s="9">
        <v>8.9010000000000006E-2</v>
      </c>
      <c r="BL8" s="9">
        <v>8.9010000000000006E-2</v>
      </c>
      <c r="BM8" s="9">
        <v>8.9010000000000006E-2</v>
      </c>
      <c r="BN8" s="9">
        <f t="shared" ref="BN8:CC8" si="10">0.09017-0.00116</f>
        <v>8.9010000000000006E-2</v>
      </c>
      <c r="BO8" s="9">
        <f t="shared" si="10"/>
        <v>8.9010000000000006E-2</v>
      </c>
      <c r="BP8" s="9">
        <f t="shared" si="10"/>
        <v>8.9010000000000006E-2</v>
      </c>
      <c r="BQ8" s="9">
        <f t="shared" si="10"/>
        <v>8.9010000000000006E-2</v>
      </c>
      <c r="BR8" s="9">
        <f t="shared" si="10"/>
        <v>8.9010000000000006E-2</v>
      </c>
      <c r="BS8" s="9">
        <f t="shared" si="10"/>
        <v>8.9010000000000006E-2</v>
      </c>
      <c r="BT8" s="9">
        <f t="shared" si="10"/>
        <v>8.9010000000000006E-2</v>
      </c>
      <c r="BU8" s="9">
        <f t="shared" si="10"/>
        <v>8.9010000000000006E-2</v>
      </c>
      <c r="BV8" s="9">
        <f t="shared" si="10"/>
        <v>8.9010000000000006E-2</v>
      </c>
      <c r="BW8" s="9">
        <f t="shared" si="10"/>
        <v>8.9010000000000006E-2</v>
      </c>
      <c r="BX8" s="9">
        <f t="shared" si="10"/>
        <v>8.9010000000000006E-2</v>
      </c>
      <c r="BY8" s="9">
        <f t="shared" si="10"/>
        <v>8.9010000000000006E-2</v>
      </c>
      <c r="BZ8" s="9">
        <f t="shared" si="10"/>
        <v>8.9010000000000006E-2</v>
      </c>
      <c r="CA8" s="9">
        <f t="shared" si="10"/>
        <v>8.9010000000000006E-2</v>
      </c>
      <c r="CB8" s="9">
        <f t="shared" si="10"/>
        <v>8.9010000000000006E-2</v>
      </c>
      <c r="CC8" s="9">
        <f t="shared" si="10"/>
        <v>8.9010000000000006E-2</v>
      </c>
      <c r="CD8" s="9">
        <v>8.9010000000000006E-2</v>
      </c>
      <c r="CE8" s="9">
        <v>8.9010000000000006E-2</v>
      </c>
      <c r="CF8" s="9">
        <v>8.9010000000000006E-2</v>
      </c>
      <c r="CG8" s="9">
        <v>8.9010000000000006E-2</v>
      </c>
      <c r="CH8" s="9">
        <v>8.9010000000000006E-2</v>
      </c>
      <c r="CI8" s="10">
        <v>9.6269999999999994E-2</v>
      </c>
      <c r="CJ8" s="9">
        <v>9.6269999999999994E-2</v>
      </c>
      <c r="CK8" s="9">
        <v>9.6269999999999994E-2</v>
      </c>
      <c r="CL8" s="9">
        <v>9.6269999999999994E-2</v>
      </c>
      <c r="CM8" s="9">
        <v>9.6269999999999994E-2</v>
      </c>
      <c r="CN8" s="9">
        <v>9.6269999999999994E-2</v>
      </c>
      <c r="CO8" s="9">
        <v>9.6269999999999994E-2</v>
      </c>
      <c r="CP8" s="9">
        <v>9.6269999999999994E-2</v>
      </c>
      <c r="CQ8" s="9">
        <v>9.6269999999999994E-2</v>
      </c>
      <c r="CR8" s="9">
        <v>9.6269999999999994E-2</v>
      </c>
      <c r="CS8" s="9">
        <v>9.6269999999999994E-2</v>
      </c>
      <c r="CT8" s="10">
        <v>0.10221</v>
      </c>
      <c r="CU8" s="9">
        <v>0.10221</v>
      </c>
      <c r="CV8" s="9">
        <v>0.10221</v>
      </c>
      <c r="CW8" s="9">
        <v>0.10221</v>
      </c>
      <c r="CX8" s="9">
        <v>0.10221</v>
      </c>
      <c r="CY8" s="9">
        <v>0.10221</v>
      </c>
      <c r="CZ8" s="9">
        <v>0.10221</v>
      </c>
      <c r="DA8" s="9">
        <v>0.10221</v>
      </c>
      <c r="DB8" s="9">
        <v>0.10221</v>
      </c>
      <c r="DC8" s="9">
        <v>0.10221</v>
      </c>
      <c r="DD8" s="9">
        <v>0.10221</v>
      </c>
      <c r="DE8" s="9">
        <v>0.10221</v>
      </c>
      <c r="DF8" s="10">
        <v>0.10817</v>
      </c>
      <c r="DG8" s="9">
        <v>0.10817</v>
      </c>
      <c r="DH8" s="9">
        <v>0.10817</v>
      </c>
      <c r="DI8" s="9">
        <v>0.10817</v>
      </c>
      <c r="DJ8" s="9">
        <v>0.10817</v>
      </c>
      <c r="DK8" s="9">
        <v>0.10817</v>
      </c>
      <c r="DL8" s="9">
        <v>0.10817</v>
      </c>
      <c r="DM8" s="9">
        <v>0.10817</v>
      </c>
      <c r="DN8" s="9">
        <v>0.10817</v>
      </c>
      <c r="DO8" s="9">
        <v>0.10817</v>
      </c>
      <c r="DP8" s="9">
        <v>0.10817</v>
      </c>
      <c r="DQ8" s="9">
        <v>0.10817</v>
      </c>
      <c r="DR8" s="9">
        <v>0.10817</v>
      </c>
      <c r="DS8" s="10">
        <v>0.11125</v>
      </c>
      <c r="DT8" s="9">
        <v>0.11125</v>
      </c>
      <c r="DU8" s="9">
        <v>0.11125</v>
      </c>
      <c r="DV8" s="9">
        <v>0.11125</v>
      </c>
      <c r="DW8" s="9">
        <v>0.11125</v>
      </c>
      <c r="DX8" s="9">
        <v>0.11125</v>
      </c>
      <c r="DY8" s="9">
        <v>0.11125</v>
      </c>
      <c r="DZ8" s="9">
        <v>0.11125</v>
      </c>
      <c r="EA8" s="9">
        <v>0.11125</v>
      </c>
      <c r="EB8" s="9">
        <v>0.11125</v>
      </c>
      <c r="EC8" s="9">
        <v>0.11125</v>
      </c>
      <c r="ED8" s="12">
        <v>0.11976000000000001</v>
      </c>
      <c r="EE8" s="9">
        <v>0.11976000000000001</v>
      </c>
      <c r="EF8" s="9">
        <v>0.11976000000000001</v>
      </c>
      <c r="EG8" s="9">
        <v>0.11976000000000001</v>
      </c>
      <c r="EH8" s="9">
        <v>0.11976000000000001</v>
      </c>
      <c r="EI8" s="9">
        <v>0.11976000000000001</v>
      </c>
    </row>
    <row r="9" spans="1:139" s="4" customFormat="1" x14ac:dyDescent="0.2">
      <c r="A9" s="5" t="s">
        <v>23</v>
      </c>
      <c r="B9" s="9">
        <v>6.1359999999999998E-2</v>
      </c>
      <c r="C9" s="9">
        <v>6.1359999999999998E-2</v>
      </c>
      <c r="D9" s="9">
        <v>6.1359999999999998E-2</v>
      </c>
      <c r="E9" s="10">
        <v>7.2120000000000004E-2</v>
      </c>
      <c r="F9" s="9">
        <v>7.2120000000000004E-2</v>
      </c>
      <c r="G9" s="10">
        <v>8.3489999999999995E-2</v>
      </c>
      <c r="H9" s="9">
        <v>8.3489999999999995E-2</v>
      </c>
      <c r="I9" s="9">
        <v>8.3489999999999995E-2</v>
      </c>
      <c r="J9" s="9">
        <v>8.3489999999999995E-2</v>
      </c>
      <c r="K9" s="10">
        <v>8.2199999999999995E-2</v>
      </c>
      <c r="L9" s="9">
        <v>8.2199999999999995E-2</v>
      </c>
      <c r="M9" s="10">
        <v>7.2120000000000004E-2</v>
      </c>
      <c r="N9" s="9">
        <v>7.2120000000000004E-2</v>
      </c>
      <c r="O9" s="9">
        <v>7.2120000000000004E-2</v>
      </c>
      <c r="P9" s="9">
        <v>7.2120000000000004E-2</v>
      </c>
      <c r="Q9" s="10">
        <v>8.2199999999999995E-2</v>
      </c>
      <c r="R9" s="10">
        <v>8.2199999999999995E-2</v>
      </c>
      <c r="S9" s="10">
        <v>9.468E-2</v>
      </c>
      <c r="T9" s="9">
        <v>9.468E-2</v>
      </c>
      <c r="U9" s="9">
        <v>9.468E-2</v>
      </c>
      <c r="V9" s="9">
        <v>9.468E-2</v>
      </c>
      <c r="W9" s="9">
        <v>8.2199999999999995E-2</v>
      </c>
      <c r="X9" s="9">
        <v>8.2199999999999995E-2</v>
      </c>
      <c r="Y9" s="9">
        <v>8.2199999999999995E-2</v>
      </c>
      <c r="Z9" s="10">
        <v>8.2199999999999995E-2</v>
      </c>
      <c r="AA9" s="9">
        <f t="shared" ref="AA9:AP12" si="11">Z9</f>
        <v>8.2199999999999995E-2</v>
      </c>
      <c r="AB9" s="9">
        <f t="shared" si="11"/>
        <v>8.2199999999999995E-2</v>
      </c>
      <c r="AC9" s="10">
        <v>8.899E-2</v>
      </c>
      <c r="AD9" s="9">
        <v>8.899E-2</v>
      </c>
      <c r="AE9" s="10">
        <v>0.10224</v>
      </c>
      <c r="AF9" s="9">
        <v>0.10224</v>
      </c>
      <c r="AG9" s="9">
        <v>0.10224</v>
      </c>
      <c r="AH9" s="9">
        <v>0.10224</v>
      </c>
      <c r="AI9" s="10">
        <v>8.899E-2</v>
      </c>
      <c r="AJ9" s="9">
        <v>8.899E-2</v>
      </c>
      <c r="AK9" s="9">
        <v>8.899E-2</v>
      </c>
      <c r="AL9" s="9">
        <v>8.899E-2</v>
      </c>
      <c r="AM9" s="9">
        <v>8.899E-2</v>
      </c>
      <c r="AN9" s="9">
        <v>8.899E-2</v>
      </c>
      <c r="AO9" s="10">
        <v>8.8940000000000005E-2</v>
      </c>
      <c r="AP9" s="9">
        <v>8.8940000000000005E-2</v>
      </c>
      <c r="AQ9" s="10">
        <v>0.10224</v>
      </c>
      <c r="AR9" s="11">
        <v>0.10224</v>
      </c>
      <c r="AS9" s="9">
        <v>0.10224</v>
      </c>
      <c r="AT9" s="9">
        <v>0.10224</v>
      </c>
      <c r="AU9" s="9">
        <v>8.8940000000000005E-2</v>
      </c>
      <c r="AV9" s="9">
        <v>8.8940000000000005E-2</v>
      </c>
      <c r="AW9" s="9">
        <v>8.8940000000000005E-2</v>
      </c>
      <c r="AX9" s="9">
        <v>8.8940000000000005E-2</v>
      </c>
      <c r="AY9" s="9">
        <v>8.8940000000000005E-2</v>
      </c>
      <c r="AZ9" s="9">
        <v>8.9069999999999996E-2</v>
      </c>
      <c r="BA9" s="9">
        <v>8.9069999999999996E-2</v>
      </c>
      <c r="BB9" s="9">
        <v>8.9069999999999996E-2</v>
      </c>
      <c r="BC9" s="9">
        <v>0.10238</v>
      </c>
      <c r="BD9" s="9">
        <v>0.10238</v>
      </c>
      <c r="BE9" s="9">
        <v>0.10238</v>
      </c>
      <c r="BF9" s="9">
        <v>0.10238</v>
      </c>
      <c r="BG9" s="9">
        <v>8.9069999999999996E-2</v>
      </c>
      <c r="BH9" s="9">
        <v>8.9069999999999996E-2</v>
      </c>
      <c r="BI9" s="9">
        <v>8.9069999999999996E-2</v>
      </c>
      <c r="BJ9" s="9">
        <v>8.9010000000000006E-2</v>
      </c>
      <c r="BK9" s="9">
        <v>8.9010000000000006E-2</v>
      </c>
      <c r="BL9" s="9">
        <v>8.9010000000000006E-2</v>
      </c>
      <c r="BM9" s="9">
        <v>8.9010000000000006E-2</v>
      </c>
      <c r="BN9" s="9">
        <f>0.09017-0.00116</f>
        <v>8.9010000000000006E-2</v>
      </c>
      <c r="BO9" s="9">
        <f>0.1036-0.00128</f>
        <v>0.10231999999999999</v>
      </c>
      <c r="BP9" s="9">
        <f>0.1036-0.00128</f>
        <v>0.10231999999999999</v>
      </c>
      <c r="BQ9" s="9">
        <f>0.1036-0.00128</f>
        <v>0.10231999999999999</v>
      </c>
      <c r="BR9" s="9">
        <f>0.1036-0.00128</f>
        <v>0.10231999999999999</v>
      </c>
      <c r="BS9" s="9">
        <f>0.09017-0.00116</f>
        <v>8.9010000000000006E-2</v>
      </c>
      <c r="BT9" s="9">
        <f>0.09017-0.00116</f>
        <v>8.9010000000000006E-2</v>
      </c>
      <c r="BU9" s="9">
        <f t="shared" ref="BU9:BZ9" si="12">0.09017-0.00116</f>
        <v>8.9010000000000006E-2</v>
      </c>
      <c r="BV9" s="9">
        <f t="shared" si="12"/>
        <v>8.9010000000000006E-2</v>
      </c>
      <c r="BW9" s="9">
        <f t="shared" si="12"/>
        <v>8.9010000000000006E-2</v>
      </c>
      <c r="BX9" s="9">
        <f t="shared" si="12"/>
        <v>8.9010000000000006E-2</v>
      </c>
      <c r="BY9" s="9">
        <f t="shared" si="12"/>
        <v>8.9010000000000006E-2</v>
      </c>
      <c r="BZ9" s="9">
        <f t="shared" si="12"/>
        <v>8.9010000000000006E-2</v>
      </c>
      <c r="CA9" s="10">
        <f>0.1036-0.00128</f>
        <v>0.10231999999999999</v>
      </c>
      <c r="CB9" s="9">
        <f>0.1036-0.00128</f>
        <v>0.10231999999999999</v>
      </c>
      <c r="CC9" s="9">
        <f>0.1036-0.00128</f>
        <v>0.10231999999999999</v>
      </c>
      <c r="CD9" s="9">
        <v>0.10231999999999999</v>
      </c>
      <c r="CE9" s="9">
        <f t="shared" ref="CE9:CH9" si="13">0.09017-0.00116</f>
        <v>8.9010000000000006E-2</v>
      </c>
      <c r="CF9" s="9">
        <f t="shared" si="13"/>
        <v>8.9010000000000006E-2</v>
      </c>
      <c r="CG9" s="9">
        <f t="shared" si="13"/>
        <v>8.9010000000000006E-2</v>
      </c>
      <c r="CH9" s="9">
        <f t="shared" si="13"/>
        <v>8.9010000000000006E-2</v>
      </c>
      <c r="CI9" s="10">
        <v>9.6269999999999994E-2</v>
      </c>
      <c r="CJ9" s="9">
        <v>9.6269999999999994E-2</v>
      </c>
      <c r="CK9" s="9">
        <v>9.6269999999999994E-2</v>
      </c>
      <c r="CL9" s="9">
        <v>9.6269999999999994E-2</v>
      </c>
      <c r="CM9" s="10">
        <v>0.11067</v>
      </c>
      <c r="CN9" s="9">
        <v>0.11067</v>
      </c>
      <c r="CO9" s="9">
        <v>0.11067</v>
      </c>
      <c r="CP9" s="9">
        <v>0.11067</v>
      </c>
      <c r="CQ9" s="10">
        <v>9.6269999999999994E-2</v>
      </c>
      <c r="CR9" s="9">
        <v>9.6269999999999994E-2</v>
      </c>
      <c r="CS9" s="9">
        <v>9.6269999999999994E-2</v>
      </c>
      <c r="CT9" s="10">
        <v>0.10221</v>
      </c>
      <c r="CU9" s="9">
        <v>0.10221</v>
      </c>
      <c r="CV9" s="9">
        <v>0.10221</v>
      </c>
      <c r="CW9" s="9">
        <v>0.10221</v>
      </c>
      <c r="CX9" s="9">
        <v>0.10221</v>
      </c>
      <c r="CY9" s="12">
        <v>0.11749</v>
      </c>
      <c r="CZ9" s="13">
        <v>0.11749</v>
      </c>
      <c r="DA9" s="13">
        <v>0.11749</v>
      </c>
      <c r="DB9" s="13">
        <v>0.11749</v>
      </c>
      <c r="DC9" s="13">
        <v>0.10221</v>
      </c>
      <c r="DD9" s="13">
        <v>0.10221</v>
      </c>
      <c r="DE9" s="13">
        <v>0.10221</v>
      </c>
      <c r="DF9" s="12">
        <v>0.10817</v>
      </c>
      <c r="DG9" s="13">
        <v>0.10817</v>
      </c>
      <c r="DH9" s="13">
        <v>0.10817</v>
      </c>
      <c r="DI9" s="13">
        <v>0.10817</v>
      </c>
      <c r="DJ9" s="13">
        <v>0.10817</v>
      </c>
      <c r="DK9" s="12">
        <v>0.12434000000000001</v>
      </c>
      <c r="DL9" s="13">
        <v>0.12434000000000001</v>
      </c>
      <c r="DM9" s="13">
        <v>0.12434000000000001</v>
      </c>
      <c r="DN9" s="13">
        <v>0.12434000000000001</v>
      </c>
      <c r="DO9" s="10">
        <v>0.10817</v>
      </c>
      <c r="DP9" s="9">
        <v>0.10817</v>
      </c>
      <c r="DQ9" s="9">
        <v>0.10817</v>
      </c>
      <c r="DR9" s="9">
        <v>0.10817</v>
      </c>
      <c r="DS9" s="10">
        <v>0.11125</v>
      </c>
      <c r="DT9" s="9">
        <v>0.11125</v>
      </c>
      <c r="DU9" s="9">
        <v>0.11125</v>
      </c>
      <c r="DV9" s="9">
        <v>0.11125</v>
      </c>
      <c r="DW9" s="10">
        <v>0.12787999999999999</v>
      </c>
      <c r="DX9" s="9">
        <v>0.12787999999999999</v>
      </c>
      <c r="DY9" s="9">
        <v>0.12787999999999999</v>
      </c>
      <c r="DZ9" s="9">
        <v>0.12787999999999999</v>
      </c>
      <c r="EA9" s="12">
        <v>0.11125</v>
      </c>
      <c r="EB9" s="13">
        <v>0.11125</v>
      </c>
      <c r="EC9" s="13">
        <v>0.11125</v>
      </c>
      <c r="ED9" s="12">
        <v>0.11976000000000001</v>
      </c>
      <c r="EE9" s="13">
        <v>0.11976000000000001</v>
      </c>
      <c r="EF9" s="13">
        <v>0.11976000000000001</v>
      </c>
      <c r="EG9" s="13">
        <v>0.11976000000000001</v>
      </c>
      <c r="EH9" s="13">
        <v>0.11976000000000001</v>
      </c>
      <c r="EI9" s="12">
        <f>13.766/100</f>
        <v>0.13766</v>
      </c>
    </row>
    <row r="10" spans="1:139" s="4" customFormat="1" x14ac:dyDescent="0.2">
      <c r="A10" s="5" t="s">
        <v>1</v>
      </c>
      <c r="B10" s="13">
        <v>3.8000000000000002E-4</v>
      </c>
      <c r="C10" s="13">
        <v>3.8000000000000002E-4</v>
      </c>
      <c r="D10" s="13">
        <v>3.8000000000000002E-4</v>
      </c>
      <c r="E10" s="13">
        <v>3.8000000000000002E-4</v>
      </c>
      <c r="F10" s="13">
        <v>3.8000000000000002E-4</v>
      </c>
      <c r="G10" s="13">
        <v>3.8000000000000002E-4</v>
      </c>
      <c r="H10" s="13">
        <v>3.8000000000000002E-4</v>
      </c>
      <c r="I10" s="13">
        <v>3.8000000000000002E-4</v>
      </c>
      <c r="J10" s="13">
        <v>3.8000000000000002E-4</v>
      </c>
      <c r="K10" s="12">
        <v>0</v>
      </c>
      <c r="L10" s="13">
        <v>0</v>
      </c>
      <c r="M10" s="12">
        <v>3.8000000000000002E-4</v>
      </c>
      <c r="N10" s="13">
        <v>3.8000000000000002E-4</v>
      </c>
      <c r="O10" s="13">
        <v>3.8000000000000002E-4</v>
      </c>
      <c r="P10" s="13">
        <v>3.8000000000000002E-4</v>
      </c>
      <c r="Q10" s="12">
        <v>0</v>
      </c>
      <c r="R10" s="13">
        <v>0</v>
      </c>
      <c r="S10" s="12">
        <v>4.1800000000000002E-4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2">
        <v>0</v>
      </c>
      <c r="AA10" s="13">
        <f t="shared" si="11"/>
        <v>0</v>
      </c>
      <c r="AB10" s="13">
        <f t="shared" si="11"/>
        <v>0</v>
      </c>
      <c r="AC10" s="13">
        <f t="shared" si="11"/>
        <v>0</v>
      </c>
      <c r="AD10" s="13">
        <f t="shared" si="11"/>
        <v>0</v>
      </c>
      <c r="AE10" s="13">
        <f t="shared" si="11"/>
        <v>0</v>
      </c>
      <c r="AF10" s="13">
        <f t="shared" si="11"/>
        <v>0</v>
      </c>
      <c r="AG10" s="13">
        <f t="shared" si="11"/>
        <v>0</v>
      </c>
      <c r="AH10" s="13">
        <f t="shared" si="11"/>
        <v>0</v>
      </c>
      <c r="AI10" s="13">
        <f t="shared" si="11"/>
        <v>0</v>
      </c>
      <c r="AJ10" s="13">
        <f t="shared" si="11"/>
        <v>0</v>
      </c>
      <c r="AK10" s="13">
        <f t="shared" si="11"/>
        <v>0</v>
      </c>
      <c r="AL10" s="13">
        <f t="shared" si="11"/>
        <v>0</v>
      </c>
      <c r="AM10" s="13">
        <f t="shared" si="11"/>
        <v>0</v>
      </c>
      <c r="AN10" s="13">
        <f t="shared" si="11"/>
        <v>0</v>
      </c>
      <c r="AO10" s="13">
        <f t="shared" si="11"/>
        <v>0</v>
      </c>
      <c r="AP10" s="13">
        <f t="shared" si="11"/>
        <v>0</v>
      </c>
      <c r="AQ10" s="13">
        <f t="shared" ref="AQ10:AW11" si="14">AP10</f>
        <v>0</v>
      </c>
      <c r="AR10" s="14">
        <f t="shared" si="14"/>
        <v>0</v>
      </c>
      <c r="AS10" s="13">
        <f t="shared" si="14"/>
        <v>0</v>
      </c>
      <c r="AT10" s="13">
        <f t="shared" si="14"/>
        <v>0</v>
      </c>
      <c r="AU10" s="13">
        <f t="shared" si="14"/>
        <v>0</v>
      </c>
      <c r="AV10" s="13">
        <f t="shared" si="14"/>
        <v>0</v>
      </c>
      <c r="AW10" s="13">
        <f t="shared" si="14"/>
        <v>0</v>
      </c>
      <c r="AX10" s="13">
        <v>0</v>
      </c>
      <c r="AY10" s="13">
        <v>0</v>
      </c>
      <c r="AZ10" s="13">
        <v>-7.2499999999999995E-4</v>
      </c>
      <c r="BA10" s="13">
        <v>-7.2499999999999995E-4</v>
      </c>
      <c r="BB10" s="13">
        <v>-7.2499999999999995E-4</v>
      </c>
      <c r="BC10" s="13">
        <v>-7.2499999999999995E-4</v>
      </c>
      <c r="BD10" s="13">
        <v>-7.2499999999999995E-4</v>
      </c>
      <c r="BE10" s="13">
        <v>-7.2499999999999995E-4</v>
      </c>
      <c r="BF10" s="13">
        <v>-7.2499999999999995E-4</v>
      </c>
      <c r="BG10" s="13">
        <v>-7.2499999999999995E-4</v>
      </c>
      <c r="BH10" s="13">
        <v>-7.2499999999999995E-4</v>
      </c>
      <c r="BI10" s="13">
        <v>-7.2499999999999995E-4</v>
      </c>
      <c r="BJ10" s="4">
        <v>0</v>
      </c>
      <c r="BK10" s="4">
        <v>0</v>
      </c>
      <c r="BL10" s="13">
        <v>-8.3799999999999999E-4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12">
        <v>6.7100000000000005E-4</v>
      </c>
      <c r="CJ10" s="13">
        <v>6.7100000000000005E-4</v>
      </c>
      <c r="CK10" s="13">
        <v>6.7100000000000005E-4</v>
      </c>
      <c r="CL10" s="13">
        <v>6.7100000000000005E-4</v>
      </c>
      <c r="CM10" s="13">
        <v>6.7100000000000005E-4</v>
      </c>
      <c r="CN10" s="13">
        <v>6.7100000000000005E-4</v>
      </c>
      <c r="CO10" s="13">
        <v>6.7100000000000005E-4</v>
      </c>
      <c r="CP10" s="13">
        <v>6.7100000000000005E-4</v>
      </c>
      <c r="CQ10" s="13">
        <v>6.7100000000000005E-4</v>
      </c>
      <c r="CR10" s="13">
        <v>6.7100000000000005E-4</v>
      </c>
      <c r="CS10" s="13">
        <v>6.7100000000000005E-4</v>
      </c>
      <c r="CT10" s="12">
        <v>0</v>
      </c>
      <c r="CU10" s="13">
        <v>0</v>
      </c>
      <c r="CV10" s="12">
        <v>4.2499999999999998E-4</v>
      </c>
      <c r="CW10" s="12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2">
        <v>-6.3299999999999999E-4</v>
      </c>
      <c r="DT10" s="13">
        <v>-6.3299999999999999E-4</v>
      </c>
      <c r="DU10" s="13">
        <v>-6.3299999999999999E-4</v>
      </c>
      <c r="DV10" s="13">
        <v>-6.3299999999999999E-4</v>
      </c>
      <c r="DW10" s="13">
        <v>-6.3299999999999999E-4</v>
      </c>
      <c r="DX10" s="13">
        <v>-6.3299999999999999E-4</v>
      </c>
      <c r="DY10" s="13">
        <v>-6.3299999999999999E-4</v>
      </c>
      <c r="DZ10" s="13">
        <v>-6.3299999999999999E-4</v>
      </c>
      <c r="EA10" s="13">
        <v>-6.3299999999999999E-4</v>
      </c>
      <c r="EB10" s="13">
        <v>-6.3299999999999999E-4</v>
      </c>
      <c r="EC10" s="13">
        <v>-6.3299999999999999E-4</v>
      </c>
      <c r="ED10" s="13">
        <v>0</v>
      </c>
      <c r="EE10" s="13">
        <v>0</v>
      </c>
      <c r="EF10" s="12">
        <f>0.0433/100</f>
        <v>4.3300000000000001E-4</v>
      </c>
      <c r="EG10" s="12">
        <f>0/100</f>
        <v>0</v>
      </c>
      <c r="EH10" s="12">
        <f>0/100</f>
        <v>0</v>
      </c>
      <c r="EI10" s="12">
        <f>0/100</f>
        <v>0</v>
      </c>
    </row>
    <row r="11" spans="1:139" s="4" customFormat="1" x14ac:dyDescent="0.2">
      <c r="A11" s="5" t="s">
        <v>2</v>
      </c>
      <c r="B11" s="6">
        <v>0.94</v>
      </c>
      <c r="C11" s="6">
        <v>0.94</v>
      </c>
      <c r="D11" s="6">
        <v>0.94</v>
      </c>
      <c r="E11" s="7">
        <v>1.04</v>
      </c>
      <c r="F11" s="6">
        <v>1.04</v>
      </c>
      <c r="G11" s="6">
        <v>1.04</v>
      </c>
      <c r="H11" s="6">
        <v>1.04</v>
      </c>
      <c r="I11" s="6">
        <v>1.04</v>
      </c>
      <c r="J11" s="6">
        <v>1.04</v>
      </c>
      <c r="K11" s="6">
        <v>1.04</v>
      </c>
      <c r="L11" s="6">
        <v>1.04</v>
      </c>
      <c r="M11" s="6">
        <v>1.04</v>
      </c>
      <c r="N11" s="6">
        <v>1.04</v>
      </c>
      <c r="O11" s="6">
        <v>1.04</v>
      </c>
      <c r="P11" s="6">
        <v>1.04</v>
      </c>
      <c r="Q11" s="6">
        <v>1.04</v>
      </c>
      <c r="R11" s="6">
        <v>1.04</v>
      </c>
      <c r="S11" s="6">
        <v>1.04</v>
      </c>
      <c r="T11" s="6">
        <v>1.04</v>
      </c>
      <c r="U11" s="6">
        <v>1.04</v>
      </c>
      <c r="V11" s="6">
        <v>1.04</v>
      </c>
      <c r="W11" s="6">
        <v>1.04</v>
      </c>
      <c r="X11" s="6">
        <v>1.04</v>
      </c>
      <c r="Y11" s="6">
        <v>1.04</v>
      </c>
      <c r="Z11" s="7">
        <v>1.04</v>
      </c>
      <c r="AA11" s="6">
        <f t="shared" si="11"/>
        <v>1.04</v>
      </c>
      <c r="AB11" s="6">
        <f t="shared" si="11"/>
        <v>1.04</v>
      </c>
      <c r="AC11" s="6">
        <f t="shared" si="11"/>
        <v>1.04</v>
      </c>
      <c r="AD11" s="6">
        <f t="shared" si="11"/>
        <v>1.04</v>
      </c>
      <c r="AE11" s="6">
        <f t="shared" si="11"/>
        <v>1.04</v>
      </c>
      <c r="AF11" s="6">
        <f t="shared" si="11"/>
        <v>1.04</v>
      </c>
      <c r="AG11" s="6">
        <f t="shared" si="11"/>
        <v>1.04</v>
      </c>
      <c r="AH11" s="6">
        <f t="shared" si="11"/>
        <v>1.04</v>
      </c>
      <c r="AI11" s="6">
        <f t="shared" si="11"/>
        <v>1.04</v>
      </c>
      <c r="AJ11" s="6">
        <f t="shared" si="11"/>
        <v>1.04</v>
      </c>
      <c r="AK11" s="6">
        <f t="shared" si="11"/>
        <v>1.04</v>
      </c>
      <c r="AL11" s="6">
        <f t="shared" si="11"/>
        <v>1.04</v>
      </c>
      <c r="AM11" s="6">
        <f t="shared" si="11"/>
        <v>1.04</v>
      </c>
      <c r="AN11" s="6">
        <f t="shared" si="11"/>
        <v>1.04</v>
      </c>
      <c r="AO11" s="6">
        <f t="shared" si="11"/>
        <v>1.04</v>
      </c>
      <c r="AP11" s="6">
        <f t="shared" si="11"/>
        <v>1.04</v>
      </c>
      <c r="AQ11" s="6">
        <f t="shared" si="14"/>
        <v>1.04</v>
      </c>
      <c r="AR11" s="8">
        <f t="shared" si="14"/>
        <v>1.04</v>
      </c>
      <c r="AS11" s="6">
        <f t="shared" si="14"/>
        <v>1.04</v>
      </c>
      <c r="AT11" s="6">
        <f t="shared" si="14"/>
        <v>1.04</v>
      </c>
      <c r="AU11" s="6">
        <f t="shared" si="14"/>
        <v>1.04</v>
      </c>
      <c r="AV11" s="6">
        <f t="shared" si="14"/>
        <v>1.04</v>
      </c>
      <c r="AW11" s="6">
        <f t="shared" si="14"/>
        <v>1.04</v>
      </c>
      <c r="AX11" s="6">
        <v>1.04</v>
      </c>
      <c r="AY11" s="6">
        <v>1.04</v>
      </c>
      <c r="AZ11" s="6">
        <v>1.2</v>
      </c>
      <c r="BA11" s="6">
        <v>1.2</v>
      </c>
      <c r="BB11" s="6">
        <v>1.2</v>
      </c>
      <c r="BC11" s="6">
        <v>1.2</v>
      </c>
      <c r="BD11" s="6">
        <v>1.2</v>
      </c>
      <c r="BE11" s="6">
        <v>1.2</v>
      </c>
      <c r="BF11" s="6">
        <v>1.2</v>
      </c>
      <c r="BG11" s="6">
        <v>1.2</v>
      </c>
      <c r="BH11" s="6">
        <v>1.2</v>
      </c>
      <c r="BI11" s="6">
        <v>1.2</v>
      </c>
      <c r="BJ11" s="6">
        <v>1.2</v>
      </c>
      <c r="BK11" s="6">
        <v>1.2</v>
      </c>
      <c r="BL11" s="6">
        <v>1.2</v>
      </c>
      <c r="BM11" s="6">
        <v>1.2</v>
      </c>
      <c r="BN11" s="6">
        <v>1.2</v>
      </c>
      <c r="BO11" s="6">
        <v>1.2</v>
      </c>
      <c r="BP11" s="6">
        <v>1.2</v>
      </c>
      <c r="BQ11" s="6">
        <v>1.2</v>
      </c>
      <c r="BR11" s="6">
        <v>1.2</v>
      </c>
      <c r="BS11" s="6">
        <v>1.2</v>
      </c>
      <c r="BT11" s="6">
        <v>1.2</v>
      </c>
      <c r="BU11" s="6">
        <v>1.2</v>
      </c>
      <c r="BV11" s="6">
        <v>1.2</v>
      </c>
      <c r="BW11" s="6">
        <v>1.2</v>
      </c>
      <c r="BX11" s="6">
        <v>1.2</v>
      </c>
      <c r="BY11" s="6">
        <v>1.2</v>
      </c>
      <c r="BZ11" s="6">
        <v>1.2</v>
      </c>
      <c r="CA11" s="6">
        <v>1.2</v>
      </c>
      <c r="CB11" s="6">
        <v>1.2</v>
      </c>
      <c r="CC11" s="6">
        <v>1.2</v>
      </c>
      <c r="CD11" s="6">
        <v>1.2</v>
      </c>
      <c r="CE11" s="6">
        <v>1.2</v>
      </c>
      <c r="CF11" s="6">
        <v>1.2</v>
      </c>
      <c r="CG11" s="6">
        <v>1.2</v>
      </c>
      <c r="CH11" s="6">
        <v>1.2</v>
      </c>
      <c r="CI11" s="6">
        <v>1.2</v>
      </c>
      <c r="CJ11" s="6">
        <v>1.2</v>
      </c>
      <c r="CK11" s="6">
        <v>1.2</v>
      </c>
      <c r="CL11" s="6">
        <v>1.2</v>
      </c>
      <c r="CM11" s="6">
        <v>1.2</v>
      </c>
      <c r="CN11" s="6">
        <v>1.2</v>
      </c>
      <c r="CO11" s="6">
        <v>1.2</v>
      </c>
      <c r="CP11" s="6">
        <v>1.2</v>
      </c>
      <c r="CQ11" s="6">
        <v>1.2</v>
      </c>
      <c r="CR11" s="6">
        <v>1.2</v>
      </c>
      <c r="CS11" s="6">
        <v>1.2</v>
      </c>
      <c r="CT11" s="6">
        <v>1.2</v>
      </c>
      <c r="CU11" s="6">
        <v>1.2</v>
      </c>
      <c r="CV11" s="6">
        <v>1.2</v>
      </c>
      <c r="CW11" s="6">
        <v>1.2</v>
      </c>
      <c r="CX11" s="6">
        <v>1.2</v>
      </c>
      <c r="CY11" s="6">
        <v>1.2</v>
      </c>
      <c r="CZ11" s="6">
        <v>1.2</v>
      </c>
      <c r="DA11" s="6">
        <v>1.2</v>
      </c>
      <c r="DB11" s="6">
        <v>1.2</v>
      </c>
      <c r="DC11" s="6">
        <v>1.2</v>
      </c>
      <c r="DD11" s="6">
        <v>1.2</v>
      </c>
      <c r="DE11" s="6">
        <v>1.2</v>
      </c>
      <c r="DF11" s="6">
        <v>1.2</v>
      </c>
      <c r="DG11" s="6">
        <v>1.2</v>
      </c>
      <c r="DH11" s="6">
        <v>1.2</v>
      </c>
      <c r="DI11" s="6">
        <v>1.2</v>
      </c>
      <c r="DJ11" s="6">
        <v>1.2</v>
      </c>
      <c r="DK11" s="6">
        <v>1.2</v>
      </c>
      <c r="DL11" s="6">
        <v>1.2</v>
      </c>
      <c r="DM11" s="6">
        <v>1.2</v>
      </c>
      <c r="DN11" s="6">
        <v>1.2</v>
      </c>
      <c r="DO11" s="6">
        <v>1.2</v>
      </c>
      <c r="DP11" s="6">
        <v>1.2</v>
      </c>
      <c r="DQ11" s="6">
        <v>1.2</v>
      </c>
      <c r="DR11" s="6">
        <v>1.2</v>
      </c>
      <c r="DS11" s="7">
        <v>1.28</v>
      </c>
      <c r="DT11" s="6">
        <v>1.28</v>
      </c>
      <c r="DU11" s="6">
        <v>1.28</v>
      </c>
      <c r="DV11" s="6">
        <v>1.28</v>
      </c>
      <c r="DW11" s="6">
        <v>1.28</v>
      </c>
      <c r="DX11" s="6">
        <v>1.28</v>
      </c>
      <c r="DY11" s="6">
        <v>1.28</v>
      </c>
      <c r="DZ11" s="6">
        <v>1.28</v>
      </c>
      <c r="EA11" s="6">
        <v>1.28</v>
      </c>
      <c r="EB11" s="6">
        <v>1.28</v>
      </c>
      <c r="EC11" s="6">
        <v>1.28</v>
      </c>
      <c r="ED11" s="6">
        <v>1.28</v>
      </c>
      <c r="EE11" s="6">
        <v>1.28</v>
      </c>
      <c r="EF11" s="6">
        <v>1.28</v>
      </c>
      <c r="EG11" s="6">
        <v>1.28</v>
      </c>
      <c r="EH11" s="6">
        <v>1.28</v>
      </c>
      <c r="EI11" s="6">
        <v>1.28</v>
      </c>
    </row>
    <row r="12" spans="1:139" s="4" customFormat="1" x14ac:dyDescent="0.2">
      <c r="A12" s="5" t="s">
        <v>3</v>
      </c>
      <c r="B12" s="12">
        <v>7.2950000000000003E-3</v>
      </c>
      <c r="C12" s="12">
        <v>1.2632000000000001E-2</v>
      </c>
      <c r="D12" s="13">
        <v>1.2632000000000001E-2</v>
      </c>
      <c r="E12" s="12">
        <v>1.05805E-2</v>
      </c>
      <c r="F12" s="12">
        <v>1.0246E-2</v>
      </c>
      <c r="G12" s="12">
        <v>2.6050000000000001E-3</v>
      </c>
      <c r="H12" s="13">
        <v>2.6050000000000001E-3</v>
      </c>
      <c r="I12" s="12">
        <v>-1.371E-3</v>
      </c>
      <c r="J12" s="12">
        <v>-1.0104E-2</v>
      </c>
      <c r="K12" s="12">
        <v>-1.0330000000000001E-3</v>
      </c>
      <c r="L12" s="12">
        <v>1.1800000000000001E-3</v>
      </c>
      <c r="M12" s="12">
        <v>-6.69E-4</v>
      </c>
      <c r="N12" s="13">
        <v>-6.69E-4</v>
      </c>
      <c r="O12" s="13">
        <v>-6.69E-4</v>
      </c>
      <c r="P12" s="13">
        <v>-6.69E-4</v>
      </c>
      <c r="Q12" s="13">
        <v>-6.69E-4</v>
      </c>
      <c r="R12" s="12">
        <v>9.0700000000000004E-4</v>
      </c>
      <c r="S12" s="13">
        <v>9.0700000000000004E-4</v>
      </c>
      <c r="T12" s="13">
        <v>9.0700000000000004E-4</v>
      </c>
      <c r="U12" s="13">
        <v>9.0700000000000004E-4</v>
      </c>
      <c r="V12" s="12">
        <v>-1.0330000000000001E-3</v>
      </c>
      <c r="W12" s="12">
        <v>-1.0330000000000001E-3</v>
      </c>
      <c r="X12" s="13">
        <v>1.1800000000000001E-3</v>
      </c>
      <c r="Y12" s="13">
        <v>1.1800000000000001E-3</v>
      </c>
      <c r="Z12" s="12">
        <v>1.1800000000000001E-3</v>
      </c>
      <c r="AA12" s="13">
        <f t="shared" si="11"/>
        <v>1.1800000000000001E-3</v>
      </c>
      <c r="AB12" s="13">
        <f t="shared" si="11"/>
        <v>1.1800000000000001E-3</v>
      </c>
      <c r="AC12" s="13">
        <f>AB12</f>
        <v>1.1800000000000001E-3</v>
      </c>
      <c r="AD12" s="12">
        <v>2.6949999999999999E-3</v>
      </c>
      <c r="AE12" s="13">
        <v>2.6949999999999999E-3</v>
      </c>
      <c r="AF12" s="13">
        <v>2.6949999999999999E-3</v>
      </c>
      <c r="AG12" s="13">
        <v>2.6949999999999999E-3</v>
      </c>
      <c r="AH12" s="12">
        <v>3.9110000000000004E-3</v>
      </c>
      <c r="AI12" s="13">
        <v>3.9110000000000004E-3</v>
      </c>
      <c r="AJ12" s="15">
        <v>2.15E-3</v>
      </c>
      <c r="AK12" s="16">
        <v>2.15E-3</v>
      </c>
      <c r="AL12" s="16">
        <v>2.15E-3</v>
      </c>
      <c r="AM12" s="16">
        <v>2.15E-3</v>
      </c>
      <c r="AN12" s="16">
        <v>2.15E-3</v>
      </c>
      <c r="AO12" s="12">
        <v>2.1199999999999999E-3</v>
      </c>
      <c r="AP12" s="12">
        <v>4.9800000000000001E-3</v>
      </c>
      <c r="AQ12" s="13">
        <v>4.9800000000000001E-3</v>
      </c>
      <c r="AR12" s="14">
        <v>4.9800000000000001E-3</v>
      </c>
      <c r="AS12" s="13">
        <v>4.9800000000000001E-3</v>
      </c>
      <c r="AT12" s="10">
        <v>4.8399999999999997E-3</v>
      </c>
      <c r="AU12" s="10">
        <v>4.8399999999999997E-3</v>
      </c>
      <c r="AV12" s="10">
        <v>6.4400000000000004E-3</v>
      </c>
      <c r="AW12" s="10">
        <v>6.4400000000000004E-3</v>
      </c>
      <c r="AX12" s="10">
        <v>6.4400000000000004E-3</v>
      </c>
      <c r="AY12" s="10">
        <v>6.4400000000000004E-3</v>
      </c>
      <c r="AZ12" s="10">
        <v>6.4400000000000004E-3</v>
      </c>
      <c r="BA12" s="10">
        <v>9.6299999999999997E-3</v>
      </c>
      <c r="BB12" s="10">
        <v>9.6299999999999997E-3</v>
      </c>
      <c r="BC12" s="10">
        <v>9.6299999999999997E-3</v>
      </c>
      <c r="BD12" s="10">
        <v>9.6299999999999997E-3</v>
      </c>
      <c r="BE12" s="10">
        <v>4.5900000000000003E-3</v>
      </c>
      <c r="BF12" s="10">
        <v>4.5900000000000003E-3</v>
      </c>
      <c r="BG12" s="10">
        <v>1.188E-2</v>
      </c>
      <c r="BH12" s="10">
        <v>1.188E-2</v>
      </c>
      <c r="BI12" s="10">
        <v>1.188E-2</v>
      </c>
      <c r="BJ12" s="10">
        <v>1.188E-2</v>
      </c>
      <c r="BK12" s="10">
        <v>9.5999999999999992E-3</v>
      </c>
      <c r="BL12" s="10">
        <v>9.5999999999999992E-3</v>
      </c>
      <c r="BM12" s="10">
        <v>9.5999999999999992E-3</v>
      </c>
      <c r="BN12" s="10">
        <v>9.5999999999999992E-3</v>
      </c>
      <c r="BO12" s="10">
        <v>9.5999999999999992E-3</v>
      </c>
      <c r="BP12" s="10">
        <v>9.5999999999999992E-3</v>
      </c>
      <c r="BQ12" s="10">
        <v>4.0000000000000001E-3</v>
      </c>
      <c r="BR12" s="10">
        <v>4.0000000000000001E-3</v>
      </c>
      <c r="BS12" s="10">
        <v>4.0000000000000001E-3</v>
      </c>
      <c r="BT12" s="10">
        <v>4.0000000000000001E-3</v>
      </c>
      <c r="BU12" s="10">
        <v>4.0000000000000001E-3</v>
      </c>
      <c r="BV12" s="10">
        <v>4.0000000000000001E-3</v>
      </c>
      <c r="BW12" s="10">
        <v>5.2700000000000004E-3</v>
      </c>
      <c r="BX12" s="10">
        <v>5.2700000000000004E-3</v>
      </c>
      <c r="BY12" s="10">
        <v>5.2700000000000004E-3</v>
      </c>
      <c r="BZ12" s="9">
        <v>5.2700000000000004E-3</v>
      </c>
      <c r="CA12" s="9">
        <v>5.2700000000000004E-3</v>
      </c>
      <c r="CB12" s="9">
        <v>5.2700000000000004E-3</v>
      </c>
      <c r="CC12" s="10">
        <v>7.5199999999999998E-3</v>
      </c>
      <c r="CD12" s="9">
        <v>7.5199999999999998E-3</v>
      </c>
      <c r="CE12" s="9">
        <v>7.5199999999999998E-3</v>
      </c>
      <c r="CF12" s="9">
        <v>7.5199999999999998E-3</v>
      </c>
      <c r="CG12" s="9">
        <v>7.5199999999999998E-3</v>
      </c>
      <c r="CH12" s="9">
        <v>7.5199999999999998E-3</v>
      </c>
      <c r="CI12" s="10">
        <v>1.6800000000000001E-3</v>
      </c>
      <c r="CJ12" s="9">
        <v>1.6800000000000001E-3</v>
      </c>
      <c r="CK12" s="9">
        <v>1.6800000000000001E-3</v>
      </c>
      <c r="CL12" s="9">
        <v>1.6800000000000001E-3</v>
      </c>
      <c r="CM12" s="9">
        <v>1.6800000000000001E-3</v>
      </c>
      <c r="CN12" s="9">
        <v>1.6800000000000001E-3</v>
      </c>
      <c r="CO12" s="10">
        <v>3.3500000000000001E-3</v>
      </c>
      <c r="CP12" s="9">
        <v>3.3500000000000001E-3</v>
      </c>
      <c r="CQ12" s="9">
        <v>3.3500000000000001E-3</v>
      </c>
      <c r="CR12" s="9">
        <v>3.3500000000000001E-3</v>
      </c>
      <c r="CS12" s="9">
        <v>3.3500000000000001E-3</v>
      </c>
      <c r="CT12" s="9">
        <v>3.3500000000000001E-3</v>
      </c>
      <c r="CU12" s="10">
        <v>5.9199999999999999E-3</v>
      </c>
      <c r="CV12" s="9">
        <v>5.9199999999999999E-3</v>
      </c>
      <c r="CW12" s="9">
        <v>5.9199999999999999E-3</v>
      </c>
      <c r="CX12" s="9">
        <v>5.9199999999999999E-3</v>
      </c>
      <c r="CY12" s="9">
        <v>5.9199999999999999E-3</v>
      </c>
      <c r="CZ12" s="9">
        <v>5.9199999999999999E-3</v>
      </c>
      <c r="DA12" s="10">
        <v>6.45E-3</v>
      </c>
      <c r="DB12" s="9">
        <v>6.45E-3</v>
      </c>
      <c r="DC12" s="9">
        <v>6.45E-3</v>
      </c>
      <c r="DD12" s="10">
        <v>-7.7999999999999999E-4</v>
      </c>
      <c r="DE12" s="9">
        <v>-7.7999999999999999E-4</v>
      </c>
      <c r="DF12" s="9">
        <v>-7.7999999999999999E-4</v>
      </c>
      <c r="DG12" s="10">
        <v>-8.9999999999999998E-4</v>
      </c>
      <c r="DH12" s="9">
        <v>-8.9999999999999998E-4</v>
      </c>
      <c r="DI12" s="9">
        <v>-8.9999999999999998E-4</v>
      </c>
      <c r="DJ12" s="9">
        <v>-8.9999999999999998E-4</v>
      </c>
      <c r="DK12" s="10">
        <v>4.8599999999999997E-3</v>
      </c>
      <c r="DL12" s="9">
        <v>4.8599999999999997E-3</v>
      </c>
      <c r="DM12" s="12">
        <v>9.8899999999999995E-3</v>
      </c>
      <c r="DN12" s="13">
        <v>9.8899999999999995E-3</v>
      </c>
      <c r="DO12" s="13">
        <v>9.8899999999999995E-3</v>
      </c>
      <c r="DP12" s="13">
        <v>9.8899999999999995E-3</v>
      </c>
      <c r="DQ12" s="13">
        <v>9.8899999999999995E-3</v>
      </c>
      <c r="DR12" s="13">
        <v>9.8899999999999995E-3</v>
      </c>
      <c r="DS12" s="12">
        <v>7.5300000000000002E-3</v>
      </c>
      <c r="DT12" s="13">
        <v>7.5300000000000002E-3</v>
      </c>
      <c r="DU12" s="13">
        <v>7.5300000000000002E-3</v>
      </c>
      <c r="DV12" s="13">
        <v>7.5300000000000002E-3</v>
      </c>
      <c r="DW12" s="13">
        <v>7.5300000000000002E-3</v>
      </c>
      <c r="DX12" s="13">
        <v>7.5300000000000002E-3</v>
      </c>
      <c r="DY12" s="12">
        <v>1.9599999999999999E-3</v>
      </c>
      <c r="DZ12" s="13">
        <v>1.9599999999999999E-3</v>
      </c>
      <c r="EA12" s="13">
        <v>1.9599999999999999E-3</v>
      </c>
      <c r="EB12" s="13">
        <v>1.9599999999999999E-3</v>
      </c>
      <c r="EC12" s="13">
        <v>1.9599999999999999E-3</v>
      </c>
      <c r="ED12" s="13">
        <v>1.9599999999999999E-3</v>
      </c>
      <c r="EE12" s="12">
        <f>-1.424/100</f>
        <v>-1.4239999999999999E-2</v>
      </c>
      <c r="EF12" s="13">
        <f>-1.424/100</f>
        <v>-1.4239999999999999E-2</v>
      </c>
      <c r="EG12" s="13">
        <f>-1.424/100</f>
        <v>-1.4239999999999999E-2</v>
      </c>
      <c r="EH12" s="13">
        <f>-1.424/100</f>
        <v>-1.4239999999999999E-2</v>
      </c>
      <c r="EI12" s="13">
        <f>-1.424/100</f>
        <v>-1.4239999999999999E-2</v>
      </c>
    </row>
    <row r="13" spans="1:139" s="4" customFormat="1" x14ac:dyDescent="0.2">
      <c r="A13" s="5" t="s">
        <v>4</v>
      </c>
      <c r="B13" s="10">
        <v>1.5679999999999999E-2</v>
      </c>
      <c r="C13" s="10">
        <v>1.8780000000000002E-2</v>
      </c>
      <c r="D13" s="10">
        <v>2.1752174999999999E-2</v>
      </c>
      <c r="E13" s="10">
        <v>2.1420000000000002E-2</v>
      </c>
      <c r="F13" s="10">
        <v>2.1332E-2</v>
      </c>
      <c r="G13" s="10">
        <v>1.7510000000000001E-2</v>
      </c>
      <c r="H13" s="10">
        <v>1.077E-2</v>
      </c>
      <c r="I13" s="10">
        <v>9.8200000000000006E-3</v>
      </c>
      <c r="J13" s="10">
        <v>1.418E-2</v>
      </c>
      <c r="K13" s="10">
        <v>1.315E-2</v>
      </c>
      <c r="L13" s="10">
        <v>2.1329999999999998E-2</v>
      </c>
      <c r="M13" s="10">
        <v>1.9279999999999999E-2</v>
      </c>
      <c r="N13" s="10">
        <v>1.7319999999999999E-2</v>
      </c>
      <c r="O13" s="10">
        <v>1.6799999999999999E-2</v>
      </c>
      <c r="P13" s="10">
        <v>1.958E-2</v>
      </c>
      <c r="Q13" s="10">
        <v>2.147E-2</v>
      </c>
      <c r="R13" s="10">
        <v>1.678E-2</v>
      </c>
      <c r="S13" s="10">
        <v>1.5219999999999999E-2</v>
      </c>
      <c r="T13" s="10">
        <v>1.0659999999999999E-2</v>
      </c>
      <c r="U13" s="9">
        <v>1.0659999999999999E-2</v>
      </c>
      <c r="V13" s="10">
        <v>1.417E-2</v>
      </c>
      <c r="W13" s="10">
        <v>1.315E-2</v>
      </c>
      <c r="X13" s="10">
        <v>2.1329999999999998E-2</v>
      </c>
      <c r="Y13" s="10">
        <v>1.7850000000000001E-2</v>
      </c>
      <c r="Z13" s="10">
        <v>1.7569999999999999E-2</v>
      </c>
      <c r="AA13" s="10">
        <v>1.907E-2</v>
      </c>
      <c r="AB13" s="10">
        <v>2.366E-2</v>
      </c>
      <c r="AC13" s="10">
        <v>2.588E-2</v>
      </c>
      <c r="AD13" s="10">
        <v>1.6660000000000001E-2</v>
      </c>
      <c r="AE13" s="10">
        <v>1.532E-2</v>
      </c>
      <c r="AF13" s="10">
        <v>1.299E-2</v>
      </c>
      <c r="AG13" s="10">
        <v>1.136E-2</v>
      </c>
      <c r="AH13" s="10">
        <v>1.436E-2</v>
      </c>
      <c r="AI13" s="10">
        <v>1.434E-2</v>
      </c>
      <c r="AJ13" s="10">
        <v>2.019E-2</v>
      </c>
      <c r="AK13" s="10">
        <v>1.7440000000000001E-2</v>
      </c>
      <c r="AL13" s="10">
        <v>1.421E-2</v>
      </c>
      <c r="AM13" s="10">
        <v>1.5910000000000001E-2</v>
      </c>
      <c r="AN13" s="10">
        <v>1.8319999999999999E-2</v>
      </c>
      <c r="AO13" s="10">
        <v>2.1569999999999999E-2</v>
      </c>
      <c r="AP13" s="10">
        <v>1.4149999999999999E-2</v>
      </c>
      <c r="AQ13" s="10">
        <v>1.176E-2</v>
      </c>
      <c r="AR13" s="17">
        <v>8.3199999999999993E-3</v>
      </c>
      <c r="AS13" s="10">
        <v>9.4000000000000004E-3</v>
      </c>
      <c r="AT13" s="10">
        <v>1.295E-2</v>
      </c>
      <c r="AU13" s="10">
        <v>1.393E-2</v>
      </c>
      <c r="AV13" s="10">
        <v>1.772E-2</v>
      </c>
      <c r="AW13" s="10">
        <v>1.346E-2</v>
      </c>
      <c r="AX13" s="10">
        <v>9.6900000000000007E-3</v>
      </c>
      <c r="AY13" s="10">
        <v>7.8700000000000003E-3</v>
      </c>
      <c r="AZ13" s="10">
        <v>1.2330000000000001E-2</v>
      </c>
      <c r="BA13" s="10">
        <v>1.8610000000000002E-2</v>
      </c>
      <c r="BB13" s="10">
        <v>1.472E-2</v>
      </c>
      <c r="BC13" s="10">
        <v>1.4319999999999999E-2</v>
      </c>
      <c r="BD13" s="10">
        <v>8.5400000000000007E-3</v>
      </c>
      <c r="BE13" s="10">
        <v>1.1310000000000001E-2</v>
      </c>
      <c r="BF13" s="10">
        <v>1.04E-2</v>
      </c>
      <c r="BG13" s="10">
        <v>1.068E-2</v>
      </c>
      <c r="BH13" s="10">
        <v>1.213E-2</v>
      </c>
      <c r="BI13" s="10">
        <v>4.4000000000000003E-3</v>
      </c>
      <c r="BJ13" s="10">
        <v>6.2E-4</v>
      </c>
      <c r="BK13" s="10">
        <v>7.0899999999999999E-3</v>
      </c>
      <c r="BL13" s="10">
        <v>1.2699999999999999E-2</v>
      </c>
      <c r="BM13" s="10">
        <v>1.4870000000000001E-2</v>
      </c>
      <c r="BN13" s="10">
        <v>8.7600000000000004E-3</v>
      </c>
      <c r="BO13" s="10">
        <v>1.048E-2</v>
      </c>
      <c r="BP13" s="10">
        <v>6.3200000000000001E-3</v>
      </c>
      <c r="BQ13" s="10">
        <v>8.4100000000000008E-3</v>
      </c>
      <c r="BR13" s="10">
        <v>1.0120000000000001E-2</v>
      </c>
      <c r="BS13" s="10">
        <v>7.5399999999999998E-3</v>
      </c>
      <c r="BT13" s="10">
        <v>1.1169999999999999E-2</v>
      </c>
      <c r="BU13" s="10">
        <v>9.9500000000000005E-3</v>
      </c>
      <c r="BV13" s="10">
        <v>9.5499999999999995E-3</v>
      </c>
      <c r="BW13" s="10">
        <v>6.96E-3</v>
      </c>
      <c r="BX13" s="10">
        <v>1.7420000000000001E-2</v>
      </c>
      <c r="BY13" s="10">
        <v>1.482E-2</v>
      </c>
      <c r="BZ13" s="10">
        <v>1.0699999999999999E-2</v>
      </c>
      <c r="CA13" s="10">
        <v>1.163E-2</v>
      </c>
      <c r="CB13" s="10">
        <v>9.9399999999999992E-3</v>
      </c>
      <c r="CC13" s="10">
        <v>9.0200000000000002E-3</v>
      </c>
      <c r="CD13" s="10">
        <v>1.0829999999999999E-2</v>
      </c>
      <c r="CE13" s="10">
        <v>1.042E-2</v>
      </c>
      <c r="CF13" s="10">
        <v>1.4659999999999999E-2</v>
      </c>
      <c r="CG13" s="12">
        <v>1.2200000000000001E-2</v>
      </c>
      <c r="CH13" s="12">
        <v>7.2300000000000003E-3</v>
      </c>
      <c r="CI13" s="12">
        <v>1.1039999999999999E-2</v>
      </c>
      <c r="CJ13" s="12">
        <v>1.405E-2</v>
      </c>
      <c r="CK13" s="12">
        <v>1.2070000000000001E-2</v>
      </c>
      <c r="CL13" s="12">
        <v>3.47E-3</v>
      </c>
      <c r="CM13" s="12">
        <v>6.1599999999999997E-3</v>
      </c>
      <c r="CN13" s="12">
        <v>5.2399999999999999E-3</v>
      </c>
      <c r="CO13" s="12">
        <v>5.4299999999999999E-3</v>
      </c>
      <c r="CP13" s="12">
        <v>6.5900000000000004E-3</v>
      </c>
      <c r="CQ13" s="12">
        <v>5.8500000000000002E-3</v>
      </c>
      <c r="CR13" s="12">
        <v>1.091E-2</v>
      </c>
      <c r="CS13" s="12">
        <f>0.84/100</f>
        <v>8.3999999999999995E-3</v>
      </c>
      <c r="CT13" s="12">
        <v>5.1399999999999996E-3</v>
      </c>
      <c r="CU13" s="12">
        <v>5.6499999999999996E-3</v>
      </c>
      <c r="CV13" s="12">
        <v>8.94E-3</v>
      </c>
      <c r="CW13" s="12">
        <v>1.102E-2</v>
      </c>
      <c r="CX13" s="12">
        <v>4.9100000000000003E-3</v>
      </c>
      <c r="CY13" s="12">
        <v>6.3299999999999997E-3</v>
      </c>
      <c r="CZ13" s="12">
        <v>5.1799999999999997E-3</v>
      </c>
      <c r="DA13" s="12">
        <v>5.1399999999999996E-3</v>
      </c>
      <c r="DB13" s="12">
        <v>8.3999999999999995E-3</v>
      </c>
      <c r="DC13" s="12">
        <v>6.4099999999999999E-3</v>
      </c>
      <c r="DD13" s="12">
        <v>1.272E-2</v>
      </c>
      <c r="DE13" s="12">
        <v>1.0359999999999999E-2</v>
      </c>
      <c r="DF13" s="12">
        <v>7.3000000000000001E-3</v>
      </c>
      <c r="DG13" s="12">
        <v>9.3299999999999998E-3</v>
      </c>
      <c r="DH13" s="12">
        <v>1.204E-2</v>
      </c>
      <c r="DI13" s="12">
        <v>1.3350000000000001E-2</v>
      </c>
      <c r="DJ13" s="12">
        <v>5.0299999999999997E-3</v>
      </c>
      <c r="DK13" s="12">
        <v>6.8799999999999998E-3</v>
      </c>
      <c r="DL13" s="12">
        <v>4.8700000000000002E-3</v>
      </c>
      <c r="DM13" s="12">
        <v>5.2100000000000002E-3</v>
      </c>
      <c r="DN13" s="12">
        <v>5.9800000000000001E-3</v>
      </c>
      <c r="DO13" s="12">
        <v>4.7600000000000003E-3</v>
      </c>
      <c r="DP13" s="12">
        <v>1.125E-2</v>
      </c>
      <c r="DQ13" s="12">
        <f>0.936/100</f>
        <v>9.3600000000000003E-3</v>
      </c>
      <c r="DR13" s="12">
        <v>8.7899999999999992E-3</v>
      </c>
      <c r="DS13" s="12">
        <v>1.0200000000000001E-2</v>
      </c>
      <c r="DT13" s="12">
        <v>1.1730000000000001E-2</v>
      </c>
      <c r="DU13" s="12">
        <v>1.1560000000000001E-2</v>
      </c>
      <c r="DV13" s="12">
        <v>6.2399999999999999E-3</v>
      </c>
      <c r="DW13" s="12">
        <v>6.43E-3</v>
      </c>
      <c r="DX13" s="12">
        <v>4.8300000000000001E-3</v>
      </c>
      <c r="DY13" s="12">
        <v>4.2500000000000003E-3</v>
      </c>
      <c r="DZ13" s="12">
        <v>5.1999999999999998E-3</v>
      </c>
      <c r="EA13" s="12">
        <v>4.28E-3</v>
      </c>
      <c r="EB13" s="12">
        <v>8.4399999999999996E-3</v>
      </c>
      <c r="EC13" s="12">
        <v>1.1299999999999999E-2</v>
      </c>
      <c r="ED13" s="12">
        <v>6.0600000000000003E-3</v>
      </c>
      <c r="EE13" s="12">
        <f>0.603/100</f>
        <v>6.0299999999999998E-3</v>
      </c>
      <c r="EF13" s="12">
        <f>0.624/100</f>
        <v>6.2399999999999999E-3</v>
      </c>
      <c r="EG13" s="12">
        <f>0.823/100</f>
        <v>8.2299999999999995E-3</v>
      </c>
      <c r="EH13" s="12">
        <f>1.012/100</f>
        <v>1.0120000000000001E-2</v>
      </c>
      <c r="EI13" s="12">
        <f>1.12/100</f>
        <v>1.1200000000000002E-2</v>
      </c>
    </row>
    <row r="14" spans="1:139" s="4" customFormat="1" x14ac:dyDescent="0.2">
      <c r="A14" s="5" t="s">
        <v>5</v>
      </c>
      <c r="B14" s="12">
        <v>1.9699999999999999E-4</v>
      </c>
      <c r="C14" s="12">
        <v>1.73E-4</v>
      </c>
      <c r="D14" s="12">
        <v>1.4899999999999999E-4</v>
      </c>
      <c r="E14" s="12">
        <v>2.4800000000000001E-4</v>
      </c>
      <c r="F14" s="13">
        <v>2.4800000000000001E-4</v>
      </c>
      <c r="G14" s="12">
        <v>1.8100000000000001E-4</v>
      </c>
      <c r="H14" s="12">
        <v>9.7E-5</v>
      </c>
      <c r="I14" s="12">
        <v>9.3999999999999994E-5</v>
      </c>
      <c r="J14" s="12">
        <v>7.2999999999999999E-5</v>
      </c>
      <c r="K14" s="12">
        <v>5.3999999999999998E-5</v>
      </c>
      <c r="L14" s="12">
        <v>1.25E-4</v>
      </c>
      <c r="M14" s="12">
        <v>1.5100000000000001E-4</v>
      </c>
      <c r="N14" s="12">
        <v>1.47E-4</v>
      </c>
      <c r="O14" s="12">
        <v>1.83E-4</v>
      </c>
      <c r="P14" s="12">
        <v>1.54E-4</v>
      </c>
      <c r="Q14" s="12">
        <v>1.02E-4</v>
      </c>
      <c r="R14" s="12">
        <v>7.9999999999999996E-6</v>
      </c>
      <c r="S14" s="12">
        <v>1.8200000000000001E-4</v>
      </c>
      <c r="T14" s="12">
        <v>1.44E-4</v>
      </c>
      <c r="U14" s="12">
        <v>1.34E-4</v>
      </c>
      <c r="V14" s="12">
        <v>8.7000000000000001E-5</v>
      </c>
      <c r="W14" s="12">
        <v>5.3999999999999998E-5</v>
      </c>
      <c r="X14" s="12">
        <v>1.25E-4</v>
      </c>
      <c r="Y14" s="12">
        <v>1.8100000000000001E-4</v>
      </c>
      <c r="Z14" s="12">
        <v>1.47E-4</v>
      </c>
      <c r="AA14" s="12">
        <v>1.73E-4</v>
      </c>
      <c r="AB14" s="12">
        <v>2.2800000000000001E-4</v>
      </c>
      <c r="AC14" s="12">
        <v>2.0599999999999999E-4</v>
      </c>
      <c r="AD14" s="12">
        <v>3.1799999999999998E-4</v>
      </c>
      <c r="AE14" s="12">
        <v>1.8799999999999999E-4</v>
      </c>
      <c r="AF14" s="12">
        <v>1.2E-4</v>
      </c>
      <c r="AG14" s="12">
        <v>8.7000000000000001E-5</v>
      </c>
      <c r="AH14" s="12">
        <v>8.7999999999999998E-5</v>
      </c>
      <c r="AI14" s="12">
        <v>7.6000000000000004E-5</v>
      </c>
      <c r="AJ14" s="12">
        <v>8.8999999999999995E-5</v>
      </c>
      <c r="AK14" s="12">
        <v>1.7699999999999999E-4</v>
      </c>
      <c r="AL14" s="12">
        <v>1.25E-4</v>
      </c>
      <c r="AM14" s="12">
        <v>1.5699999999999999E-4</v>
      </c>
      <c r="AN14" s="12">
        <v>1.8699999999999999E-4</v>
      </c>
      <c r="AO14" s="12">
        <v>1.4300000000000001E-4</v>
      </c>
      <c r="AP14" s="12">
        <v>-9.0000000000000002E-6</v>
      </c>
      <c r="AQ14" s="12">
        <v>6.8999999999999997E-5</v>
      </c>
      <c r="AR14" s="18">
        <v>9.3999999999999994E-5</v>
      </c>
      <c r="AS14" s="12">
        <v>9.2999999999999997E-5</v>
      </c>
      <c r="AT14" s="12">
        <v>8.8999999999999995E-5</v>
      </c>
      <c r="AU14" s="12">
        <v>6.9999999999999994E-5</v>
      </c>
      <c r="AV14" s="12">
        <v>1.12E-4</v>
      </c>
      <c r="AW14" s="12">
        <v>8.6000000000000003E-5</v>
      </c>
      <c r="AX14" s="12">
        <v>9.3999999999999994E-5</v>
      </c>
      <c r="AY14" s="12">
        <v>1.6000000000000001E-4</v>
      </c>
      <c r="AZ14" s="12">
        <v>-1.7E-5</v>
      </c>
      <c r="BA14" s="12">
        <v>-6.3E-5</v>
      </c>
      <c r="BB14" s="12">
        <v>1.05E-4</v>
      </c>
      <c r="BC14" s="12">
        <v>1.74E-4</v>
      </c>
      <c r="BD14" s="12">
        <v>1.7200000000000001E-4</v>
      </c>
      <c r="BE14" s="12">
        <v>1.3200000000000001E-4</v>
      </c>
      <c r="BF14" s="12">
        <v>1.02E-4</v>
      </c>
      <c r="BG14" s="12">
        <v>1.3899999999999999E-4</v>
      </c>
      <c r="BH14" s="12">
        <v>1.16E-4</v>
      </c>
      <c r="BI14" s="12">
        <v>5.1999999999999997E-5</v>
      </c>
      <c r="BJ14" s="12">
        <v>8.0000000000000007E-5</v>
      </c>
      <c r="BK14" s="12">
        <v>5.0000000000000002E-5</v>
      </c>
      <c r="BL14" s="12">
        <v>9.2999999999999997E-5</v>
      </c>
      <c r="BM14" s="12">
        <v>1.66E-4</v>
      </c>
      <c r="BN14" s="12">
        <v>1.02E-4</v>
      </c>
      <c r="BO14" s="12">
        <v>7.3999999999999996E-5</v>
      </c>
      <c r="BP14" s="12">
        <v>4.6999999999999997E-5</v>
      </c>
      <c r="BQ14" s="12">
        <v>5.0000000000000002E-5</v>
      </c>
      <c r="BR14" s="12">
        <v>6.7000000000000002E-5</v>
      </c>
      <c r="BS14" s="12">
        <v>9.2E-5</v>
      </c>
      <c r="BT14" s="12">
        <v>6.9999999999999994E-5</v>
      </c>
      <c r="BU14" s="12">
        <v>4.8000000000000001E-5</v>
      </c>
      <c r="BV14" s="12">
        <v>1.44E-4</v>
      </c>
      <c r="BW14" s="12">
        <v>2.1600000000000002E-4</v>
      </c>
      <c r="BX14" s="12">
        <v>1.55E-4</v>
      </c>
      <c r="BY14" s="12">
        <v>1.7799999999999999E-4</v>
      </c>
      <c r="BZ14" s="12">
        <v>1.34E-4</v>
      </c>
      <c r="CA14" s="12">
        <v>7.3999999999999996E-5</v>
      </c>
      <c r="CB14" s="12">
        <v>5.8999999999999998E-5</v>
      </c>
      <c r="CC14" s="12">
        <v>1.07E-4</v>
      </c>
      <c r="CD14" s="12">
        <v>1.05E-4</v>
      </c>
      <c r="CE14" s="12">
        <v>6.4999999999999994E-5</v>
      </c>
      <c r="CF14" s="12">
        <v>8.2999999999999998E-5</v>
      </c>
      <c r="CG14" s="12">
        <v>1.16E-4</v>
      </c>
      <c r="CH14" s="12">
        <v>1.8599999999999999E-4</v>
      </c>
      <c r="CI14" s="12">
        <v>1.84E-4</v>
      </c>
      <c r="CJ14" s="12">
        <v>1.0900000000000001E-4</v>
      </c>
      <c r="CK14" s="12">
        <v>1.3899999999999999E-4</v>
      </c>
      <c r="CL14" s="12">
        <v>1.21E-4</v>
      </c>
      <c r="CM14" s="12">
        <v>1.5E-5</v>
      </c>
      <c r="CN14" s="12">
        <v>4.0000000000000003E-5</v>
      </c>
      <c r="CO14" s="12">
        <v>4.8999999999999998E-5</v>
      </c>
      <c r="CP14" s="12">
        <v>6.0000000000000002E-5</v>
      </c>
      <c r="CQ14" s="12">
        <v>6.0999999999999999E-5</v>
      </c>
      <c r="CR14" s="12">
        <v>7.2000000000000002E-5</v>
      </c>
      <c r="CS14" s="12">
        <v>7.4999999999999993E-5</v>
      </c>
      <c r="CT14" s="12">
        <v>8.0000000000000007E-5</v>
      </c>
      <c r="CU14" s="12">
        <v>8.7000000000000001E-5</v>
      </c>
      <c r="CV14" s="12">
        <v>2.8E-5</v>
      </c>
      <c r="CW14" s="12">
        <v>-1.9000000000000001E-5</v>
      </c>
      <c r="CX14" s="12">
        <v>1.1400000000000001E-4</v>
      </c>
      <c r="CY14" s="12">
        <v>3.6000000000000001E-5</v>
      </c>
      <c r="CZ14" s="12">
        <v>5.0000000000000004E-6</v>
      </c>
      <c r="DA14" s="12">
        <v>6.9999999999999994E-5</v>
      </c>
      <c r="DB14" s="12">
        <v>8.7000000000000001E-5</v>
      </c>
      <c r="DC14" s="12">
        <v>6.2000000000000003E-5</v>
      </c>
      <c r="DD14" s="12">
        <v>5.8999999999999998E-5</v>
      </c>
      <c r="DE14" s="12">
        <v>4.1999999999999998E-5</v>
      </c>
      <c r="DF14" s="12">
        <v>6.9999999999999994E-5</v>
      </c>
      <c r="DG14" s="12">
        <v>6.7999999999999999E-5</v>
      </c>
      <c r="DH14" s="12">
        <v>4.6999999999999997E-5</v>
      </c>
      <c r="DI14" s="12">
        <v>-1.8E-5</v>
      </c>
      <c r="DJ14" s="12">
        <v>7.3999999999999996E-5</v>
      </c>
      <c r="DK14" s="12">
        <v>2.4000000000000001E-5</v>
      </c>
      <c r="DL14" s="12">
        <v>2.1999999999999999E-5</v>
      </c>
      <c r="DM14" s="12">
        <v>5.8999999999999998E-5</v>
      </c>
      <c r="DN14" s="12">
        <v>6.4999999999999994E-5</v>
      </c>
      <c r="DO14" s="12">
        <v>4.8000000000000001E-5</v>
      </c>
      <c r="DP14" s="12">
        <v>5.5999999999999999E-5</v>
      </c>
      <c r="DQ14" s="12">
        <v>5.8999999999999998E-5</v>
      </c>
      <c r="DR14" s="12">
        <v>9.5000000000000005E-5</v>
      </c>
      <c r="DS14" s="12">
        <v>8.0000000000000007E-5</v>
      </c>
      <c r="DT14" s="12">
        <v>5.3000000000000001E-5</v>
      </c>
      <c r="DU14" s="12">
        <v>6.0999999999999999E-5</v>
      </c>
      <c r="DV14" s="12">
        <v>3.1999999999999999E-5</v>
      </c>
      <c r="DW14" s="12">
        <v>-1.9999999999999999E-6</v>
      </c>
      <c r="DX14" s="12">
        <v>7.9999999999999996E-6</v>
      </c>
      <c r="DY14" s="12">
        <v>2.5000000000000001E-5</v>
      </c>
      <c r="DZ14" s="12">
        <v>2.9E-5</v>
      </c>
      <c r="EA14" s="12">
        <v>1.8E-5</v>
      </c>
      <c r="EB14" s="12">
        <v>3.0000000000000001E-5</v>
      </c>
      <c r="EC14" s="12">
        <v>2.6999999999999999E-5</v>
      </c>
      <c r="ED14" s="12">
        <v>5.7000000000000003E-5</v>
      </c>
      <c r="EE14" s="12">
        <f>0.0109/100</f>
        <v>1.0899999999999999E-4</v>
      </c>
      <c r="EF14" s="12">
        <f>0.0066/100</f>
        <v>6.6000000000000005E-5</v>
      </c>
      <c r="EG14" s="12">
        <f>0.0031/100</f>
        <v>3.1000000000000001E-5</v>
      </c>
      <c r="EH14" s="12">
        <f>-0.0013/100</f>
        <v>-1.2999999999999999E-5</v>
      </c>
      <c r="EI14" s="12">
        <f>0.003/100</f>
        <v>3.0000000000000001E-5</v>
      </c>
    </row>
    <row r="15" spans="1:139" s="4" customFormat="1" x14ac:dyDescent="0.2">
      <c r="A15" s="5" t="s">
        <v>6</v>
      </c>
      <c r="B15" s="13">
        <v>-1.8E-5</v>
      </c>
      <c r="C15" s="13">
        <v>-1.8E-5</v>
      </c>
      <c r="D15" s="13">
        <v>-1.8E-5</v>
      </c>
      <c r="E15" s="12">
        <v>-1.1E-5</v>
      </c>
      <c r="F15" s="13">
        <v>-1.1E-5</v>
      </c>
      <c r="G15" s="13">
        <v>-1.1E-5</v>
      </c>
      <c r="H15" s="13">
        <v>-1.1E-5</v>
      </c>
      <c r="I15" s="13">
        <v>-1.1E-5</v>
      </c>
      <c r="J15" s="13">
        <v>-1.1E-5</v>
      </c>
      <c r="K15" s="12">
        <v>-1.07E-4</v>
      </c>
      <c r="L15" s="13">
        <v>-1.07E-4</v>
      </c>
      <c r="M15" s="12">
        <v>-1.1E-5</v>
      </c>
      <c r="N15" s="13">
        <v>-1.1E-5</v>
      </c>
      <c r="O15" s="13">
        <v>-1.1E-5</v>
      </c>
      <c r="P15" s="13">
        <v>-1.1E-5</v>
      </c>
      <c r="Q15" s="13">
        <v>-1.1E-5</v>
      </c>
      <c r="R15" s="12">
        <v>-1.07E-4</v>
      </c>
      <c r="S15" s="13">
        <v>-1.07E-4</v>
      </c>
      <c r="T15" s="13">
        <v>-1.07E-4</v>
      </c>
      <c r="U15" s="13">
        <v>-1.07E-4</v>
      </c>
      <c r="V15" s="13">
        <v>-1.07E-4</v>
      </c>
      <c r="W15" s="13">
        <v>-1.07E-4</v>
      </c>
      <c r="X15" s="13">
        <v>-1.07E-4</v>
      </c>
      <c r="Y15" s="13">
        <v>-1.07E-4</v>
      </c>
      <c r="Z15" s="12">
        <v>-1.07E-4</v>
      </c>
      <c r="AA15" s="13">
        <f t="shared" ref="AA15:AK17" si="15">Z15</f>
        <v>-1.07E-4</v>
      </c>
      <c r="AB15" s="13">
        <f t="shared" si="15"/>
        <v>-1.07E-4</v>
      </c>
      <c r="AC15" s="13">
        <f t="shared" si="15"/>
        <v>-1.07E-4</v>
      </c>
      <c r="AD15" s="12">
        <v>-6.3999999999999997E-5</v>
      </c>
      <c r="AE15" s="13">
        <v>-6.3999999999999997E-5</v>
      </c>
      <c r="AF15" s="13">
        <v>-6.3999999999999997E-5</v>
      </c>
      <c r="AG15" s="13">
        <v>-6.3999999999999997E-5</v>
      </c>
      <c r="AH15" s="13">
        <v>-6.3999999999999997E-5</v>
      </c>
      <c r="AI15" s="13">
        <v>-6.3999999999999997E-5</v>
      </c>
      <c r="AJ15" s="13">
        <v>-6.3999999999999997E-5</v>
      </c>
      <c r="AK15" s="13">
        <v>-6.3999999999999997E-5</v>
      </c>
      <c r="AL15" s="13">
        <v>-6.3999999999999997E-5</v>
      </c>
      <c r="AM15" s="13">
        <v>-6.3999999999999997E-5</v>
      </c>
      <c r="AN15" s="13">
        <v>-6.3999999999999997E-5</v>
      </c>
      <c r="AO15" s="13">
        <v>-6.3999999999999997E-5</v>
      </c>
      <c r="AP15" s="12">
        <v>-3.0000000000000001E-5</v>
      </c>
      <c r="AQ15" s="13">
        <v>-3.0000000000000001E-5</v>
      </c>
      <c r="AR15" s="14">
        <v>-3.0000000000000001E-5</v>
      </c>
      <c r="AS15" s="13">
        <v>-3.0000000000000001E-5</v>
      </c>
      <c r="AT15" s="13">
        <v>-3.0000000000000001E-5</v>
      </c>
      <c r="AU15" s="13">
        <v>-3.0000000000000001E-5</v>
      </c>
      <c r="AV15" s="13">
        <v>-3.0000000000000001E-5</v>
      </c>
      <c r="AW15" s="13">
        <v>-3.0000000000000001E-5</v>
      </c>
      <c r="AX15" s="13">
        <v>-3.0000000000000001E-5</v>
      </c>
      <c r="AY15" s="13">
        <v>-3.0000000000000001E-5</v>
      </c>
      <c r="AZ15" s="13">
        <v>-5.5999999999999999E-5</v>
      </c>
      <c r="BA15" s="13">
        <v>-5.5999999999999999E-5</v>
      </c>
      <c r="BB15" s="13">
        <v>-5.5999999999999999E-5</v>
      </c>
      <c r="BC15" s="13">
        <v>-5.5999999999999999E-5</v>
      </c>
      <c r="BD15" s="13">
        <v>-5.5999999999999999E-5</v>
      </c>
      <c r="BE15" s="13">
        <v>-5.5999999999999999E-5</v>
      </c>
      <c r="BF15" s="13">
        <v>-5.5999999999999999E-5</v>
      </c>
      <c r="BG15" s="13">
        <v>-5.5999999999999999E-5</v>
      </c>
      <c r="BH15" s="13">
        <v>-5.5999999999999999E-5</v>
      </c>
      <c r="BI15" s="13">
        <v>-5.5999999999999999E-5</v>
      </c>
      <c r="BJ15" s="13">
        <v>-1.0399999999999999E-4</v>
      </c>
      <c r="BK15" s="13">
        <v>-1.0399999999999999E-4</v>
      </c>
      <c r="BL15" s="13">
        <v>-1.0399999999999999E-4</v>
      </c>
      <c r="BM15" s="13">
        <v>-1.0399999999999999E-4</v>
      </c>
      <c r="BN15" s="13">
        <v>-1.0399999999999999E-4</v>
      </c>
      <c r="BO15" s="13">
        <v>-1.0399999999999999E-4</v>
      </c>
      <c r="BP15" s="13">
        <v>-1.0399999999999999E-4</v>
      </c>
      <c r="BQ15" s="13">
        <v>-1.0399999999999999E-4</v>
      </c>
      <c r="BR15" s="13">
        <v>-1.0399999999999999E-4</v>
      </c>
      <c r="BS15" s="13">
        <v>-1.0399999999999999E-4</v>
      </c>
      <c r="BT15" s="13">
        <v>-1.0399999999999999E-4</v>
      </c>
      <c r="BU15" s="13">
        <v>-1.0399999999999999E-4</v>
      </c>
      <c r="BV15" s="12">
        <v>-1.2E-4</v>
      </c>
      <c r="BW15" s="13">
        <v>-1.2E-4</v>
      </c>
      <c r="BX15" s="13">
        <v>-1.2E-4</v>
      </c>
      <c r="BY15" s="13">
        <v>-1.2E-4</v>
      </c>
      <c r="BZ15" s="13">
        <v>-1.2E-4</v>
      </c>
      <c r="CA15" s="13">
        <v>-1.2E-4</v>
      </c>
      <c r="CB15" s="13">
        <v>-1.2E-4</v>
      </c>
      <c r="CC15" s="13">
        <v>-1.2E-4</v>
      </c>
      <c r="CD15" s="13">
        <v>-1.2E-4</v>
      </c>
      <c r="CE15" s="13">
        <v>-1.2E-4</v>
      </c>
      <c r="CF15" s="13">
        <v>-1.2E-4</v>
      </c>
      <c r="CG15" s="13">
        <v>-1.2E-4</v>
      </c>
      <c r="CH15" s="12">
        <v>-7.8999999999999996E-5</v>
      </c>
      <c r="CI15" s="13">
        <v>-7.8999999999999996E-5</v>
      </c>
      <c r="CJ15" s="13">
        <v>-7.8999999999999996E-5</v>
      </c>
      <c r="CK15" s="13">
        <v>-7.8999999999999996E-5</v>
      </c>
      <c r="CL15" s="13">
        <v>-7.8999999999999996E-5</v>
      </c>
      <c r="CM15" s="13">
        <v>-7.8999999999999996E-5</v>
      </c>
      <c r="CN15" s="13">
        <v>-7.8999999999999996E-5</v>
      </c>
      <c r="CO15" s="13">
        <v>-7.8999999999999996E-5</v>
      </c>
      <c r="CP15" s="13">
        <v>-7.8999999999999996E-5</v>
      </c>
      <c r="CQ15" s="13">
        <v>-7.8999999999999996E-5</v>
      </c>
      <c r="CR15" s="13">
        <v>-7.8999999999999996E-5</v>
      </c>
      <c r="CS15" s="13">
        <v>-7.8999999999999996E-5</v>
      </c>
      <c r="CT15" s="12">
        <v>-6.9999999999999999E-6</v>
      </c>
      <c r="CU15" s="13">
        <v>-6.9999999999999999E-6</v>
      </c>
      <c r="CV15" s="13">
        <v>-6.9999999999999999E-6</v>
      </c>
      <c r="CW15" s="13">
        <v>-6.9999999999999999E-6</v>
      </c>
      <c r="CX15" s="13">
        <v>-6.9999999999999999E-6</v>
      </c>
      <c r="CY15" s="13">
        <v>-6.9999999999999999E-6</v>
      </c>
      <c r="CZ15" s="13">
        <v>-6.9999999999999999E-6</v>
      </c>
      <c r="DA15" s="13">
        <v>-6.9999999999999999E-6</v>
      </c>
      <c r="DB15" s="13">
        <v>-6.9999999999999999E-6</v>
      </c>
      <c r="DC15" s="13">
        <v>-6.9999999999999999E-6</v>
      </c>
      <c r="DD15" s="13">
        <v>-6.9999999999999999E-6</v>
      </c>
      <c r="DE15" s="13">
        <v>-6.9999999999999999E-6</v>
      </c>
      <c r="DF15" s="12">
        <v>0</v>
      </c>
      <c r="DG15" s="12">
        <v>0</v>
      </c>
      <c r="DH15" s="12">
        <v>0</v>
      </c>
      <c r="DI15" s="12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2">
        <v>9.9999999999999995E-7</v>
      </c>
      <c r="DS15" s="12">
        <v>9.9999999999999995E-7</v>
      </c>
      <c r="DT15" s="13">
        <v>9.9999999999999995E-7</v>
      </c>
      <c r="DU15" s="13">
        <v>9.9999999999999995E-7</v>
      </c>
      <c r="DV15" s="13">
        <v>9.9999999999999995E-7</v>
      </c>
      <c r="DW15" s="13">
        <v>9.9999999999999995E-7</v>
      </c>
      <c r="DX15" s="13">
        <v>9.9999999999999995E-7</v>
      </c>
      <c r="DY15" s="13">
        <v>9.9999999999999995E-7</v>
      </c>
      <c r="DZ15" s="13">
        <v>9.9999999999999995E-7</v>
      </c>
      <c r="EA15" s="13">
        <v>9.9999999999999995E-7</v>
      </c>
      <c r="EB15" s="13">
        <v>9.9999999999999995E-7</v>
      </c>
      <c r="EC15" s="13">
        <v>9.9999999999999995E-7</v>
      </c>
      <c r="ED15" s="12">
        <v>-9.9999999999999995E-7</v>
      </c>
      <c r="EE15" s="13">
        <v>-9.9999999999999995E-7</v>
      </c>
      <c r="EF15" s="13">
        <v>-9.9999999999999995E-7</v>
      </c>
      <c r="EG15" s="13">
        <v>-9.9999999999999995E-7</v>
      </c>
      <c r="EH15" s="13">
        <v>-9.9999999999999995E-7</v>
      </c>
      <c r="EI15" s="13">
        <v>-9.9999999999999995E-7</v>
      </c>
    </row>
    <row r="16" spans="1:139" s="4" customFormat="1" x14ac:dyDescent="0.2">
      <c r="A16" s="5" t="s">
        <v>7</v>
      </c>
      <c r="B16" s="10">
        <v>4.4000000000000003E-3</v>
      </c>
      <c r="C16" s="9">
        <v>4.4000000000000003E-3</v>
      </c>
      <c r="D16" s="9">
        <v>4.4000000000000003E-3</v>
      </c>
      <c r="E16" s="10">
        <v>4.5999999999999999E-3</v>
      </c>
      <c r="F16" s="9">
        <v>4.5999999999999999E-3</v>
      </c>
      <c r="G16" s="9">
        <v>4.5999999999999999E-3</v>
      </c>
      <c r="H16" s="9">
        <v>4.5999999999999999E-3</v>
      </c>
      <c r="I16" s="9">
        <v>4.5999999999999999E-3</v>
      </c>
      <c r="J16" s="9">
        <v>4.5999999999999999E-3</v>
      </c>
      <c r="K16" s="10">
        <v>1.1999999999999999E-3</v>
      </c>
      <c r="L16" s="9">
        <v>1.1999999999999999E-3</v>
      </c>
      <c r="M16" s="10">
        <v>4.7000000000000002E-3</v>
      </c>
      <c r="N16" s="10">
        <v>4.5999999999999999E-3</v>
      </c>
      <c r="O16" s="10">
        <v>2.5999999999999999E-3</v>
      </c>
      <c r="P16" s="9">
        <v>2.5999999999999999E-3</v>
      </c>
      <c r="Q16" s="9">
        <v>2.5999999999999999E-3</v>
      </c>
      <c r="R16" s="9">
        <v>2.5999999999999999E-3</v>
      </c>
      <c r="S16" s="9">
        <v>2.5999999999999999E-3</v>
      </c>
      <c r="T16" s="9">
        <v>2.5999999999999999E-3</v>
      </c>
      <c r="U16" s="9">
        <v>2.5999999999999999E-3</v>
      </c>
      <c r="V16" s="9">
        <v>2.5999999999999999E-3</v>
      </c>
      <c r="W16" s="9">
        <v>1.1999999999999999E-3</v>
      </c>
      <c r="X16" s="9">
        <v>1.1999999999999999E-3</v>
      </c>
      <c r="Y16" s="9">
        <v>1.1999999999999999E-3</v>
      </c>
      <c r="Z16" s="10">
        <v>3.0000000000000001E-3</v>
      </c>
      <c r="AA16" s="9">
        <f t="shared" si="15"/>
        <v>3.0000000000000001E-3</v>
      </c>
      <c r="AB16" s="9">
        <f t="shared" si="15"/>
        <v>3.0000000000000001E-3</v>
      </c>
      <c r="AC16" s="9">
        <f t="shared" si="15"/>
        <v>3.0000000000000001E-3</v>
      </c>
      <c r="AD16" s="9">
        <f t="shared" si="15"/>
        <v>3.0000000000000001E-3</v>
      </c>
      <c r="AE16" s="9">
        <f t="shared" si="15"/>
        <v>3.0000000000000001E-3</v>
      </c>
      <c r="AF16" s="9">
        <f t="shared" si="15"/>
        <v>3.0000000000000001E-3</v>
      </c>
      <c r="AG16" s="9">
        <f t="shared" si="15"/>
        <v>3.0000000000000001E-3</v>
      </c>
      <c r="AH16" s="9">
        <f t="shared" si="15"/>
        <v>3.0000000000000001E-3</v>
      </c>
      <c r="AI16" s="9">
        <f t="shared" si="15"/>
        <v>3.0000000000000001E-3</v>
      </c>
      <c r="AJ16" s="9">
        <f t="shared" si="15"/>
        <v>3.0000000000000001E-3</v>
      </c>
      <c r="AK16" s="9">
        <f t="shared" si="15"/>
        <v>3.0000000000000001E-3</v>
      </c>
      <c r="AL16" s="12">
        <v>3.3999999999999998E-3</v>
      </c>
      <c r="AM16" s="9">
        <v>3.3999999999999998E-3</v>
      </c>
      <c r="AN16" s="9">
        <v>3.3999999999999998E-3</v>
      </c>
      <c r="AO16" s="9">
        <v>3.3999999999999998E-3</v>
      </c>
      <c r="AP16" s="9">
        <v>3.3999999999999998E-3</v>
      </c>
      <c r="AQ16" s="9">
        <v>3.3999999999999998E-3</v>
      </c>
      <c r="AR16" s="11">
        <v>3.3999999999999998E-3</v>
      </c>
      <c r="AS16" s="9">
        <v>3.3999999999999998E-3</v>
      </c>
      <c r="AT16" s="9">
        <v>3.3999999999999998E-3</v>
      </c>
      <c r="AU16" s="9">
        <v>3.3999999999999998E-3</v>
      </c>
      <c r="AV16" s="9">
        <v>3.3999999999999998E-3</v>
      </c>
      <c r="AW16" s="9">
        <v>3.3999999999999998E-3</v>
      </c>
      <c r="AX16" s="9">
        <v>3.8E-3</v>
      </c>
      <c r="AY16" s="9">
        <v>3.8E-3</v>
      </c>
      <c r="AZ16" s="9">
        <v>3.8E-3</v>
      </c>
      <c r="BA16" s="9">
        <v>3.8E-3</v>
      </c>
      <c r="BB16" s="9">
        <v>3.8E-3</v>
      </c>
      <c r="BC16" s="9">
        <v>3.8E-3</v>
      </c>
      <c r="BD16" s="9">
        <v>3.8E-3</v>
      </c>
      <c r="BE16" s="9">
        <v>3.8E-3</v>
      </c>
      <c r="BF16" s="9">
        <v>3.8E-3</v>
      </c>
      <c r="BG16" s="9">
        <v>3.8E-3</v>
      </c>
      <c r="BH16" s="9">
        <v>3.8E-3</v>
      </c>
      <c r="BI16" s="9">
        <v>3.8E-3</v>
      </c>
      <c r="BJ16" s="9">
        <v>4.0000000000000001E-3</v>
      </c>
      <c r="BK16" s="9">
        <v>4.0000000000000001E-3</v>
      </c>
      <c r="BL16" s="9">
        <v>4.0000000000000001E-3</v>
      </c>
      <c r="BM16" s="9">
        <v>4.0000000000000001E-3</v>
      </c>
      <c r="BN16" s="9">
        <v>4.0000000000000001E-3</v>
      </c>
      <c r="BO16" s="9">
        <v>4.0000000000000001E-3</v>
      </c>
      <c r="BP16" s="13">
        <v>4.0000000000000001E-3</v>
      </c>
      <c r="BQ16" s="13">
        <v>4.0000000000000001E-3</v>
      </c>
      <c r="BR16" s="13">
        <v>4.0000000000000001E-3</v>
      </c>
      <c r="BS16" s="13">
        <v>4.0000000000000001E-3</v>
      </c>
      <c r="BT16" s="13">
        <v>4.0000000000000001E-3</v>
      </c>
      <c r="BU16" s="13">
        <v>4.0000000000000001E-3</v>
      </c>
      <c r="BV16" s="12">
        <v>3.8E-3</v>
      </c>
      <c r="BW16" s="13">
        <v>3.8E-3</v>
      </c>
      <c r="BX16" s="12">
        <v>6.1999999999999998E-3</v>
      </c>
      <c r="BY16" s="12">
        <v>6.1999999999999998E-3</v>
      </c>
      <c r="BZ16" s="12">
        <v>6.1999999999999998E-3</v>
      </c>
      <c r="CA16" s="13">
        <v>6.1999999999999998E-3</v>
      </c>
      <c r="CB16" s="13">
        <v>6.1999999999999998E-3</v>
      </c>
      <c r="CC16" s="13">
        <v>6.1999999999999998E-3</v>
      </c>
      <c r="CD16" s="13">
        <v>6.1999999999999998E-3</v>
      </c>
      <c r="CE16" s="13">
        <v>6.1999999999999998E-3</v>
      </c>
      <c r="CF16" s="13">
        <v>6.1999999999999998E-3</v>
      </c>
      <c r="CG16" s="13">
        <v>6.1999999999999998E-3</v>
      </c>
      <c r="CH16" s="19">
        <f t="shared" ref="CH16:CP16" si="16">0.0019+0.0048</f>
        <v>6.6999999999999994E-3</v>
      </c>
      <c r="CI16" s="20">
        <f t="shared" si="16"/>
        <v>6.6999999999999994E-3</v>
      </c>
      <c r="CJ16" s="20">
        <f t="shared" si="16"/>
        <v>6.6999999999999994E-3</v>
      </c>
      <c r="CK16" s="20">
        <f t="shared" si="16"/>
        <v>6.6999999999999994E-3</v>
      </c>
      <c r="CL16" s="20">
        <f t="shared" si="16"/>
        <v>6.6999999999999994E-3</v>
      </c>
      <c r="CM16" s="20">
        <f t="shared" si="16"/>
        <v>6.6999999999999994E-3</v>
      </c>
      <c r="CN16" s="20">
        <f t="shared" si="16"/>
        <v>6.6999999999999994E-3</v>
      </c>
      <c r="CO16" s="20">
        <f t="shared" si="16"/>
        <v>6.6999999999999994E-3</v>
      </c>
      <c r="CP16" s="20">
        <f t="shared" si="16"/>
        <v>6.6999999999999994E-3</v>
      </c>
      <c r="CQ16" s="20">
        <v>6.7000000000000002E-3</v>
      </c>
      <c r="CR16" s="20">
        <v>6.7000000000000002E-3</v>
      </c>
      <c r="CS16" s="20">
        <v>6.7000000000000002E-3</v>
      </c>
      <c r="CT16" s="19">
        <v>6.7999999999999996E-3</v>
      </c>
      <c r="CU16" s="20">
        <v>6.7999999999999996E-3</v>
      </c>
      <c r="CV16" s="20">
        <v>6.7999999999999996E-3</v>
      </c>
      <c r="CW16" s="20">
        <v>6.7999999999999996E-3</v>
      </c>
      <c r="CX16" s="20">
        <v>6.7999999999999996E-3</v>
      </c>
      <c r="CY16" s="20">
        <v>6.7999999999999996E-3</v>
      </c>
      <c r="CZ16" s="20">
        <v>6.7999999999999996E-3</v>
      </c>
      <c r="DA16" s="20">
        <v>6.7999999999999996E-3</v>
      </c>
      <c r="DB16" s="20">
        <v>6.7999999999999996E-3</v>
      </c>
      <c r="DC16" s="20">
        <v>6.7999999999999996E-3</v>
      </c>
      <c r="DD16" s="20">
        <v>6.7999999999999996E-3</v>
      </c>
      <c r="DE16" s="20">
        <v>6.7999999999999996E-3</v>
      </c>
      <c r="DF16" s="20">
        <v>6.7999999999999996E-3</v>
      </c>
      <c r="DG16" s="20">
        <v>6.7999999999999996E-3</v>
      </c>
      <c r="DH16" s="20">
        <v>6.7999999999999996E-3</v>
      </c>
      <c r="DI16" s="20">
        <v>6.7999999999999996E-3</v>
      </c>
      <c r="DJ16" s="20">
        <v>6.7999999999999996E-3</v>
      </c>
      <c r="DK16" s="20">
        <v>6.7999999999999996E-3</v>
      </c>
      <c r="DL16" s="20">
        <v>6.7999999999999996E-3</v>
      </c>
      <c r="DM16" s="20">
        <v>6.7999999999999996E-3</v>
      </c>
      <c r="DN16" s="20">
        <v>6.7999999999999996E-3</v>
      </c>
      <c r="DO16" s="20">
        <v>6.7999999999999996E-3</v>
      </c>
      <c r="DP16" s="20">
        <v>6.7999999999999996E-3</v>
      </c>
      <c r="DQ16" s="20">
        <v>6.7999999999999996E-3</v>
      </c>
      <c r="DR16" s="19">
        <v>5.0000000000000001E-3</v>
      </c>
      <c r="DS16" s="20">
        <v>5.0000000000000001E-3</v>
      </c>
      <c r="DT16" s="20">
        <v>5.0000000000000001E-3</v>
      </c>
      <c r="DU16" s="20">
        <v>5.0000000000000001E-3</v>
      </c>
      <c r="DV16" s="20">
        <v>5.0000000000000001E-3</v>
      </c>
      <c r="DW16" s="20">
        <v>5.0000000000000001E-3</v>
      </c>
      <c r="DX16" s="20">
        <v>5.0000000000000001E-3</v>
      </c>
      <c r="DY16" s="20">
        <v>5.0000000000000001E-3</v>
      </c>
      <c r="DZ16" s="20">
        <v>5.0000000000000001E-3</v>
      </c>
      <c r="EA16" s="20">
        <v>5.0000000000000001E-3</v>
      </c>
      <c r="EB16" s="20">
        <v>5.0000000000000001E-3</v>
      </c>
      <c r="EC16" s="20">
        <v>5.0000000000000001E-3</v>
      </c>
      <c r="ED16" s="19">
        <v>5.4000000000000003E-3</v>
      </c>
      <c r="EE16" s="20">
        <v>5.4000000000000003E-3</v>
      </c>
      <c r="EF16" s="20">
        <v>5.4000000000000003E-3</v>
      </c>
      <c r="EG16" s="20">
        <v>5.4000000000000003E-3</v>
      </c>
      <c r="EH16" s="20">
        <v>5.4000000000000003E-3</v>
      </c>
      <c r="EI16" s="20">
        <v>5.4000000000000003E-3</v>
      </c>
    </row>
    <row r="17" spans="1:145" s="4" customFormat="1" x14ac:dyDescent="0.2">
      <c r="A17" s="5" t="s">
        <v>8</v>
      </c>
      <c r="B17" s="9">
        <v>1E-3</v>
      </c>
      <c r="C17" s="9">
        <v>1E-3</v>
      </c>
      <c r="D17" s="9">
        <v>1E-3</v>
      </c>
      <c r="E17" s="9">
        <v>1E-3</v>
      </c>
      <c r="F17" s="9">
        <v>1E-3</v>
      </c>
      <c r="G17" s="9">
        <v>1E-3</v>
      </c>
      <c r="H17" s="10">
        <v>1.2999999999999999E-3</v>
      </c>
      <c r="I17" s="9">
        <v>1.2999999999999999E-3</v>
      </c>
      <c r="J17" s="9">
        <v>1.2999999999999999E-3</v>
      </c>
      <c r="K17" s="9">
        <v>1.9E-3</v>
      </c>
      <c r="L17" s="9">
        <v>1.9E-3</v>
      </c>
      <c r="M17" s="10">
        <v>1.5E-3</v>
      </c>
      <c r="N17" s="9">
        <v>1.5E-3</v>
      </c>
      <c r="O17" s="9">
        <v>1.5E-3</v>
      </c>
      <c r="P17" s="9">
        <v>1.5E-3</v>
      </c>
      <c r="Q17" s="9">
        <v>1.5E-3</v>
      </c>
      <c r="R17" s="9">
        <v>1.5E-3</v>
      </c>
      <c r="S17" s="9">
        <v>1.5E-3</v>
      </c>
      <c r="T17" s="9">
        <v>1.5E-3</v>
      </c>
      <c r="U17" s="9">
        <v>1.5E-3</v>
      </c>
      <c r="V17" s="9">
        <v>1.5E-3</v>
      </c>
      <c r="W17" s="9">
        <v>1.9E-3</v>
      </c>
      <c r="X17" s="9">
        <v>1.9E-3</v>
      </c>
      <c r="Y17" s="9">
        <v>1.9E-3</v>
      </c>
      <c r="Z17" s="10">
        <v>1.9E-3</v>
      </c>
      <c r="AA17" s="9">
        <f t="shared" si="15"/>
        <v>1.9E-3</v>
      </c>
      <c r="AB17" s="9">
        <f t="shared" si="15"/>
        <v>1.9E-3</v>
      </c>
      <c r="AC17" s="9">
        <f t="shared" si="15"/>
        <v>1.9E-3</v>
      </c>
      <c r="AD17" s="9">
        <f t="shared" si="15"/>
        <v>1.9E-3</v>
      </c>
      <c r="AE17" s="9">
        <f t="shared" si="15"/>
        <v>1.9E-3</v>
      </c>
      <c r="AF17" s="9">
        <f t="shared" si="15"/>
        <v>1.9E-3</v>
      </c>
      <c r="AG17" s="9">
        <f t="shared" si="15"/>
        <v>1.9E-3</v>
      </c>
      <c r="AH17" s="9">
        <f t="shared" si="15"/>
        <v>1.9E-3</v>
      </c>
      <c r="AI17" s="12">
        <v>2.3E-3</v>
      </c>
      <c r="AJ17" s="13">
        <v>2.3E-3</v>
      </c>
      <c r="AK17" s="13">
        <v>2.3E-3</v>
      </c>
      <c r="AL17" s="13">
        <v>2.3E-3</v>
      </c>
      <c r="AM17" s="13">
        <v>2.3E-3</v>
      </c>
      <c r="AN17" s="13">
        <v>2.3E-3</v>
      </c>
      <c r="AO17" s="13">
        <v>2.3E-3</v>
      </c>
      <c r="AP17" s="13">
        <v>2.3E-3</v>
      </c>
      <c r="AQ17" s="13">
        <v>2.3E-3</v>
      </c>
      <c r="AR17" s="14">
        <v>2.3E-3</v>
      </c>
      <c r="AS17" s="13">
        <v>2.3E-3</v>
      </c>
      <c r="AT17" s="13">
        <v>2.3E-3</v>
      </c>
      <c r="AU17" s="13">
        <v>2.5999999999999999E-3</v>
      </c>
      <c r="AV17" s="13">
        <v>2.5999999999999999E-3</v>
      </c>
      <c r="AW17" s="13">
        <v>2.5999999999999999E-3</v>
      </c>
      <c r="AX17" s="13">
        <v>2.5999999999999999E-3</v>
      </c>
      <c r="AY17" s="13">
        <v>2.5999999999999999E-3</v>
      </c>
      <c r="AZ17" s="13">
        <v>2.5999999999999999E-3</v>
      </c>
      <c r="BA17" s="13">
        <v>2.5999999999999999E-3</v>
      </c>
      <c r="BB17" s="13">
        <v>2.5999999999999999E-3</v>
      </c>
      <c r="BC17" s="13">
        <v>2.5999999999999999E-3</v>
      </c>
      <c r="BD17" s="13">
        <v>2.5999999999999999E-3</v>
      </c>
      <c r="BE17" s="13">
        <v>2.5999999999999999E-3</v>
      </c>
      <c r="BF17" s="13">
        <v>2.5999999999999999E-3</v>
      </c>
      <c r="BG17" s="13">
        <v>3.0000000000000001E-3</v>
      </c>
      <c r="BH17" s="13">
        <v>3.0000000000000001E-3</v>
      </c>
      <c r="BI17" s="13">
        <v>3.0000000000000001E-3</v>
      </c>
      <c r="BJ17" s="13">
        <v>3.0000000000000001E-3</v>
      </c>
      <c r="BK17" s="13">
        <v>3.0000000000000001E-3</v>
      </c>
      <c r="BL17" s="13">
        <v>3.0000000000000001E-3</v>
      </c>
      <c r="BM17" s="13">
        <v>3.0000000000000001E-3</v>
      </c>
      <c r="BN17" s="13">
        <v>3.0000000000000001E-3</v>
      </c>
      <c r="BO17" s="13">
        <v>3.0000000000000001E-3</v>
      </c>
      <c r="BP17" s="13">
        <v>3.0000000000000001E-3</v>
      </c>
      <c r="BQ17" s="13">
        <v>3.0000000000000001E-3</v>
      </c>
      <c r="BR17" s="13">
        <v>3.0000000000000001E-3</v>
      </c>
      <c r="BS17" s="13">
        <v>2.2000000000000001E-3</v>
      </c>
      <c r="BT17" s="13">
        <v>2.2000000000000001E-3</v>
      </c>
      <c r="BU17" s="13">
        <v>2.2000000000000001E-3</v>
      </c>
      <c r="BV17" s="13">
        <v>2.2000000000000001E-3</v>
      </c>
      <c r="BW17" s="13">
        <v>2.2000000000000001E-3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</row>
    <row r="18" spans="1:145" s="4" customFormat="1" x14ac:dyDescent="0.2">
      <c r="A18" s="5" t="s">
        <v>9</v>
      </c>
      <c r="B18" s="9"/>
      <c r="C18" s="9"/>
      <c r="D18" s="9"/>
      <c r="E18" s="9"/>
      <c r="F18" s="9"/>
      <c r="G18" s="9"/>
      <c r="H18" s="10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9"/>
      <c r="AB18" s="9"/>
      <c r="AC18" s="9"/>
      <c r="AD18" s="9"/>
      <c r="AE18" s="9"/>
      <c r="AF18" s="9"/>
      <c r="AG18" s="9"/>
      <c r="AH18" s="9"/>
      <c r="AI18" s="12"/>
      <c r="AJ18" s="13"/>
      <c r="AK18" s="13"/>
      <c r="AL18" s="13"/>
      <c r="AM18" s="13"/>
      <c r="AN18" s="13"/>
      <c r="AO18" s="13"/>
      <c r="AP18" s="13"/>
      <c r="AQ18" s="13"/>
      <c r="AR18" s="14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EC18" s="12">
        <v>1E-4</v>
      </c>
      <c r="ED18" s="12">
        <v>1E-4</v>
      </c>
      <c r="EE18" s="13">
        <v>1E-4</v>
      </c>
      <c r="EF18" s="13">
        <v>1E-4</v>
      </c>
      <c r="EG18" s="13">
        <v>1E-4</v>
      </c>
      <c r="EH18" s="13">
        <v>1E-4</v>
      </c>
      <c r="EI18" s="13">
        <v>1E-4</v>
      </c>
    </row>
    <row r="19" spans="1:145" s="4" customFormat="1" x14ac:dyDescent="0.2">
      <c r="A19" s="5" t="s">
        <v>10</v>
      </c>
      <c r="B19" s="12">
        <v>0.10098</v>
      </c>
      <c r="C19" s="12">
        <v>7.8749E-2</v>
      </c>
      <c r="D19" s="12">
        <v>6.2902E-2</v>
      </c>
      <c r="E19" s="12">
        <v>6.3558000000000003E-2</v>
      </c>
      <c r="F19" s="12">
        <v>6.4889000000000002E-2</v>
      </c>
      <c r="G19" s="12">
        <v>9.4775999999999999E-2</v>
      </c>
      <c r="H19" s="12">
        <v>0.106197</v>
      </c>
      <c r="I19" s="12">
        <v>0.13058900000000001</v>
      </c>
      <c r="J19" s="12">
        <v>0.11364299999999999</v>
      </c>
      <c r="K19" s="12">
        <v>0.10012799999999999</v>
      </c>
      <c r="L19" s="12">
        <v>9.5704999999999998E-2</v>
      </c>
      <c r="M19" s="12">
        <v>6.8909999999999999E-2</v>
      </c>
      <c r="N19" s="12">
        <v>9.9715999999999999E-2</v>
      </c>
      <c r="O19" s="12">
        <v>0.10943600000000001</v>
      </c>
      <c r="P19" s="12">
        <v>8.7502999999999997E-2</v>
      </c>
      <c r="Q19" s="12">
        <v>7.5620999999999994E-2</v>
      </c>
      <c r="R19" s="12">
        <v>7.7007999999999993E-2</v>
      </c>
      <c r="S19" s="12">
        <v>0.103867</v>
      </c>
      <c r="T19" s="12">
        <v>0.111189</v>
      </c>
      <c r="U19" s="12">
        <v>0.13031300000000001</v>
      </c>
      <c r="V19" s="12">
        <v>0.107769</v>
      </c>
      <c r="W19" s="12">
        <v>0.10012799999999999</v>
      </c>
      <c r="X19" s="12">
        <v>9.5704999999999998E-2</v>
      </c>
      <c r="Y19" s="12">
        <v>6.0173999999999998E-2</v>
      </c>
      <c r="Z19" s="12">
        <v>6.0804999999999998E-2</v>
      </c>
      <c r="AA19" s="12">
        <v>6.7920999999999995E-2</v>
      </c>
      <c r="AB19" s="12">
        <v>5.4751000000000001E-2</v>
      </c>
      <c r="AC19" s="12">
        <v>5.0744999999999998E-2</v>
      </c>
      <c r="AD19" s="12">
        <v>4.9916000000000002E-2</v>
      </c>
      <c r="AE19" s="12">
        <v>7.8476000000000004E-2</v>
      </c>
      <c r="AF19" s="12">
        <v>9.1912999999999995E-2</v>
      </c>
      <c r="AG19" s="12">
        <v>0.102383</v>
      </c>
      <c r="AH19" s="12">
        <v>9.3043000000000001E-2</v>
      </c>
      <c r="AI19" s="12">
        <v>8.5875999999999994E-2</v>
      </c>
      <c r="AJ19" s="12">
        <v>8.6238999999999996E-2</v>
      </c>
      <c r="AK19" s="12">
        <v>8.1790000000000002E-2</v>
      </c>
      <c r="AL19" s="12">
        <v>7.6786999999999994E-2</v>
      </c>
      <c r="AM19" s="12">
        <v>0.115109</v>
      </c>
      <c r="AN19" s="12">
        <v>0.123568</v>
      </c>
      <c r="AO19" s="12">
        <v>7.9855999999999996E-2</v>
      </c>
      <c r="AP19" s="12">
        <v>7.3620000000000005E-2</v>
      </c>
      <c r="AQ19" s="12">
        <v>0.100921</v>
      </c>
      <c r="AR19" s="18">
        <v>0.12012100000000001</v>
      </c>
      <c r="AS19" s="12">
        <v>9.6821000000000004E-2</v>
      </c>
      <c r="AT19" s="12">
        <v>9.4394000000000006E-2</v>
      </c>
      <c r="AU19" s="12">
        <v>9.1324000000000002E-2</v>
      </c>
      <c r="AV19" s="12">
        <v>8.6569999999999994E-2</v>
      </c>
      <c r="AW19" s="12">
        <v>0.10964</v>
      </c>
      <c r="AX19" s="12">
        <v>0.23752699999999999</v>
      </c>
      <c r="AY19" s="12">
        <v>0.178893</v>
      </c>
      <c r="AZ19" s="12">
        <v>0.15418399999999999</v>
      </c>
      <c r="BA19" s="12">
        <v>9.2184000000000002E-2</v>
      </c>
      <c r="BB19" s="12">
        <v>9.9664000000000003E-2</v>
      </c>
      <c r="BC19" s="12">
        <v>0.101674</v>
      </c>
      <c r="BD19" s="12">
        <v>0.100991</v>
      </c>
      <c r="BE19" s="12">
        <v>9.3193999999999999E-2</v>
      </c>
      <c r="BF19" s="12">
        <v>9.4131000000000006E-2</v>
      </c>
      <c r="BG19" s="12">
        <v>9.3037999999999996E-2</v>
      </c>
      <c r="BH19" s="12">
        <v>8.6248000000000005E-2</v>
      </c>
      <c r="BI19" s="12">
        <v>8.0751000000000003E-2</v>
      </c>
      <c r="BJ19" s="12">
        <v>0.1031</v>
      </c>
      <c r="BK19" s="12">
        <v>0.162437</v>
      </c>
      <c r="BL19" s="12">
        <v>9.5752000000000004E-2</v>
      </c>
      <c r="BM19" s="12">
        <v>7.0237999999999995E-2</v>
      </c>
      <c r="BN19" s="12">
        <v>8.2727999999999996E-2</v>
      </c>
      <c r="BO19" s="12">
        <v>7.7800999999999995E-2</v>
      </c>
      <c r="BP19" s="12">
        <v>8.3389000000000005E-2</v>
      </c>
      <c r="BQ19" s="12">
        <v>8.4088999999999997E-2</v>
      </c>
      <c r="BR19" s="12">
        <v>8.5597999999999994E-2</v>
      </c>
      <c r="BS19" s="12">
        <v>8.0004000000000006E-2</v>
      </c>
      <c r="BT19" s="12">
        <v>5.6686E-2</v>
      </c>
      <c r="BU19" s="12">
        <v>5.3976999999999997E-2</v>
      </c>
      <c r="BV19" s="12">
        <v>7.0134000000000002E-2</v>
      </c>
      <c r="BW19" s="12">
        <v>6.3496999999999998E-2</v>
      </c>
      <c r="BX19" s="12">
        <v>5.4301000000000002E-2</v>
      </c>
      <c r="BY19" s="12">
        <v>6.2185999999999998E-2</v>
      </c>
      <c r="BZ19" s="12">
        <v>6.7198999999999995E-2</v>
      </c>
      <c r="CA19" s="12">
        <v>6.9626999999999994E-2</v>
      </c>
      <c r="CB19" s="12">
        <v>8.0902000000000002E-2</v>
      </c>
      <c r="CC19" s="12">
        <v>8.1569000000000003E-2</v>
      </c>
      <c r="CD19" s="12">
        <v>7.0784E-2</v>
      </c>
      <c r="CE19" s="12">
        <v>6.3924999999999996E-2</v>
      </c>
      <c r="CF19" s="12">
        <v>4.7875000000000001E-2</v>
      </c>
      <c r="CG19" s="12">
        <v>6.9762000000000005E-2</v>
      </c>
      <c r="CH19" s="12">
        <v>6.4454999999999998E-2</v>
      </c>
      <c r="CI19" s="12">
        <v>5.2235999999999998E-2</v>
      </c>
      <c r="CJ19" s="12">
        <v>5.9171000000000001E-2</v>
      </c>
      <c r="CK19" s="12">
        <v>5.4820000000000001E-2</v>
      </c>
      <c r="CL19" s="12">
        <v>8.0496999999999999E-2</v>
      </c>
      <c r="CM19" s="12">
        <v>7.9344999999999999E-2</v>
      </c>
      <c r="CN19" s="21">
        <v>8.2488000000000006E-2</v>
      </c>
      <c r="CO19" s="21">
        <v>7.6877000000000001E-2</v>
      </c>
      <c r="CP19" s="21">
        <v>7.3622999999999994E-2</v>
      </c>
      <c r="CQ19" s="21">
        <v>7.5721999999999998E-2</v>
      </c>
      <c r="CR19" s="21">
        <v>4.7704999999999997E-2</v>
      </c>
      <c r="CS19" s="21">
        <v>6.9903000000000007E-2</v>
      </c>
      <c r="CT19" s="21">
        <v>0.12045500000000001</v>
      </c>
      <c r="CU19" s="21">
        <v>5.2739000000000001E-2</v>
      </c>
      <c r="CV19" s="21">
        <v>5.0159000000000002E-2</v>
      </c>
      <c r="CW19" s="21">
        <v>5.3288000000000002E-2</v>
      </c>
      <c r="CX19" s="21">
        <v>8.1305000000000002E-2</v>
      </c>
      <c r="CY19" s="21">
        <v>8.5657999999999998E-2</v>
      </c>
      <c r="CZ19" s="21">
        <v>9.3205999999999997E-2</v>
      </c>
      <c r="DA19" s="21">
        <v>9.5276E-2</v>
      </c>
      <c r="DB19" s="21">
        <v>9.0418999999999999E-2</v>
      </c>
      <c r="DC19" s="21">
        <v>8.9620000000000005E-2</v>
      </c>
      <c r="DD19" s="21">
        <v>6.2331999999999999E-2</v>
      </c>
      <c r="DE19" s="21">
        <v>6.3325999999999993E-2</v>
      </c>
      <c r="DF19" s="21">
        <v>7.4443999999999996E-2</v>
      </c>
      <c r="DG19" s="21">
        <v>5.6105000000000002E-2</v>
      </c>
      <c r="DH19" s="21">
        <v>5.7331E-2</v>
      </c>
      <c r="DI19" s="21">
        <v>5.1485999999999997E-2</v>
      </c>
      <c r="DJ19" s="21">
        <v>7.0291000000000006E-2</v>
      </c>
      <c r="DK19" s="21">
        <v>7.0679000000000006E-2</v>
      </c>
      <c r="DL19" s="21">
        <v>8.0113000000000004E-2</v>
      </c>
      <c r="DM19" s="12">
        <v>7.4048000000000003E-2</v>
      </c>
      <c r="DN19" s="12">
        <v>6.7737000000000006E-2</v>
      </c>
      <c r="DO19" s="12">
        <v>6.5698999999999994E-2</v>
      </c>
      <c r="DP19" s="12">
        <v>4.6455000000000003E-2</v>
      </c>
      <c r="DQ19" s="12">
        <v>4.9214000000000001E-2</v>
      </c>
      <c r="DR19" s="12">
        <v>4.5340999999999999E-2</v>
      </c>
      <c r="DS19" s="12">
        <v>4.1394E-2</v>
      </c>
      <c r="DT19" s="12">
        <v>3.5852000000000002E-2</v>
      </c>
      <c r="DU19" s="12">
        <v>3.4659000000000002E-2</v>
      </c>
      <c r="DV19" s="12">
        <v>9.3167E-2</v>
      </c>
      <c r="DW19" s="12">
        <v>9.5603999999999995E-2</v>
      </c>
      <c r="DX19" s="12">
        <v>0.101219</v>
      </c>
      <c r="DY19" s="12">
        <v>9.8321000000000006E-2</v>
      </c>
      <c r="DZ19" s="12">
        <v>9.3935000000000005E-2</v>
      </c>
      <c r="EA19" s="12">
        <v>9.4106000000000009E-2</v>
      </c>
      <c r="EB19" s="12">
        <v>7.3266999999999999E-2</v>
      </c>
      <c r="EC19" s="12">
        <v>8.5391999999999996E-2</v>
      </c>
      <c r="ED19" s="12">
        <f>8.8828/100</f>
        <v>8.882799999999999E-2</v>
      </c>
      <c r="EE19" s="12">
        <f>11.9825/100</f>
        <v>0.119825</v>
      </c>
      <c r="EF19" s="12">
        <f>8.225 /100</f>
        <v>8.224999999999999E-2</v>
      </c>
      <c r="EG19" s="12">
        <f>7.7039/100</f>
        <v>7.7038999999999996E-2</v>
      </c>
      <c r="EH19" s="12">
        <f>6.7181 /100</f>
        <v>6.7180999999999991E-2</v>
      </c>
      <c r="EI19" s="12">
        <f>7.8193 /100</f>
        <v>7.8192999999999999E-2</v>
      </c>
    </row>
    <row r="20" spans="1:145" s="4" customFormat="1" x14ac:dyDescent="0.2">
      <c r="A20" s="5" t="s">
        <v>11</v>
      </c>
      <c r="B20" s="12">
        <v>4.9699999999999996E-3</v>
      </c>
      <c r="C20" s="12">
        <v>5.2430000000000003E-3</v>
      </c>
      <c r="D20" s="12">
        <v>5.6860000000000001E-3</v>
      </c>
      <c r="E20" s="12">
        <v>4.2180000000000004E-3</v>
      </c>
      <c r="F20" s="12">
        <v>4.2269999999999999E-3</v>
      </c>
      <c r="G20" s="12">
        <v>4.5880000000000001E-3</v>
      </c>
      <c r="H20" s="12">
        <v>4.7219999999999996E-3</v>
      </c>
      <c r="I20" s="12">
        <v>5.0270000000000002E-3</v>
      </c>
      <c r="J20" s="12">
        <v>6.0819999999999997E-3</v>
      </c>
      <c r="K20" s="12">
        <v>6.6059999999999999E-3</v>
      </c>
      <c r="L20" s="12">
        <v>5.2979999999999998E-3</v>
      </c>
      <c r="M20" s="12">
        <v>3.8119999999999999E-3</v>
      </c>
      <c r="N20" s="12">
        <v>4.2570000000000004E-3</v>
      </c>
      <c r="O20" s="12">
        <v>4.8529999999999997E-3</v>
      </c>
      <c r="P20" s="12">
        <v>5.0299999999999997E-3</v>
      </c>
      <c r="Q20" s="12">
        <v>5.3239999999999997E-3</v>
      </c>
      <c r="R20" s="12">
        <v>4.8939999999999999E-3</v>
      </c>
      <c r="S20" s="12">
        <v>4.7219999999999996E-3</v>
      </c>
      <c r="T20" s="12">
        <v>4.8199999999999996E-3</v>
      </c>
      <c r="U20" s="12">
        <v>5.4079999999999996E-3</v>
      </c>
      <c r="V20" s="12">
        <v>6.2100000000000002E-3</v>
      </c>
      <c r="W20" s="12">
        <v>6.6059999999999999E-3</v>
      </c>
      <c r="X20" s="12">
        <v>5.2979999999999998E-3</v>
      </c>
      <c r="Y20" s="12">
        <v>4.5979999999999997E-3</v>
      </c>
      <c r="Z20" s="12">
        <v>4.633E-3</v>
      </c>
      <c r="AA20" s="12">
        <v>4.6829999999999997E-3</v>
      </c>
      <c r="AB20" s="12">
        <v>5.1970000000000002E-3</v>
      </c>
      <c r="AC20" s="12">
        <v>5.77E-3</v>
      </c>
      <c r="AD20" s="12">
        <v>5.7999999999999996E-3</v>
      </c>
      <c r="AE20" s="12">
        <v>5.3179999999999998E-3</v>
      </c>
      <c r="AF20" s="12">
        <f>0.002224+0.002788+0.000524-0.000136</f>
        <v>5.4000000000000003E-3</v>
      </c>
      <c r="AG20" s="12">
        <f>0.002224+0.002788+0.001119-0.000136</f>
        <v>5.9950000000000003E-3</v>
      </c>
      <c r="AH20" s="12">
        <f>0.002224+0.002788+0.001771-0.000136</f>
        <v>6.6470000000000001E-3</v>
      </c>
      <c r="AI20" s="12">
        <f>0.002224+0.002788+0.00161-0.000136</f>
        <v>6.4860000000000004E-3</v>
      </c>
      <c r="AJ20" s="12">
        <f>0.002224+0.002788+0.001427-0.000136</f>
        <v>6.3030000000000004E-3</v>
      </c>
      <c r="AK20" s="12">
        <f>0.002224+0.002788+0.000419-0.000136</f>
        <v>5.2950000000000002E-3</v>
      </c>
      <c r="AL20" s="12">
        <f>0.002224+0.002788+0.000138-0.000136</f>
        <v>5.0140000000000002E-3</v>
      </c>
      <c r="AM20" s="12">
        <f>0.002224+0.002788+0.000522-0.000136</f>
        <v>5.398E-3</v>
      </c>
      <c r="AN20" s="12">
        <f>0.002224+0.002788+0.001182-0.000136</f>
        <v>6.058E-3</v>
      </c>
      <c r="AO20" s="12">
        <f>0.002224+0.002788+0.001411-0.000075</f>
        <v>6.3479999999999995E-3</v>
      </c>
      <c r="AP20" s="12">
        <f>0.002224+0.002788+0.000966-0.000075</f>
        <v>5.9029999999999994E-3</v>
      </c>
      <c r="AQ20" s="12">
        <f>0.002224+0.002788-0.000074-0.000075</f>
        <v>4.8629999999999993E-3</v>
      </c>
      <c r="AR20" s="18">
        <f>0.002224+0.002788+0.000408-0.000075</f>
        <v>5.3449999999999999E-3</v>
      </c>
      <c r="AS20" s="12">
        <f>0.002224+0.002788+0.001101-0.000075</f>
        <v>6.038E-3</v>
      </c>
      <c r="AT20" s="12">
        <f>0.002224+0.002788+0.002186-0.000075</f>
        <v>7.1229999999999991E-3</v>
      </c>
      <c r="AU20" s="12">
        <f>0.002224+0.002788+0.001866+-0.000075</f>
        <v>6.803E-3</v>
      </c>
      <c r="AV20" s="12">
        <f>0.002224+0.002788+0.001125+-0.000075</f>
        <v>6.0619999999999997E-3</v>
      </c>
      <c r="AW20" s="12">
        <f>0.002224+0.002788+0.000541+-0.000075</f>
        <v>5.4779999999999994E-3</v>
      </c>
      <c r="AX20" s="12">
        <v>5.1579999999999994E-3</v>
      </c>
      <c r="AY20" s="12">
        <v>6.0159999999999996E-3</v>
      </c>
      <c r="AZ20" s="12">
        <v>6.8810000000000008E-3</v>
      </c>
      <c r="BA20" s="12">
        <v>8.7299999999999999E-3</v>
      </c>
      <c r="BB20" s="12">
        <v>5.7200000000000003E-3</v>
      </c>
      <c r="BC20" s="12">
        <v>3.3790000000000005E-3</v>
      </c>
      <c r="BD20" s="12">
        <v>3.9960000000000004E-3</v>
      </c>
      <c r="BE20" s="12">
        <v>4.9900000000000005E-3</v>
      </c>
      <c r="BF20" s="12">
        <v>5.4939999999999998E-3</v>
      </c>
      <c r="BG20" s="12">
        <v>5.6509999999999998E-3</v>
      </c>
      <c r="BH20" s="12">
        <v>5.2570000000000004E-3</v>
      </c>
      <c r="BI20" s="12">
        <v>4.5120000000000004E-3</v>
      </c>
      <c r="BJ20" s="12">
        <v>4.3410000000000002E-3</v>
      </c>
      <c r="BK20" s="12">
        <v>4.7629999999999999E-3</v>
      </c>
      <c r="BL20" s="12">
        <v>5.2119999999999996E-3</v>
      </c>
      <c r="BM20" s="12">
        <v>4.7470000000000004E-3</v>
      </c>
      <c r="BN20" s="12">
        <v>5.7619999999999998E-3</v>
      </c>
      <c r="BO20" s="12">
        <v>3.8409999999999998E-3</v>
      </c>
      <c r="BP20" s="12">
        <v>4.0049999999999999E-3</v>
      </c>
      <c r="BQ20" s="12">
        <v>4.6719999999999999E-3</v>
      </c>
      <c r="BR20" s="12">
        <v>5.2459999999999998E-3</v>
      </c>
      <c r="BS20" s="12">
        <v>5.8440000000000002E-3</v>
      </c>
      <c r="BT20" s="12">
        <v>5.4749999999999998E-3</v>
      </c>
      <c r="BU20" s="12">
        <v>4.2249999999999996E-3</v>
      </c>
      <c r="BV20" s="12">
        <v>4.176E-3</v>
      </c>
      <c r="BW20" s="12">
        <v>4.4320000000000002E-3</v>
      </c>
      <c r="BX20" s="12">
        <v>4.8339999999999998E-3</v>
      </c>
      <c r="BY20" s="12">
        <v>5.8979999999999996E-3</v>
      </c>
      <c r="BZ20" s="12">
        <v>5.1279999999999997E-3</v>
      </c>
      <c r="CA20" s="12">
        <v>4.6480000000000002E-3</v>
      </c>
      <c r="CB20" s="12">
        <v>4.3779999999999999E-3</v>
      </c>
      <c r="CC20" s="12">
        <v>4.666E-3</v>
      </c>
      <c r="CD20" s="12">
        <v>5.3249999999999999E-3</v>
      </c>
      <c r="CE20" s="12">
        <v>5.8919999999999997E-3</v>
      </c>
      <c r="CF20" s="12">
        <v>5.4489999999999999E-3</v>
      </c>
      <c r="CG20" s="12">
        <v>4.254E-3</v>
      </c>
      <c r="CH20" s="12">
        <v>4.1999999999999997E-3</v>
      </c>
      <c r="CI20" s="12">
        <v>3.8930000000000002E-3</v>
      </c>
      <c r="CJ20" s="12">
        <v>3.954E-3</v>
      </c>
      <c r="CK20" s="12">
        <v>3.4220000000000001E-3</v>
      </c>
      <c r="CL20" s="12">
        <v>4.3639999999999998E-3</v>
      </c>
      <c r="CM20" s="12">
        <v>3.8779999999999999E-3</v>
      </c>
      <c r="CN20" s="12">
        <v>3.7950000000000002E-3</v>
      </c>
      <c r="CO20" s="12">
        <v>4.0629999999999998E-3</v>
      </c>
      <c r="CP20" s="12">
        <v>4.4980000000000003E-3</v>
      </c>
      <c r="CQ20" s="12">
        <v>4.398E-3</v>
      </c>
      <c r="CR20" s="12">
        <v>4.0169999999999997E-3</v>
      </c>
      <c r="CS20" s="12">
        <v>4.0559999999999997E-3</v>
      </c>
      <c r="CT20" s="12">
        <v>4.0070000000000001E-3</v>
      </c>
      <c r="CU20" s="12">
        <v>3.898E-3</v>
      </c>
      <c r="CV20" s="12">
        <v>5.1370000000000001E-3</v>
      </c>
      <c r="CW20" s="12">
        <v>6.5240000000000003E-3</v>
      </c>
      <c r="CX20" s="12">
        <v>4.0249999999999999E-3</v>
      </c>
      <c r="CY20" s="12">
        <v>4.2399999999999998E-3</v>
      </c>
      <c r="CZ20" s="12">
        <v>4.1460000000000004E-3</v>
      </c>
      <c r="DA20" s="12">
        <v>4.3379999999999998E-3</v>
      </c>
      <c r="DB20" s="12">
        <v>4.9890000000000004E-3</v>
      </c>
      <c r="DC20" s="12">
        <v>4.908E-3</v>
      </c>
      <c r="DD20" s="12">
        <v>4.7140000000000003E-3</v>
      </c>
      <c r="DE20" s="12">
        <v>4.28E-3</v>
      </c>
      <c r="DF20" s="12">
        <v>3.9560000000000003E-3</v>
      </c>
      <c r="DG20" s="12">
        <v>4.0559999999999997E-3</v>
      </c>
      <c r="DH20" s="12">
        <v>4.3740000000000003E-3</v>
      </c>
      <c r="DI20" s="12">
        <v>2.0249999999999999E-3</v>
      </c>
      <c r="DJ20" s="12">
        <v>4.6480000000000002E-3</v>
      </c>
      <c r="DK20" s="12">
        <v>4.0850000000000001E-3</v>
      </c>
      <c r="DL20" s="12">
        <v>4.0540000000000003E-3</v>
      </c>
      <c r="DM20" s="12">
        <v>4.3350000000000003E-3</v>
      </c>
      <c r="DN20" s="12">
        <v>5.0150000000000004E-3</v>
      </c>
      <c r="DO20" s="12">
        <v>5.1110000000000001E-3</v>
      </c>
      <c r="DP20" s="12">
        <v>4.4359999999999998E-3</v>
      </c>
      <c r="DQ20" s="12">
        <f>0.399/100</f>
        <v>3.9900000000000005E-3</v>
      </c>
      <c r="DR20" s="12">
        <v>4.0829999999999998E-3</v>
      </c>
      <c r="DS20" s="12">
        <v>3.7209999999999999E-3</v>
      </c>
      <c r="DT20" s="12">
        <v>3.6099999999999999E-3</v>
      </c>
      <c r="DU20" s="12">
        <v>6.3480000000000003E-3</v>
      </c>
      <c r="DV20" s="12">
        <v>4.0400000000000002E-3</v>
      </c>
      <c r="DW20" s="12">
        <v>3.62E-3</v>
      </c>
      <c r="DX20" s="12">
        <v>3.6879999999999999E-3</v>
      </c>
      <c r="DY20" s="12">
        <v>4.0629999999999998E-3</v>
      </c>
      <c r="DZ20" s="12">
        <v>4.4710000000000001E-3</v>
      </c>
      <c r="EA20" s="12">
        <v>4.4780000000000002E-3</v>
      </c>
      <c r="EB20" s="12">
        <v>3.8270000000000001E-3</v>
      </c>
      <c r="EC20" s="12">
        <v>3.5300000000000002E-3</v>
      </c>
      <c r="ED20" s="12">
        <v>3.862E-3</v>
      </c>
      <c r="EE20" s="12">
        <f>0.4074/100</f>
        <v>4.0739999999999995E-3</v>
      </c>
      <c r="EF20" s="12">
        <f>0.4237/100</f>
        <v>4.2370000000000003E-3</v>
      </c>
      <c r="EG20" s="12">
        <f>0.1681/100</f>
        <v>1.681E-3</v>
      </c>
      <c r="EH20" s="12">
        <f>0.4005/100</f>
        <v>4.0049999999999999E-3</v>
      </c>
      <c r="EI20" s="12">
        <f>0.3583/100</f>
        <v>3.5830000000000002E-3</v>
      </c>
    </row>
    <row r="21" spans="1:145" s="4" customFormat="1" x14ac:dyDescent="0.2">
      <c r="A21" s="5" t="s">
        <v>12</v>
      </c>
      <c r="B21" s="22">
        <v>2.4066000000000001E-2</v>
      </c>
      <c r="C21" s="22">
        <v>2.4066000000000001E-2</v>
      </c>
      <c r="D21" s="22">
        <v>2.4066000000000001E-2</v>
      </c>
      <c r="E21" s="22">
        <v>2.4066000000000001E-2</v>
      </c>
      <c r="F21" s="22">
        <v>2.4066000000000001E-2</v>
      </c>
      <c r="G21" s="22">
        <v>2.4066000000000001E-2</v>
      </c>
      <c r="H21" s="22">
        <v>2.4066000000000001E-2</v>
      </c>
      <c r="I21" s="22">
        <v>2.4066000000000001E-2</v>
      </c>
      <c r="J21" s="22">
        <v>2.4066000000000001E-2</v>
      </c>
      <c r="K21" s="22">
        <v>2.4066000000000001E-2</v>
      </c>
      <c r="L21" s="22">
        <v>2.4066000000000001E-2</v>
      </c>
      <c r="M21" s="22">
        <v>2.4066000000000001E-2</v>
      </c>
      <c r="N21" s="22">
        <v>2.4066000000000001E-2</v>
      </c>
      <c r="O21" s="22">
        <v>2.4066000000000001E-2</v>
      </c>
      <c r="P21" s="22">
        <v>2.4066000000000001E-2</v>
      </c>
      <c r="Q21" s="22">
        <v>2.4066000000000001E-2</v>
      </c>
      <c r="R21" s="22">
        <v>2.4066000000000001E-2</v>
      </c>
      <c r="S21" s="22">
        <v>2.4066000000000001E-2</v>
      </c>
      <c r="T21" s="22">
        <v>2.4066000000000001E-2</v>
      </c>
      <c r="U21" s="22">
        <v>2.4066000000000001E-2</v>
      </c>
      <c r="V21" s="22">
        <v>2.4066000000000001E-2</v>
      </c>
      <c r="W21" s="22">
        <v>2.4066000000000001E-2</v>
      </c>
      <c r="X21" s="22">
        <v>2.4066000000000001E-2</v>
      </c>
      <c r="Y21" s="22">
        <v>2.4066000000000001E-2</v>
      </c>
      <c r="Z21" s="23">
        <v>2.4066000000000001E-2</v>
      </c>
      <c r="AA21" s="22">
        <f t="shared" ref="AA21:AW21" si="17">Z21</f>
        <v>2.4066000000000001E-2</v>
      </c>
      <c r="AB21" s="22">
        <f t="shared" si="17"/>
        <v>2.4066000000000001E-2</v>
      </c>
      <c r="AC21" s="22">
        <f t="shared" si="17"/>
        <v>2.4066000000000001E-2</v>
      </c>
      <c r="AD21" s="22">
        <f t="shared" si="17"/>
        <v>2.4066000000000001E-2</v>
      </c>
      <c r="AE21" s="22">
        <f t="shared" si="17"/>
        <v>2.4066000000000001E-2</v>
      </c>
      <c r="AF21" s="22">
        <f t="shared" si="17"/>
        <v>2.4066000000000001E-2</v>
      </c>
      <c r="AG21" s="22">
        <f t="shared" si="17"/>
        <v>2.4066000000000001E-2</v>
      </c>
      <c r="AH21" s="22">
        <f t="shared" si="17"/>
        <v>2.4066000000000001E-2</v>
      </c>
      <c r="AI21" s="22">
        <f t="shared" si="17"/>
        <v>2.4066000000000001E-2</v>
      </c>
      <c r="AJ21" s="22">
        <f t="shared" si="17"/>
        <v>2.4066000000000001E-2</v>
      </c>
      <c r="AK21" s="22">
        <f t="shared" si="17"/>
        <v>2.4066000000000001E-2</v>
      </c>
      <c r="AL21" s="22">
        <f t="shared" si="17"/>
        <v>2.4066000000000001E-2</v>
      </c>
      <c r="AM21" s="22">
        <f t="shared" si="17"/>
        <v>2.4066000000000001E-2</v>
      </c>
      <c r="AN21" s="22">
        <f t="shared" si="17"/>
        <v>2.4066000000000001E-2</v>
      </c>
      <c r="AO21" s="22">
        <f t="shared" si="17"/>
        <v>2.4066000000000001E-2</v>
      </c>
      <c r="AP21" s="22">
        <f t="shared" si="17"/>
        <v>2.4066000000000001E-2</v>
      </c>
      <c r="AQ21" s="22">
        <f t="shared" si="17"/>
        <v>2.4066000000000001E-2</v>
      </c>
      <c r="AR21" s="24">
        <f t="shared" si="17"/>
        <v>2.4066000000000001E-2</v>
      </c>
      <c r="AS21" s="22">
        <f t="shared" si="17"/>
        <v>2.4066000000000001E-2</v>
      </c>
      <c r="AT21" s="22">
        <f t="shared" si="17"/>
        <v>2.4066000000000001E-2</v>
      </c>
      <c r="AU21" s="22">
        <f t="shared" si="17"/>
        <v>2.4066000000000001E-2</v>
      </c>
      <c r="AV21" s="22">
        <f t="shared" si="17"/>
        <v>2.4066000000000001E-2</v>
      </c>
      <c r="AW21" s="22">
        <f t="shared" si="17"/>
        <v>2.4066000000000001E-2</v>
      </c>
      <c r="AX21" s="22">
        <v>2.4066000000000001E-2</v>
      </c>
      <c r="AY21" s="22">
        <v>2.4066000000000001E-2</v>
      </c>
      <c r="AZ21" s="22">
        <v>2.4066000000000001E-2</v>
      </c>
      <c r="BA21" s="22">
        <v>2.4066000000000001E-2</v>
      </c>
      <c r="BB21" s="22">
        <v>2.4066000000000001E-2</v>
      </c>
      <c r="BC21" s="22">
        <v>2.4066000000000001E-2</v>
      </c>
      <c r="BD21" s="22">
        <v>2.4066000000000001E-2</v>
      </c>
      <c r="BE21" s="22">
        <v>2.4066000000000001E-2</v>
      </c>
      <c r="BF21" s="22">
        <v>2.4066000000000001E-2</v>
      </c>
      <c r="BG21" s="22">
        <v>2.4066000000000001E-2</v>
      </c>
      <c r="BH21" s="22">
        <v>2.4066000000000001E-2</v>
      </c>
      <c r="BI21" s="22">
        <v>2.4066000000000001E-2</v>
      </c>
      <c r="BJ21" s="22">
        <v>2.4066000000000001E-2</v>
      </c>
      <c r="BK21" s="22">
        <v>2.4066000000000001E-2</v>
      </c>
      <c r="BL21" s="22">
        <v>2.4066000000000001E-2</v>
      </c>
      <c r="BM21" s="22">
        <v>2.4066000000000001E-2</v>
      </c>
      <c r="BN21" s="22">
        <v>2.4066000000000001E-2</v>
      </c>
      <c r="BO21" s="22">
        <v>2.4066000000000001E-2</v>
      </c>
      <c r="BP21" s="22">
        <v>2.4066000000000001E-2</v>
      </c>
      <c r="BQ21" s="22">
        <v>2.4066000000000001E-2</v>
      </c>
      <c r="BR21" s="22">
        <v>2.4066000000000001E-2</v>
      </c>
      <c r="BS21" s="22">
        <v>2.4066000000000001E-2</v>
      </c>
      <c r="BT21" s="22">
        <v>2.4066000000000001E-2</v>
      </c>
      <c r="BU21" s="22">
        <v>2.4066000000000001E-2</v>
      </c>
      <c r="BV21" s="22">
        <v>2.4066000000000001E-2</v>
      </c>
      <c r="BW21" s="22">
        <v>2.4066000000000001E-2</v>
      </c>
      <c r="BX21" s="22">
        <v>2.4066000000000001E-2</v>
      </c>
      <c r="BY21" s="22">
        <v>2.4066000000000001E-2</v>
      </c>
      <c r="BZ21" s="22">
        <v>2.4066000000000001E-2</v>
      </c>
      <c r="CA21" s="22">
        <v>2.4066000000000001E-2</v>
      </c>
      <c r="CB21" s="22">
        <v>2.4066000000000001E-2</v>
      </c>
      <c r="CC21" s="22">
        <v>2.4066000000000001E-2</v>
      </c>
      <c r="CD21" s="22">
        <v>2.4066000000000001E-2</v>
      </c>
      <c r="CE21" s="22">
        <v>2.4066000000000001E-2</v>
      </c>
      <c r="CF21" s="22">
        <v>2.4066000000000001E-2</v>
      </c>
      <c r="CG21" s="22">
        <v>2.4066000000000001E-2</v>
      </c>
      <c r="CH21" s="22">
        <v>2.4066000000000001E-2</v>
      </c>
      <c r="CI21" s="22">
        <v>2.4066000000000001E-2</v>
      </c>
      <c r="CJ21" s="22">
        <v>2.4066000000000001E-2</v>
      </c>
      <c r="CK21" s="22">
        <v>2.4066000000000001E-2</v>
      </c>
      <c r="CL21" s="22">
        <v>2.4066000000000001E-2</v>
      </c>
      <c r="CM21" s="22">
        <v>2.4066000000000001E-2</v>
      </c>
      <c r="CN21" s="22">
        <v>2.4066000000000001E-2</v>
      </c>
      <c r="CO21" s="22">
        <v>2.4066000000000001E-2</v>
      </c>
      <c r="CP21" s="22">
        <v>2.4066000000000001E-2</v>
      </c>
      <c r="CQ21" s="22">
        <v>2.4066000000000001E-2</v>
      </c>
      <c r="CR21" s="22">
        <v>2.4066000000000001E-2</v>
      </c>
      <c r="CS21" s="22">
        <v>2.4066000000000001E-2</v>
      </c>
      <c r="CT21" s="22">
        <v>2.4066000000000001E-2</v>
      </c>
      <c r="CU21" s="22">
        <v>2.4066000000000001E-2</v>
      </c>
      <c r="CV21" s="22">
        <v>2.4066000000000001E-2</v>
      </c>
      <c r="CW21" s="22">
        <v>2.4066000000000001E-2</v>
      </c>
      <c r="CX21" s="22">
        <v>2.4066000000000001E-2</v>
      </c>
      <c r="CY21" s="22">
        <v>2.4066000000000001E-2</v>
      </c>
      <c r="CZ21" s="22">
        <v>2.4066000000000001E-2</v>
      </c>
      <c r="DA21" s="22">
        <v>2.4066000000000001E-2</v>
      </c>
      <c r="DB21" s="22">
        <v>2.4066000000000001E-2</v>
      </c>
      <c r="DC21" s="22">
        <v>2.4066000000000001E-2</v>
      </c>
      <c r="DD21" s="22">
        <v>2.4066000000000001E-2</v>
      </c>
      <c r="DE21" s="22">
        <v>2.4066000000000001E-2</v>
      </c>
      <c r="DF21" s="22">
        <v>2.4066000000000001E-2</v>
      </c>
      <c r="DG21" s="22">
        <v>2.4066000000000001E-2</v>
      </c>
      <c r="DH21" s="22">
        <v>2.4066000000000001E-2</v>
      </c>
      <c r="DI21" s="22">
        <v>2.4066000000000001E-2</v>
      </c>
      <c r="DJ21" s="22">
        <v>2.4066000000000001E-2</v>
      </c>
      <c r="DK21" s="22">
        <v>2.4066000000000001E-2</v>
      </c>
      <c r="DL21" s="22">
        <v>2.4066000000000001E-2</v>
      </c>
      <c r="DM21" s="22">
        <v>2.4066000000000001E-2</v>
      </c>
      <c r="DN21" s="22">
        <v>2.4066000000000001E-2</v>
      </c>
      <c r="DO21" s="22">
        <v>2.4066000000000001E-2</v>
      </c>
      <c r="DP21" s="22">
        <v>2.4066000000000001E-2</v>
      </c>
      <c r="DQ21" s="22">
        <v>2.4066000000000001E-2</v>
      </c>
      <c r="DR21" s="22">
        <v>2.4066000000000001E-2</v>
      </c>
      <c r="DS21" s="22">
        <v>2.4066000000000001E-2</v>
      </c>
      <c r="DT21" s="22">
        <v>2.4066000000000001E-2</v>
      </c>
      <c r="DU21" s="22">
        <v>2.4066000000000001E-2</v>
      </c>
      <c r="DV21" s="22">
        <v>2.4066000000000001E-2</v>
      </c>
      <c r="DW21" s="22">
        <v>2.4066000000000001E-2</v>
      </c>
      <c r="DX21" s="22">
        <v>2.4066000000000001E-2</v>
      </c>
      <c r="DY21" s="22">
        <v>2.4066000000000001E-2</v>
      </c>
      <c r="DZ21" s="22">
        <v>2.4066000000000001E-2</v>
      </c>
      <c r="EA21" s="22">
        <v>2.4066000000000001E-2</v>
      </c>
      <c r="EB21" s="22">
        <v>2.4066000000000001E-2</v>
      </c>
      <c r="EC21" s="22">
        <v>2.4066000000000001E-2</v>
      </c>
      <c r="ED21" s="22">
        <v>2.4066000000000001E-2</v>
      </c>
      <c r="EE21" s="22">
        <v>2.4066000000000001E-2</v>
      </c>
      <c r="EF21" s="22">
        <v>2.4066000000000001E-2</v>
      </c>
      <c r="EG21" s="22">
        <v>2.4066000000000001E-2</v>
      </c>
      <c r="EH21" s="22">
        <v>2.4066000000000001E-2</v>
      </c>
      <c r="EI21" s="22">
        <v>2.4066000000000001E-2</v>
      </c>
    </row>
    <row r="22" spans="1:145" s="4" customFormat="1" x14ac:dyDescent="0.2">
      <c r="A22" s="5" t="s">
        <v>24</v>
      </c>
      <c r="B22" s="22">
        <v>4.8874000000000001E-2</v>
      </c>
      <c r="C22" s="22">
        <v>4.8874000000000001E-2</v>
      </c>
      <c r="D22" s="22">
        <v>4.8874000000000001E-2</v>
      </c>
      <c r="E22" s="23">
        <v>4.8591000000000002E-2</v>
      </c>
      <c r="F22" s="22">
        <v>4.8591000000000002E-2</v>
      </c>
      <c r="G22" s="22">
        <v>4.8591000000000002E-2</v>
      </c>
      <c r="H22" s="22">
        <v>4.8591000000000002E-2</v>
      </c>
      <c r="I22" s="22">
        <v>4.8591000000000002E-2</v>
      </c>
      <c r="J22" s="22">
        <v>4.8591000000000002E-2</v>
      </c>
      <c r="K22" s="23">
        <v>5.1304000000000002E-2</v>
      </c>
      <c r="L22" s="22">
        <v>5.1304000000000002E-2</v>
      </c>
      <c r="M22" s="23">
        <v>4.8591000000000002E-2</v>
      </c>
      <c r="N22" s="22">
        <v>4.8591000000000002E-2</v>
      </c>
      <c r="O22" s="22">
        <v>4.8591000000000002E-2</v>
      </c>
      <c r="P22" s="22">
        <v>4.8591000000000002E-2</v>
      </c>
      <c r="Q22" s="23">
        <v>5.1304000000000002E-2</v>
      </c>
      <c r="R22" s="22">
        <v>5.1304000000000002E-2</v>
      </c>
      <c r="S22" s="23">
        <v>5.1139999999999998E-2</v>
      </c>
      <c r="T22" s="23">
        <v>5.1304000000000002E-2</v>
      </c>
      <c r="U22" s="22">
        <v>5.1304000000000002E-2</v>
      </c>
      <c r="V22" s="22">
        <v>5.1304000000000002E-2</v>
      </c>
      <c r="W22" s="22">
        <v>5.1304000000000002E-2</v>
      </c>
      <c r="X22" s="22">
        <v>5.1304000000000002E-2</v>
      </c>
      <c r="Y22" s="22">
        <v>5.1304000000000002E-2</v>
      </c>
      <c r="Z22" s="23">
        <v>5.1304000000000002E-2</v>
      </c>
      <c r="AA22" s="22">
        <f>Z22</f>
        <v>5.1304000000000002E-2</v>
      </c>
      <c r="AB22" s="22">
        <f>AA22</f>
        <v>5.1304000000000002E-2</v>
      </c>
      <c r="AC22" s="23">
        <v>4.9451000000000002E-2</v>
      </c>
      <c r="AD22" s="22">
        <f>AC22</f>
        <v>4.9451000000000002E-2</v>
      </c>
      <c r="AE22" s="23">
        <f>4.9451%+0.01%</f>
        <v>4.9551000000000005E-2</v>
      </c>
      <c r="AF22" s="23">
        <v>4.9451000000000002E-2</v>
      </c>
      <c r="AG22" s="22">
        <v>4.9451000000000002E-2</v>
      </c>
      <c r="AH22" s="22">
        <v>4.9451000000000002E-2</v>
      </c>
      <c r="AI22" s="22">
        <v>4.9451000000000002E-2</v>
      </c>
      <c r="AJ22" s="22">
        <v>4.9451000000000002E-2</v>
      </c>
      <c r="AK22" s="22">
        <v>4.9451000000000002E-2</v>
      </c>
      <c r="AL22" s="22">
        <v>4.9451000000000002E-2</v>
      </c>
      <c r="AM22" s="22">
        <v>4.9451000000000002E-2</v>
      </c>
      <c r="AN22" s="22">
        <v>4.9451000000000002E-2</v>
      </c>
      <c r="AO22" s="25">
        <v>5.1325999999999997E-2</v>
      </c>
      <c r="AP22" s="22">
        <v>5.1325999999999997E-2</v>
      </c>
      <c r="AQ22" s="23">
        <v>5.1978000000000003E-2</v>
      </c>
      <c r="AR22" s="26">
        <v>5.1325999999999997E-2</v>
      </c>
      <c r="AS22" s="25">
        <v>5.1325999999999997E-2</v>
      </c>
      <c r="AT22" s="25">
        <v>5.1325999999999997E-2</v>
      </c>
      <c r="AU22" s="25">
        <v>5.1325999999999997E-2</v>
      </c>
      <c r="AV22" s="25">
        <v>5.1325999999999997E-2</v>
      </c>
      <c r="AW22" s="25">
        <v>5.1325999999999997E-2</v>
      </c>
      <c r="AX22" s="25">
        <v>5.1325999999999997E-2</v>
      </c>
      <c r="AY22" s="25">
        <v>5.1325999999999997E-2</v>
      </c>
      <c r="AZ22" s="25">
        <v>5.1325999999999997E-2</v>
      </c>
      <c r="BA22" s="25">
        <v>5.2794000000000001E-2</v>
      </c>
      <c r="BB22" s="25">
        <v>5.2794000000000001E-2</v>
      </c>
      <c r="BC22" s="25">
        <v>5.1831000000000002E-2</v>
      </c>
      <c r="BD22" s="25">
        <v>5.2794000000000001E-2</v>
      </c>
      <c r="BE22" s="25">
        <v>5.2794000000000001E-2</v>
      </c>
      <c r="BF22" s="25">
        <v>5.2794000000000001E-2</v>
      </c>
      <c r="BG22" s="25">
        <v>5.2794000000000001E-2</v>
      </c>
      <c r="BH22" s="25">
        <v>5.2794000000000001E-2</v>
      </c>
      <c r="BI22" s="25">
        <v>5.2794000000000001E-2</v>
      </c>
      <c r="BJ22" s="25">
        <v>5.2794000000000001E-2</v>
      </c>
      <c r="BK22" s="25">
        <v>5.2794000000000001E-2</v>
      </c>
      <c r="BL22" s="25">
        <v>5.2794000000000001E-2</v>
      </c>
      <c r="BM22" s="25">
        <v>5.0972999999999997E-2</v>
      </c>
      <c r="BN22" s="25">
        <v>5.0972999999999997E-2</v>
      </c>
      <c r="BO22" s="25">
        <f>5.0973%-0.2471%</f>
        <v>4.8501999999999997E-2</v>
      </c>
      <c r="BP22" s="25">
        <f t="shared" ref="BP22:BX22" si="18">5.0973%</f>
        <v>5.0972999999999997E-2</v>
      </c>
      <c r="BQ22" s="25">
        <f t="shared" si="18"/>
        <v>5.0972999999999997E-2</v>
      </c>
      <c r="BR22" s="25">
        <f t="shared" si="18"/>
        <v>5.0972999999999997E-2</v>
      </c>
      <c r="BS22" s="25">
        <f t="shared" si="18"/>
        <v>5.0972999999999997E-2</v>
      </c>
      <c r="BT22" s="25">
        <f t="shared" si="18"/>
        <v>5.0972999999999997E-2</v>
      </c>
      <c r="BU22" s="25">
        <f t="shared" si="18"/>
        <v>5.0972999999999997E-2</v>
      </c>
      <c r="BV22" s="25">
        <f t="shared" si="18"/>
        <v>5.0972999999999997E-2</v>
      </c>
      <c r="BW22" s="25">
        <f t="shared" si="18"/>
        <v>5.0972999999999997E-2</v>
      </c>
      <c r="BX22" s="25">
        <f t="shared" si="18"/>
        <v>5.0972999999999997E-2</v>
      </c>
      <c r="BY22" s="25">
        <v>5.1073E-2</v>
      </c>
      <c r="BZ22" s="25">
        <v>5.1073E-2</v>
      </c>
      <c r="CA22" s="23">
        <f>BZ22+-0.000382</f>
        <v>5.0691E-2</v>
      </c>
      <c r="CB22" s="27">
        <f>BZ22</f>
        <v>5.1073E-2</v>
      </c>
      <c r="CC22" s="27">
        <f>BZ22</f>
        <v>5.1073E-2</v>
      </c>
      <c r="CD22" s="27">
        <v>5.1073E-2</v>
      </c>
      <c r="CE22" s="27">
        <v>5.1073E-2</v>
      </c>
      <c r="CF22" s="27">
        <v>5.1073E-2</v>
      </c>
      <c r="CG22" s="27">
        <v>5.1073E-2</v>
      </c>
      <c r="CH22" s="27">
        <v>5.1073E-2</v>
      </c>
      <c r="CI22" s="27">
        <v>5.1073E-2</v>
      </c>
      <c r="CJ22" s="27">
        <v>5.1073E-2</v>
      </c>
      <c r="CK22" s="27">
        <v>5.0516999999999999E-2</v>
      </c>
      <c r="CL22" s="27">
        <v>5.0516999999999999E-2</v>
      </c>
      <c r="CM22" s="27">
        <f>5.0517%-0.2592%</f>
        <v>4.7925000000000009E-2</v>
      </c>
      <c r="CN22" s="27">
        <v>5.0516999999999999E-2</v>
      </c>
      <c r="CO22" s="27">
        <v>5.0516999999999999E-2</v>
      </c>
      <c r="CP22" s="27">
        <v>5.0516999999999999E-2</v>
      </c>
      <c r="CQ22" s="27">
        <v>5.0516999999999999E-2</v>
      </c>
      <c r="CR22" s="27">
        <v>5.0516999999999999E-2</v>
      </c>
      <c r="CS22" s="27">
        <v>5.0516999999999999E-2</v>
      </c>
      <c r="CT22" s="27">
        <v>5.0516999999999999E-2</v>
      </c>
      <c r="CU22" s="27">
        <v>5.0516999999999999E-2</v>
      </c>
      <c r="CV22" s="27">
        <v>5.0516999999999999E-2</v>
      </c>
      <c r="CW22" s="23">
        <v>4.9891999999999999E-2</v>
      </c>
      <c r="CX22" s="22">
        <v>4.9891999999999999E-2</v>
      </c>
      <c r="CY22" s="22">
        <v>4.9891999999999999E-2</v>
      </c>
      <c r="CZ22" s="22">
        <v>4.9891999999999999E-2</v>
      </c>
      <c r="DA22" s="22">
        <v>4.9891999999999999E-2</v>
      </c>
      <c r="DB22" s="22">
        <v>4.9891999999999999E-2</v>
      </c>
      <c r="DC22" s="22">
        <v>4.9891999999999999E-2</v>
      </c>
      <c r="DD22" s="22">
        <v>4.9891999999999999E-2</v>
      </c>
      <c r="DE22" s="22">
        <v>4.9891999999999999E-2</v>
      </c>
      <c r="DF22" s="22">
        <v>4.9891999999999999E-2</v>
      </c>
      <c r="DG22" s="22">
        <v>4.9891999999999999E-2</v>
      </c>
      <c r="DH22" s="22">
        <v>4.9891999999999999E-2</v>
      </c>
      <c r="DI22" s="28">
        <f>4.9089%</f>
        <v>4.9089000000000001E-2</v>
      </c>
      <c r="DJ22" s="29">
        <f>4.9089%</f>
        <v>4.9089000000000001E-2</v>
      </c>
      <c r="DK22" s="28">
        <v>4.9035000000000002E-2</v>
      </c>
      <c r="DL22" s="28">
        <v>4.9089000000000001E-2</v>
      </c>
      <c r="DM22" s="29">
        <v>4.9089000000000001E-2</v>
      </c>
      <c r="DN22" s="29">
        <v>4.9089000000000001E-2</v>
      </c>
      <c r="DO22" s="29">
        <v>4.9089000000000001E-2</v>
      </c>
      <c r="DP22" s="29">
        <v>4.9089000000000001E-2</v>
      </c>
      <c r="DQ22" s="29">
        <v>4.9089000000000001E-2</v>
      </c>
      <c r="DR22" s="29">
        <v>4.9089000000000001E-2</v>
      </c>
      <c r="DS22" s="29">
        <v>4.9089000000000001E-2</v>
      </c>
      <c r="DT22" s="29">
        <v>4.9089000000000001E-2</v>
      </c>
      <c r="DU22" s="28">
        <v>5.0505000000000001E-2</v>
      </c>
      <c r="DV22" s="29">
        <v>5.0505000000000001E-2</v>
      </c>
      <c r="DW22" s="29">
        <v>5.0505000000000001E-2</v>
      </c>
      <c r="DX22" s="29">
        <v>5.0505000000000001E-2</v>
      </c>
      <c r="DY22" s="29">
        <v>5.0505000000000001E-2</v>
      </c>
      <c r="DZ22" s="29">
        <v>5.0505000000000001E-2</v>
      </c>
      <c r="EA22" s="29">
        <v>5.0505000000000001E-2</v>
      </c>
      <c r="EB22" s="29">
        <v>5.0505000000000001E-2</v>
      </c>
      <c r="EC22" s="29">
        <v>5.0505000000000001E-2</v>
      </c>
      <c r="ED22" s="22">
        <v>5.0505000000000001E-2</v>
      </c>
      <c r="EE22" s="22">
        <v>5.0505000000000001E-2</v>
      </c>
      <c r="EF22" s="22">
        <v>5.0505000000000001E-2</v>
      </c>
      <c r="EG22" s="28">
        <v>4.9190999999999999E-2</v>
      </c>
      <c r="EH22" s="28">
        <v>4.9190999999999999E-2</v>
      </c>
      <c r="EI22" s="28">
        <v>4.9190999999999999E-2</v>
      </c>
    </row>
    <row r="23" spans="1:145" s="4" customFormat="1" x14ac:dyDescent="0.2">
      <c r="A23" s="5" t="s">
        <v>13</v>
      </c>
      <c r="B23" s="12">
        <v>1.6050000000000001E-3</v>
      </c>
      <c r="C23" s="12">
        <v>9.5619999999999993E-3</v>
      </c>
      <c r="D23" s="12">
        <v>1.377E-3</v>
      </c>
      <c r="E23" s="12">
        <v>1.4519999999999999E-3</v>
      </c>
      <c r="F23" s="13">
        <v>1.4519999999999999E-3</v>
      </c>
      <c r="G23" s="12">
        <v>-1.005E-3</v>
      </c>
      <c r="H23" s="12">
        <v>-3.8149999999999998E-3</v>
      </c>
      <c r="I23" s="12">
        <v>-4.4120000000000001E-3</v>
      </c>
      <c r="J23" s="12">
        <v>-1.7899999999999999E-3</v>
      </c>
      <c r="K23" s="12">
        <v>4.7029999999999997E-3</v>
      </c>
      <c r="L23" s="12">
        <v>4.581E-3</v>
      </c>
      <c r="M23" s="12">
        <v>3.2729999999999999E-3</v>
      </c>
      <c r="N23" s="12">
        <v>-1.186E-3</v>
      </c>
      <c r="O23" s="12">
        <v>-1.083E-3</v>
      </c>
      <c r="P23" s="12">
        <v>-1.11E-4</v>
      </c>
      <c r="Q23" s="12">
        <v>5.8900000000000001E-4</v>
      </c>
      <c r="R23" s="12">
        <v>1.085E-3</v>
      </c>
      <c r="S23" s="12">
        <v>6.228E-3</v>
      </c>
      <c r="T23" s="12">
        <v>-5.4299999999999997E-4</v>
      </c>
      <c r="U23" s="12">
        <v>-1.307E-3</v>
      </c>
      <c r="V23" s="12">
        <v>5.7899999999999998E-4</v>
      </c>
      <c r="W23" s="12">
        <v>4.7029999999999997E-3</v>
      </c>
      <c r="X23" s="12">
        <v>4.581E-3</v>
      </c>
      <c r="Y23" s="12">
        <v>3.209E-3</v>
      </c>
      <c r="Z23" s="12">
        <v>5.4140000000000004E-3</v>
      </c>
      <c r="AA23" s="12">
        <v>7.7889999999999999E-3</v>
      </c>
      <c r="AB23" s="12">
        <v>5.653E-3</v>
      </c>
      <c r="AC23" s="12">
        <v>4.9410000000000001E-3</v>
      </c>
      <c r="AD23" s="12">
        <v>4.5000000000000003E-5</v>
      </c>
      <c r="AE23" s="12">
        <v>2.209E-3</v>
      </c>
      <c r="AF23" s="12">
        <v>-1.121E-3</v>
      </c>
      <c r="AG23" s="12">
        <v>-5.0500000000000002E-4</v>
      </c>
      <c r="AH23" s="12">
        <f>-0.3094/100</f>
        <v>-3.094E-3</v>
      </c>
      <c r="AI23" s="12">
        <v>2.6940000000000002E-3</v>
      </c>
      <c r="AJ23" s="12">
        <v>2.225E-3</v>
      </c>
      <c r="AK23" s="12">
        <v>1.4940000000000001E-3</v>
      </c>
      <c r="AL23" s="12">
        <v>5.1330000000000004E-3</v>
      </c>
      <c r="AM23" s="12">
        <v>4.4840000000000001E-3</v>
      </c>
      <c r="AN23" s="12">
        <v>9.8799999999999995E-4</v>
      </c>
      <c r="AO23" s="12">
        <v>-7.0800000000000004E-3</v>
      </c>
      <c r="AP23" s="12">
        <f>-0.4108/100</f>
        <v>-4.1079999999999997E-3</v>
      </c>
      <c r="AQ23" s="12">
        <v>1.013E-3</v>
      </c>
      <c r="AR23" s="18">
        <v>2.4750000000000002E-3</v>
      </c>
      <c r="AS23" s="12">
        <v>-1.3849999999999999E-3</v>
      </c>
      <c r="AT23" s="12">
        <v>4.5300000000000001E-4</v>
      </c>
      <c r="AU23" s="12">
        <v>6.6500000000000001E-4</v>
      </c>
      <c r="AV23" s="12">
        <v>-5.2830000000000004E-3</v>
      </c>
      <c r="AW23" s="12">
        <v>3.7599999999999999E-3</v>
      </c>
      <c r="AX23" s="12">
        <v>2.9320000000000001E-3</v>
      </c>
      <c r="AY23" s="12">
        <v>-2.0507000000000001E-2</v>
      </c>
      <c r="AZ23" s="12">
        <v>1.4100000000000001E-4</v>
      </c>
      <c r="BA23" s="12">
        <v>-5.679E-3</v>
      </c>
      <c r="BB23" s="12">
        <v>7.986E-3</v>
      </c>
      <c r="BC23" s="12">
        <v>3.1359999999999999E-3</v>
      </c>
      <c r="BD23" s="12">
        <v>2.542E-3</v>
      </c>
      <c r="BE23" s="12">
        <v>4.6769999999999997E-3</v>
      </c>
      <c r="BF23" s="12">
        <v>2.1350000000000002E-3</v>
      </c>
      <c r="BG23" s="12">
        <v>2.075E-3</v>
      </c>
      <c r="BH23" s="12">
        <v>1.856E-3</v>
      </c>
      <c r="BI23" s="12">
        <v>1.173E-3</v>
      </c>
      <c r="BJ23" s="12">
        <v>8.2539999999999992E-3</v>
      </c>
      <c r="BK23" s="12">
        <v>6.5590000000000006E-3</v>
      </c>
      <c r="BL23" s="12">
        <v>-2.7409999999999999E-3</v>
      </c>
      <c r="BM23" s="12">
        <v>3.4600000000000001E-4</v>
      </c>
      <c r="BN23" s="12">
        <v>-1.2179999999999999E-3</v>
      </c>
      <c r="BO23" s="12">
        <v>-1.457E-3</v>
      </c>
      <c r="BP23" s="12">
        <v>-4.2000000000000002E-4</v>
      </c>
      <c r="BQ23" s="12">
        <v>-6.3999999999999997E-5</v>
      </c>
      <c r="BR23" s="12">
        <v>-1.4E-3</v>
      </c>
      <c r="BS23" s="12">
        <v>-1.815E-3</v>
      </c>
      <c r="BT23" s="12">
        <v>2.6849999999999999E-3</v>
      </c>
      <c r="BU23" s="12">
        <v>8.4390000000000003E-3</v>
      </c>
      <c r="BV23" s="12">
        <v>1.0838E-2</v>
      </c>
      <c r="BW23" s="12">
        <v>2.1840000000000002E-3</v>
      </c>
      <c r="BX23" s="12">
        <v>7.8080000000000007E-3</v>
      </c>
      <c r="BY23" s="12">
        <v>-1.97E-3</v>
      </c>
      <c r="BZ23" s="12">
        <v>2.1350000000000002E-3</v>
      </c>
      <c r="CA23" s="12">
        <v>5.8699999999999996E-4</v>
      </c>
      <c r="CB23" s="12">
        <v>2.3519999999999999E-3</v>
      </c>
      <c r="CC23" s="12">
        <v>-2.281E-3</v>
      </c>
      <c r="CD23" s="12">
        <v>-9.0499999999999999E-4</v>
      </c>
      <c r="CE23" s="12">
        <v>1.542E-3</v>
      </c>
      <c r="CF23" s="12">
        <v>4.0569999999999998E-3</v>
      </c>
      <c r="CG23" s="12">
        <v>9.9649999999999999E-3</v>
      </c>
      <c r="CH23" s="12">
        <v>5.927E-3</v>
      </c>
      <c r="CI23" s="12">
        <v>1.6469000000000001E-2</v>
      </c>
      <c r="CJ23" s="12">
        <v>6.0499999999999996E-4</v>
      </c>
      <c r="CK23" s="12">
        <v>-1.55E-4</v>
      </c>
      <c r="CL23" s="12">
        <v>6.0689999999999997E-3</v>
      </c>
      <c r="CM23" s="12">
        <v>2.6489999999999999E-3</v>
      </c>
      <c r="CN23" s="12">
        <v>1.7750000000000001E-3</v>
      </c>
      <c r="CO23" s="12">
        <v>2.4190000000000001E-3</v>
      </c>
      <c r="CP23" s="12">
        <v>2.7000000000000001E-3</v>
      </c>
      <c r="CQ23" s="12">
        <v>3.9039999999999999E-3</v>
      </c>
      <c r="CR23" s="12">
        <v>1.529E-3</v>
      </c>
      <c r="CS23" s="12">
        <v>2.8050000000000002E-3</v>
      </c>
      <c r="CT23" s="12">
        <v>2.1640000000000001E-3</v>
      </c>
      <c r="CU23" s="12">
        <v>-8.7500000000000002E-4</v>
      </c>
      <c r="CV23" s="12">
        <v>5.0489999999999997E-3</v>
      </c>
      <c r="CW23" s="12">
        <v>-1.222E-3</v>
      </c>
      <c r="CX23" s="12">
        <v>-3.1510000000000002E-3</v>
      </c>
      <c r="CY23" s="12">
        <v>3.0370000000000002E-3</v>
      </c>
      <c r="CZ23" s="12">
        <v>2.9250000000000001E-3</v>
      </c>
      <c r="DA23" s="12">
        <v>1.751E-3</v>
      </c>
      <c r="DB23" s="12">
        <v>5.7799999999999995E-4</v>
      </c>
      <c r="DC23" s="12">
        <v>-7.3700000000000002E-4</v>
      </c>
      <c r="DD23" s="12">
        <v>4.1199999999999999E-4</v>
      </c>
      <c r="DE23" s="12">
        <v>-3.4120000000000001E-3</v>
      </c>
      <c r="DF23" s="12">
        <v>4.4000000000000002E-4</v>
      </c>
      <c r="DG23" s="12">
        <v>-1.7799999999999999E-3</v>
      </c>
      <c r="DH23" s="12">
        <v>-1.1100000000000001E-3</v>
      </c>
      <c r="DI23" s="12">
        <v>-5.8320000000000004E-3</v>
      </c>
      <c r="DJ23" s="12">
        <v>-2.0890000000000001E-3</v>
      </c>
      <c r="DK23" s="12">
        <v>1.884E-3</v>
      </c>
      <c r="DL23" s="12">
        <v>1.126E-3</v>
      </c>
      <c r="DM23" s="12">
        <v>7.9699999999999997E-4</v>
      </c>
      <c r="DN23" s="12">
        <v>1.407E-3</v>
      </c>
      <c r="DO23" s="12">
        <v>3.336E-3</v>
      </c>
      <c r="DP23" s="12">
        <v>2.6640000000000001E-3</v>
      </c>
      <c r="DQ23" s="12">
        <v>2.1849999999999999E-3</v>
      </c>
      <c r="DR23" s="12">
        <v>3.421E-3</v>
      </c>
      <c r="DS23" s="12">
        <v>2.6870000000000002E-3</v>
      </c>
      <c r="DT23" s="12">
        <v>-5.53E-4</v>
      </c>
      <c r="DU23" s="12">
        <v>-6.3709999999999999E-3</v>
      </c>
      <c r="DV23" s="12">
        <v>-2.3440000000000002E-3</v>
      </c>
      <c r="DW23" s="12">
        <v>-6.2699999999999995E-4</v>
      </c>
      <c r="DX23" s="12">
        <v>5.5000000000000003E-4</v>
      </c>
      <c r="DY23" s="12">
        <v>-2.9E-4</v>
      </c>
      <c r="DZ23" s="12">
        <v>1.4909999999999999E-3</v>
      </c>
      <c r="EA23" s="12">
        <v>3.5770000000000003E-3</v>
      </c>
      <c r="EB23" s="12">
        <v>2.7929999999999999E-3</v>
      </c>
      <c r="EC23" s="12">
        <v>8.2830000000000004E-3</v>
      </c>
      <c r="ED23" s="12">
        <v>5.4209999999999996E-3</v>
      </c>
      <c r="EE23" s="12">
        <f>0.6651/100</f>
        <v>6.6510000000000007E-3</v>
      </c>
      <c r="EF23" s="12">
        <f>-0.2135/100</f>
        <v>-2.1349999999999997E-3</v>
      </c>
      <c r="EG23" s="12">
        <f>0.1902/100</f>
        <v>1.902E-3</v>
      </c>
      <c r="EH23" s="12">
        <f>0.1647/100</f>
        <v>1.647E-3</v>
      </c>
      <c r="EI23" s="12">
        <f>0.2118/100</f>
        <v>2.1180000000000001E-3</v>
      </c>
    </row>
    <row r="24" spans="1:145" s="4" customFormat="1" x14ac:dyDescent="0.2">
      <c r="A24" s="5" t="s">
        <v>14</v>
      </c>
      <c r="B24" s="12">
        <v>-1.295E-2</v>
      </c>
      <c r="C24" s="12">
        <v>-1.9462E-2</v>
      </c>
      <c r="D24" s="12">
        <v>8.6180000000000007E-3</v>
      </c>
      <c r="E24" s="12">
        <v>1.0529E-2</v>
      </c>
      <c r="F24" s="13">
        <v>1.0529E-2</v>
      </c>
      <c r="G24" s="12">
        <v>1.1852E-2</v>
      </c>
      <c r="H24" s="12">
        <v>-6.5180000000000004E-3</v>
      </c>
      <c r="I24" s="12">
        <v>-3.601E-3</v>
      </c>
      <c r="J24" s="12">
        <v>-2.2277000000000002E-2</v>
      </c>
      <c r="K24" s="12">
        <v>-9.2599999999999991E-3</v>
      </c>
      <c r="L24" s="12">
        <v>-1.8956000000000001E-2</v>
      </c>
      <c r="M24" s="12">
        <v>-4.0029999999999996E-3</v>
      </c>
      <c r="N24" s="12">
        <v>-7.9089999999999994E-3</v>
      </c>
      <c r="O24" s="12">
        <v>-7.1729999999999997E-3</v>
      </c>
      <c r="P24" s="12">
        <v>-3.0370000000000002E-3</v>
      </c>
      <c r="Q24" s="12">
        <v>-7.6099999999999996E-4</v>
      </c>
      <c r="R24" s="12">
        <v>-9.8499999999999994E-3</v>
      </c>
      <c r="S24" s="12">
        <v>-9.672E-3</v>
      </c>
      <c r="T24" s="12">
        <v>-8.0169999999999998E-3</v>
      </c>
      <c r="U24" s="12">
        <v>-3.7460000000000002E-3</v>
      </c>
      <c r="V24" s="12">
        <v>-2.5103E-2</v>
      </c>
      <c r="W24" s="12">
        <v>-9.2599999999999991E-3</v>
      </c>
      <c r="X24" s="12">
        <v>-1.8956000000000001E-2</v>
      </c>
      <c r="Y24" s="12">
        <v>-3.2599999999999999E-3</v>
      </c>
      <c r="Z24" s="12">
        <v>-8.0389999999999993E-3</v>
      </c>
      <c r="AA24" s="12">
        <v>-2.0119999999999999E-3</v>
      </c>
      <c r="AB24" s="12">
        <v>-5.1699999999999999E-4</v>
      </c>
      <c r="AC24" s="12">
        <v>1.2650000000000001E-3</v>
      </c>
      <c r="AD24" s="12">
        <v>-1.9780000000000002E-3</v>
      </c>
      <c r="AE24" s="12">
        <v>5.7000000000000003E-5</v>
      </c>
      <c r="AF24" s="12">
        <v>1.7632999999999999E-2</v>
      </c>
      <c r="AG24" s="12">
        <v>-1.5554E-2</v>
      </c>
      <c r="AH24" s="12">
        <f>-1.5934/100</f>
        <v>-1.5934E-2</v>
      </c>
      <c r="AI24" s="12">
        <v>3.2959999999999999E-3</v>
      </c>
      <c r="AJ24" s="12">
        <v>-1.8175E-2</v>
      </c>
      <c r="AK24" s="12">
        <v>-5.0800000000000003E-3</v>
      </c>
      <c r="AL24" s="12">
        <v>-1.2964E-2</v>
      </c>
      <c r="AM24" s="12">
        <v>-4.1450000000000002E-3</v>
      </c>
      <c r="AN24" s="12">
        <f>0.1765/100</f>
        <v>1.7649999999999999E-3</v>
      </c>
      <c r="AO24" s="12">
        <v>-8.4000000000000003E-4</v>
      </c>
      <c r="AP24" s="12">
        <f>-1.1834/100</f>
        <v>-1.1834000000000001E-2</v>
      </c>
      <c r="AQ24" s="12">
        <v>-1.3060000000000001E-3</v>
      </c>
      <c r="AR24" s="18">
        <v>-4.7530000000000003E-3</v>
      </c>
      <c r="AS24" s="12">
        <v>-1.8533000000000001E-2</v>
      </c>
      <c r="AT24" s="12">
        <v>1.6515999999999999E-2</v>
      </c>
      <c r="AU24" s="12">
        <v>-7.4530000000000004E-3</v>
      </c>
      <c r="AV24" s="12">
        <v>-3.9280000000000001E-3</v>
      </c>
      <c r="AW24" s="12">
        <v>1.01E-3</v>
      </c>
      <c r="AX24" s="12">
        <v>-6.8599999999999998E-4</v>
      </c>
      <c r="AY24" s="12">
        <v>3.8337999999999997E-2</v>
      </c>
      <c r="AZ24" s="12">
        <v>-1.8959E-2</v>
      </c>
      <c r="BA24" s="12">
        <v>-1.421E-2</v>
      </c>
      <c r="BB24" s="12">
        <v>2.9650000000000002E-3</v>
      </c>
      <c r="BC24" s="12">
        <v>4.5710000000000004E-3</v>
      </c>
      <c r="BD24" s="12">
        <v>-1.111E-3</v>
      </c>
      <c r="BE24" s="12">
        <v>-4.4390000000000002E-3</v>
      </c>
      <c r="BF24" s="12">
        <v>-8.5190000000000005E-3</v>
      </c>
      <c r="BG24" s="12">
        <v>-5.4840000000000002E-3</v>
      </c>
      <c r="BH24" s="12">
        <v>3.0409999999999999E-3</v>
      </c>
      <c r="BI24" s="12">
        <v>-1.1230000000000001E-3</v>
      </c>
      <c r="BJ24" s="12">
        <v>1.003E-3</v>
      </c>
      <c r="BK24" s="12">
        <v>-4.5970000000000004E-3</v>
      </c>
      <c r="BL24" s="12">
        <v>1.3209999999999999E-3</v>
      </c>
      <c r="BM24" s="12">
        <v>-1.7110000000000001E-3</v>
      </c>
      <c r="BN24" s="12">
        <v>-1.761E-3</v>
      </c>
      <c r="BO24" s="12">
        <v>2.013E-3</v>
      </c>
      <c r="BP24" s="12">
        <v>8.9400000000000005E-4</v>
      </c>
      <c r="BQ24" s="12">
        <v>-1.0706E-2</v>
      </c>
      <c r="BR24" s="12">
        <v>-9.4059999999999994E-3</v>
      </c>
      <c r="BS24" s="12">
        <v>-9.1990000000000006E-3</v>
      </c>
      <c r="BT24" s="12">
        <v>3.8769999999999998E-3</v>
      </c>
      <c r="BU24" s="12">
        <v>-1.0487E-2</v>
      </c>
      <c r="BV24" s="12">
        <v>-3.7880000000000001E-3</v>
      </c>
      <c r="BW24" s="12">
        <v>-8.5369999999999994E-3</v>
      </c>
      <c r="BX24" s="12">
        <v>-3.715E-3</v>
      </c>
      <c r="BY24" s="12">
        <v>1.7349999999999998E-3</v>
      </c>
      <c r="BZ24" s="12">
        <f>+-0.014972</f>
        <v>-1.4971999999999999E-2</v>
      </c>
      <c r="CA24" s="12">
        <v>1.32E-3</v>
      </c>
      <c r="CB24" s="12">
        <v>-5.4169999999999999E-3</v>
      </c>
      <c r="CC24" s="12">
        <v>-1.3391E-2</v>
      </c>
      <c r="CD24" s="12">
        <v>-6.6369999999999997E-3</v>
      </c>
      <c r="CE24" s="12">
        <v>-8.1449999999999995E-3</v>
      </c>
      <c r="CF24" s="12">
        <v>-3.7390000000000001E-3</v>
      </c>
      <c r="CG24" s="12">
        <v>-6.202E-3</v>
      </c>
      <c r="CH24" s="12">
        <v>-1.493E-3</v>
      </c>
      <c r="CI24" s="12">
        <v>-5.0639999999999999E-3</v>
      </c>
      <c r="CJ24" s="12">
        <v>-3.5769999999999999E-3</v>
      </c>
      <c r="CK24" s="12">
        <v>-7.3980000000000001E-3</v>
      </c>
      <c r="CL24" s="12">
        <v>-1.5219999999999999E-3</v>
      </c>
      <c r="CM24" s="12">
        <v>-1.9910000000000001E-3</v>
      </c>
      <c r="CN24" s="12">
        <v>-8.097E-3</v>
      </c>
      <c r="CO24" s="12">
        <v>-1.1750999999999999E-2</v>
      </c>
      <c r="CP24" s="12">
        <v>-1.2829999999999999E-2</v>
      </c>
      <c r="CQ24" s="12">
        <v>-1.3148E-2</v>
      </c>
      <c r="CR24" s="12">
        <v>-1.094E-2</v>
      </c>
      <c r="CS24" s="12">
        <f>+-0.1599/100</f>
        <v>-1.5989999999999999E-3</v>
      </c>
      <c r="CT24" s="12">
        <v>-2.3314000000000001E-2</v>
      </c>
      <c r="CU24" s="12">
        <v>3.6180999999999998E-2</v>
      </c>
      <c r="CV24" s="12">
        <v>-2.9989999999999999E-3</v>
      </c>
      <c r="CW24" s="12">
        <v>-2.6319999999999998E-3</v>
      </c>
      <c r="CX24" s="12">
        <v>6.0800000000000003E-4</v>
      </c>
      <c r="CY24" s="12">
        <v>-1.802E-3</v>
      </c>
      <c r="CZ24" s="12">
        <v>-4.6E-5</v>
      </c>
      <c r="DA24" s="12">
        <v>-3.4907000000000001E-2</v>
      </c>
      <c r="DB24" s="12">
        <v>-2.0049999999999998E-3</v>
      </c>
      <c r="DC24" s="12">
        <v>-4.2009999999999999E-3</v>
      </c>
      <c r="DD24" s="12">
        <v>-9.1380000000000003E-3</v>
      </c>
      <c r="DE24" s="12">
        <v>-7.0419999999999996E-3</v>
      </c>
      <c r="DF24" s="12">
        <v>-4.444E-3</v>
      </c>
      <c r="DG24" s="12">
        <v>-9.2929999999999992E-3</v>
      </c>
      <c r="DH24" s="12">
        <v>-9.9209999999999993E-3</v>
      </c>
      <c r="DI24" s="12">
        <v>-6.96E-3</v>
      </c>
      <c r="DJ24" s="12">
        <v>-6.7669999999999996E-3</v>
      </c>
      <c r="DK24" s="12">
        <v>5.4070000000000003E-3</v>
      </c>
      <c r="DL24" s="12">
        <v>-1.338E-3</v>
      </c>
      <c r="DM24" s="12">
        <v>-1.26E-2</v>
      </c>
      <c r="DN24" s="12">
        <v>-2.0170000000000001E-3</v>
      </c>
      <c r="DO24" s="12">
        <v>-9.8309999999999995E-3</v>
      </c>
      <c r="DP24" s="12">
        <v>1.2149999999999999E-3</v>
      </c>
      <c r="DQ24" s="12">
        <v>-4.0379999999999999E-3</v>
      </c>
      <c r="DR24" s="12">
        <v>-3.21E-4</v>
      </c>
      <c r="DS24" s="12">
        <v>-2.977E-3</v>
      </c>
      <c r="DT24" s="12">
        <v>-2.748E-3</v>
      </c>
      <c r="DU24" s="12">
        <v>-3.2520000000000001E-3</v>
      </c>
      <c r="DV24" s="12">
        <v>-4.1330000000000004E-3</v>
      </c>
      <c r="DW24" s="12">
        <v>1.3165E-2</v>
      </c>
      <c r="DX24" s="12">
        <v>-9.2409999999999992E-3</v>
      </c>
      <c r="DY24" s="12">
        <v>-1.8194999999999999E-2</v>
      </c>
      <c r="DZ24" s="12">
        <v>-1.8955E-2</v>
      </c>
      <c r="EA24" s="12">
        <v>-9.9979999999999999E-3</v>
      </c>
      <c r="EB24" s="12">
        <v>1.21E-4</v>
      </c>
      <c r="EC24" s="12">
        <v>-9.3690000000000006E-3</v>
      </c>
      <c r="ED24" s="12">
        <v>-2.104E-3</v>
      </c>
      <c r="EE24" s="12">
        <f>0.0029/100</f>
        <v>2.8999999999999997E-5</v>
      </c>
      <c r="EF24" s="12">
        <f>0.3474/100</f>
        <v>3.4739999999999997E-3</v>
      </c>
      <c r="EG24" s="12">
        <f>1.2729/100</f>
        <v>1.2728999999999999E-2</v>
      </c>
      <c r="EH24" s="12">
        <f>1.2611/100</f>
        <v>1.2611000000000001E-2</v>
      </c>
      <c r="EI24" s="12">
        <f>-1.3399/100</f>
        <v>-1.3399000000000001E-2</v>
      </c>
    </row>
    <row r="25" spans="1:145" s="4" customFormat="1" x14ac:dyDescent="0.2">
      <c r="A25" s="5" t="s">
        <v>15</v>
      </c>
      <c r="B25" s="12">
        <v>4.9820000000000003E-3</v>
      </c>
      <c r="C25" s="12">
        <v>4.718E-3</v>
      </c>
      <c r="D25" s="12">
        <v>1.3044999999999999E-2</v>
      </c>
      <c r="E25" s="12">
        <v>4.0953999999999997E-2</v>
      </c>
      <c r="F25" s="13">
        <v>4.0953999999999997E-2</v>
      </c>
      <c r="G25" s="12">
        <v>2.3213999999999999E-2</v>
      </c>
      <c r="H25" s="12">
        <v>1.9859999999999999E-2</v>
      </c>
      <c r="I25" s="12">
        <v>7.3969999999999999E-3</v>
      </c>
      <c r="J25" s="12">
        <v>3.4699999999999998E-4</v>
      </c>
      <c r="K25" s="12">
        <v>1.7025999999999999E-2</v>
      </c>
      <c r="L25" s="12">
        <v>1.3435000000000001E-2</v>
      </c>
      <c r="M25" s="12">
        <v>2.9023E-2</v>
      </c>
      <c r="N25" s="12">
        <v>1.7492000000000001E-2</v>
      </c>
      <c r="O25" s="12">
        <v>-6.3839999999999999E-3</v>
      </c>
      <c r="P25" s="12">
        <v>-1.3569999999999999E-3</v>
      </c>
      <c r="Q25" s="12">
        <v>1.7722999999999999E-2</v>
      </c>
      <c r="R25" s="12">
        <v>1.3088000000000001E-2</v>
      </c>
      <c r="S25" s="12">
        <v>1.3554999999999999E-2</v>
      </c>
      <c r="T25" s="12">
        <v>9.2270000000000008E-3</v>
      </c>
      <c r="U25" s="12">
        <v>9.9950000000000004E-3</v>
      </c>
      <c r="V25" s="12">
        <v>5.6230000000000004E-3</v>
      </c>
      <c r="W25" s="12">
        <v>1.7025999999999999E-2</v>
      </c>
      <c r="X25" s="12">
        <v>1.3435000000000001E-2</v>
      </c>
      <c r="Y25" s="12">
        <v>1.2699E-2</v>
      </c>
      <c r="Z25" s="12">
        <v>9.2829999999999996E-3</v>
      </c>
      <c r="AA25" s="12">
        <v>1.0525E-2</v>
      </c>
      <c r="AB25" s="12">
        <v>1.1277000000000001E-2</v>
      </c>
      <c r="AC25" s="12">
        <v>1.8831000000000001E-2</v>
      </c>
      <c r="AD25" s="12">
        <v>2.0066000000000001E-2</v>
      </c>
      <c r="AE25" s="12">
        <v>1.8755000000000001E-2</v>
      </c>
      <c r="AF25" s="12">
        <v>1.3247E-2</v>
      </c>
      <c r="AG25" s="12">
        <v>6.5250000000000004E-3</v>
      </c>
      <c r="AH25" s="12">
        <v>5.7359999999999998E-3</v>
      </c>
      <c r="AI25" s="12">
        <v>1.6997000000000002E-2</v>
      </c>
      <c r="AJ25" s="12">
        <v>9.9349999999999994E-3</v>
      </c>
      <c r="AK25" s="12">
        <v>1.0676E-2</v>
      </c>
      <c r="AL25" s="12">
        <v>-7.2909999999999997E-3</v>
      </c>
      <c r="AM25" s="12">
        <v>5.7429999999999998E-3</v>
      </c>
      <c r="AN25" s="12">
        <v>-1.3868E-2</v>
      </c>
      <c r="AO25" s="12">
        <v>-7.3210000000000003E-3</v>
      </c>
      <c r="AP25" s="12">
        <v>7.502E-3</v>
      </c>
      <c r="AQ25" s="12">
        <v>3.4299999999999999E-4</v>
      </c>
      <c r="AR25" s="18">
        <v>4.7359999999999998E-3</v>
      </c>
      <c r="AS25" s="12">
        <v>8.9800000000000004E-4</v>
      </c>
      <c r="AT25" s="12">
        <v>1.0562999999999999E-2</v>
      </c>
      <c r="AU25" s="12">
        <v>7.8650000000000005E-3</v>
      </c>
      <c r="AV25" s="12">
        <v>8.1779999999999995E-3</v>
      </c>
      <c r="AW25" s="12">
        <v>-3.2759999999999998E-3</v>
      </c>
      <c r="AX25" s="12">
        <v>-1.5737999999999999E-2</v>
      </c>
      <c r="AY25" s="12">
        <v>-7.0799000000000001E-2</v>
      </c>
      <c r="AZ25" s="12">
        <v>-9.9389999999999999E-3</v>
      </c>
      <c r="BA25" s="12">
        <v>2.4550000000000002E-3</v>
      </c>
      <c r="BB25" s="12">
        <v>-2.6200000000000003E-4</v>
      </c>
      <c r="BC25" s="12">
        <v>4.8789999999999997E-3</v>
      </c>
      <c r="BD25" s="12">
        <v>-2.1800000000000001E-4</v>
      </c>
      <c r="BE25" s="12">
        <v>1.0207000000000001E-2</v>
      </c>
      <c r="BF25" s="12">
        <v>8.6449999999999999E-3</v>
      </c>
      <c r="BG25" s="12">
        <v>7.6189999999999999E-3</v>
      </c>
      <c r="BH25" s="12">
        <v>5.0099999999999997E-3</v>
      </c>
      <c r="BI25" s="12">
        <v>-1.776E-3</v>
      </c>
      <c r="BJ25" s="12">
        <v>7.9290000000000003E-3</v>
      </c>
      <c r="BK25" s="12">
        <v>-3.2859999999999999E-3</v>
      </c>
      <c r="BL25" s="12">
        <v>-1.3954000000000001E-2</v>
      </c>
      <c r="BM25" s="12">
        <v>9.1090000000000008E-3</v>
      </c>
      <c r="BN25" s="12">
        <v>1.0009000000000001E-2</v>
      </c>
      <c r="BO25" s="12">
        <v>7.0660000000000002E-3</v>
      </c>
      <c r="BP25" s="12">
        <v>1.3858000000000001E-2</v>
      </c>
      <c r="BQ25" s="12">
        <v>1.4520999999999999E-2</v>
      </c>
      <c r="BR25" s="12">
        <v>8.3840000000000008E-3</v>
      </c>
      <c r="BS25" s="12">
        <v>9.5569999999999995E-3</v>
      </c>
      <c r="BT25" s="12">
        <v>1.2248E-2</v>
      </c>
      <c r="BU25" s="12">
        <v>1.3176999999999999E-2</v>
      </c>
      <c r="BV25" s="12">
        <v>1.1724999999999999E-2</v>
      </c>
      <c r="BW25" s="12">
        <v>1.6475E-2</v>
      </c>
      <c r="BX25" s="12">
        <v>2.4014999999999998E-2</v>
      </c>
      <c r="BY25" s="12">
        <v>2.0944000000000004E-2</v>
      </c>
      <c r="BZ25" s="12">
        <v>1.0357E-2</v>
      </c>
      <c r="CA25" s="12">
        <v>1.5719E-2</v>
      </c>
      <c r="CB25" s="12">
        <v>5.5820000000000002E-3</v>
      </c>
      <c r="CC25" s="12">
        <v>9.1280000000000007E-3</v>
      </c>
      <c r="CD25" s="12">
        <v>8.1700000000000002E-3</v>
      </c>
      <c r="CE25" s="12">
        <v>1.4955E-2</v>
      </c>
      <c r="CF25" s="12">
        <v>1.8825999999999999E-2</v>
      </c>
      <c r="CG25" s="12">
        <v>9.4299999999999991E-3</v>
      </c>
      <c r="CH25" s="12">
        <v>-7.6579999999999999E-3</v>
      </c>
      <c r="CI25" s="12">
        <v>2.0227999999999999E-2</v>
      </c>
      <c r="CJ25" s="12">
        <v>2.2492000000000002E-2</v>
      </c>
      <c r="CK25" s="12">
        <v>1.7446E-2</v>
      </c>
      <c r="CL25" s="12">
        <v>1.5899E-2</v>
      </c>
      <c r="CM25" s="12">
        <v>1.0965000000000001E-2</v>
      </c>
      <c r="CN25" s="12">
        <v>5.2820000000000002E-3</v>
      </c>
      <c r="CO25" s="12">
        <v>6.3930000000000002E-3</v>
      </c>
      <c r="CP25" s="12">
        <v>1.5217E-2</v>
      </c>
      <c r="CQ25" s="12">
        <v>1.4765E-2</v>
      </c>
      <c r="CR25" s="12">
        <v>1.7125000000000001E-2</v>
      </c>
      <c r="CS25" s="12">
        <f>0.572/100</f>
        <v>5.7199999999999994E-3</v>
      </c>
      <c r="CT25" s="12">
        <v>-1.7694000000000001E-2</v>
      </c>
      <c r="CU25" s="12">
        <v>-2.4358999999999999E-2</v>
      </c>
      <c r="CV25" s="12">
        <v>2.5770999999999999E-2</v>
      </c>
      <c r="CW25" s="12">
        <v>2.5222000000000001E-2</v>
      </c>
      <c r="CX25" s="12">
        <v>1.3719E-2</v>
      </c>
      <c r="CY25" s="12">
        <v>8.0680000000000005E-3</v>
      </c>
      <c r="CZ25" s="12">
        <v>-3.2400000000000001E-4</v>
      </c>
      <c r="DA25" s="12">
        <v>6.2779999999999997E-3</v>
      </c>
      <c r="DB25" s="12">
        <v>-3.9680000000000002E-3</v>
      </c>
      <c r="DC25" s="12">
        <v>5.5160000000000001E-3</v>
      </c>
      <c r="DD25" s="12">
        <v>8.7189999999999993E-3</v>
      </c>
      <c r="DE25" s="12">
        <v>1.426E-3</v>
      </c>
      <c r="DF25" s="12">
        <v>9.2079999999999992E-3</v>
      </c>
      <c r="DG25" s="12">
        <v>1.3044E-2</v>
      </c>
      <c r="DH25" s="12">
        <v>2.0591000000000002E-2</v>
      </c>
      <c r="DI25" s="12">
        <v>2.6273000000000001E-2</v>
      </c>
      <c r="DJ25" s="12">
        <v>1.2558E-2</v>
      </c>
      <c r="DK25" s="12">
        <v>1.0312999999999999E-2</v>
      </c>
      <c r="DL25" s="12">
        <v>5.091E-3</v>
      </c>
      <c r="DM25" s="12">
        <v>1.58E-3</v>
      </c>
      <c r="DN25" s="12">
        <v>7.1659999999999996E-3</v>
      </c>
      <c r="DO25" s="12">
        <v>9.6159999999999995E-3</v>
      </c>
      <c r="DP25" s="12">
        <v>1.7815000000000001E-2</v>
      </c>
      <c r="DQ25" s="12">
        <v>1.1573999999999999E-2</v>
      </c>
      <c r="DR25" s="12">
        <v>1.712E-2</v>
      </c>
      <c r="DS25" s="12">
        <v>2.6335000000000001E-2</v>
      </c>
      <c r="DT25" s="12">
        <v>2.376E-2</v>
      </c>
      <c r="DU25" s="12">
        <v>2.4566999999999999E-2</v>
      </c>
      <c r="DV25" s="12">
        <v>5.0470000000000003E-3</v>
      </c>
      <c r="DW25" s="12">
        <v>5.731E-3</v>
      </c>
      <c r="DX25" s="12">
        <v>-1.6310000000000001E-3</v>
      </c>
      <c r="DY25" s="12">
        <v>6.1700000000000004E-4</v>
      </c>
      <c r="DZ25" s="12">
        <v>3.19E-4</v>
      </c>
      <c r="EA25" s="12">
        <v>4.0660000000000002E-3</v>
      </c>
      <c r="EB25" s="12">
        <v>1.2094000000000001E-2</v>
      </c>
      <c r="EC25" s="12">
        <v>1.506E-2</v>
      </c>
      <c r="ED25" s="12">
        <v>1.2990999999999999E-2</v>
      </c>
      <c r="EE25" s="12">
        <f>0.6266/100</f>
        <v>6.2660000000000007E-3</v>
      </c>
      <c r="EF25" s="12">
        <f>-1.7357/100</f>
        <v>-1.7357000000000001E-2</v>
      </c>
      <c r="EG25" s="12">
        <f>1.6205/100</f>
        <v>1.6205000000000001E-2</v>
      </c>
      <c r="EH25" s="12">
        <f>2.1938/100</f>
        <v>2.1937999999999999E-2</v>
      </c>
      <c r="EI25" s="12">
        <f>0.7492/100</f>
        <v>7.4919999999999995E-3</v>
      </c>
    </row>
    <row r="26" spans="1:145" s="4" customFormat="1" x14ac:dyDescent="0.2">
      <c r="A26" s="5" t="s">
        <v>16</v>
      </c>
      <c r="B26" s="13">
        <v>3.784E-3</v>
      </c>
      <c r="C26" s="13">
        <v>3.784E-3</v>
      </c>
      <c r="D26" s="13">
        <v>3.784E-3</v>
      </c>
      <c r="E26" s="13">
        <v>3.784E-3</v>
      </c>
      <c r="F26" s="13">
        <v>3.784E-3</v>
      </c>
      <c r="G26" s="13">
        <v>3.784E-3</v>
      </c>
      <c r="H26" s="12">
        <v>4.6740000000000002E-3</v>
      </c>
      <c r="I26" s="13">
        <v>4.6740000000000002E-3</v>
      </c>
      <c r="J26" s="13">
        <v>4.6740000000000002E-3</v>
      </c>
      <c r="K26" s="13">
        <v>4.6740000000000002E-3</v>
      </c>
      <c r="L26" s="13">
        <v>4.6740000000000002E-3</v>
      </c>
      <c r="M26" s="13">
        <v>4.6740000000000002E-3</v>
      </c>
      <c r="N26" s="13">
        <v>4.6740000000000002E-3</v>
      </c>
      <c r="O26" s="13">
        <v>4.6740000000000002E-3</v>
      </c>
      <c r="P26" s="13">
        <v>4.6740000000000002E-3</v>
      </c>
      <c r="Q26" s="13">
        <v>4.6740000000000002E-3</v>
      </c>
      <c r="R26" s="13">
        <v>4.6740000000000002E-3</v>
      </c>
      <c r="S26" s="13">
        <v>4.6740000000000002E-3</v>
      </c>
      <c r="T26" s="13">
        <v>4.6740000000000002E-3</v>
      </c>
      <c r="U26" s="13">
        <v>4.6740000000000002E-3</v>
      </c>
      <c r="V26" s="13">
        <v>4.6740000000000002E-3</v>
      </c>
      <c r="W26" s="13">
        <v>4.6740000000000002E-3</v>
      </c>
      <c r="X26" s="13">
        <v>4.6740000000000002E-3</v>
      </c>
      <c r="Y26" s="13">
        <v>4.6740000000000002E-3</v>
      </c>
      <c r="Z26" s="12">
        <v>4.6740000000000002E-3</v>
      </c>
      <c r="AA26" s="13">
        <f>Z26</f>
        <v>4.6740000000000002E-3</v>
      </c>
      <c r="AB26" s="13">
        <f>AA26</f>
        <v>4.6740000000000002E-3</v>
      </c>
      <c r="AC26" s="13">
        <f>AB26</f>
        <v>4.6740000000000002E-3</v>
      </c>
      <c r="AD26" s="13">
        <v>4.6740000000000002E-3</v>
      </c>
      <c r="AE26" s="13">
        <v>4.6740000000000002E-3</v>
      </c>
      <c r="AF26" s="13">
        <v>4.6740000000000002E-3</v>
      </c>
      <c r="AG26" s="13">
        <v>4.6740000000000002E-3</v>
      </c>
      <c r="AH26" s="13">
        <v>4.6740000000000002E-3</v>
      </c>
      <c r="AI26" s="13">
        <v>4.6740000000000002E-3</v>
      </c>
      <c r="AJ26" s="13">
        <v>4.6740000000000002E-3</v>
      </c>
      <c r="AK26" s="13">
        <v>4.6740000000000002E-3</v>
      </c>
      <c r="AL26" s="13">
        <v>4.6740000000000002E-3</v>
      </c>
      <c r="AM26" s="13">
        <v>4.6740000000000002E-3</v>
      </c>
      <c r="AN26" s="13">
        <v>4.6740000000000002E-3</v>
      </c>
      <c r="AO26" s="13">
        <v>4.6740000000000002E-3</v>
      </c>
      <c r="AP26" s="13">
        <v>4.6740000000000002E-3</v>
      </c>
      <c r="AQ26" s="13">
        <v>4.6740000000000002E-3</v>
      </c>
      <c r="AR26" s="18">
        <v>3.9110000000000004E-3</v>
      </c>
      <c r="AS26" s="13">
        <v>3.9110000000000004E-3</v>
      </c>
      <c r="AT26" s="13">
        <v>3.9110000000000004E-3</v>
      </c>
      <c r="AU26" s="13">
        <v>3.9110000000000004E-3</v>
      </c>
      <c r="AV26" s="13">
        <v>3.9110000000000004E-3</v>
      </c>
      <c r="AW26" s="13">
        <v>3.9110000000000004E-3</v>
      </c>
      <c r="AX26" s="13">
        <v>3.9110000000000004E-3</v>
      </c>
      <c r="AY26" s="13">
        <v>3.9110000000000004E-3</v>
      </c>
      <c r="AZ26" s="13">
        <v>3.9110000000000004E-3</v>
      </c>
      <c r="BA26" s="13">
        <v>3.9110000000000004E-3</v>
      </c>
      <c r="BB26" s="13">
        <v>3.9110000000000004E-3</v>
      </c>
      <c r="BC26" s="13">
        <v>3.9110000000000004E-3</v>
      </c>
      <c r="BD26" s="13">
        <v>3.9439999999999996E-3</v>
      </c>
      <c r="BE26" s="13">
        <v>3.9439999999999996E-3</v>
      </c>
      <c r="BF26" s="13">
        <v>3.9439999999999996E-3</v>
      </c>
      <c r="BG26" s="13">
        <v>3.9439999999999996E-3</v>
      </c>
      <c r="BH26" s="13">
        <v>3.9439999999999996E-3</v>
      </c>
      <c r="BI26" s="13">
        <v>3.9439999999999996E-3</v>
      </c>
      <c r="BJ26" s="13">
        <v>3.9439999999999996E-3</v>
      </c>
      <c r="BK26" s="13">
        <v>3.9439999999999996E-3</v>
      </c>
      <c r="BL26" s="13">
        <v>3.9439999999999996E-3</v>
      </c>
      <c r="BM26" s="13">
        <v>3.9439999999999996E-3</v>
      </c>
      <c r="BN26" s="13">
        <v>3.9439999999999996E-3</v>
      </c>
      <c r="BO26" s="13">
        <v>3.9439999999999996E-3</v>
      </c>
      <c r="BP26" s="13">
        <v>2.3349999999999998E-3</v>
      </c>
      <c r="BQ26" s="13">
        <v>2.3349999999999998E-3</v>
      </c>
      <c r="BR26" s="13">
        <v>2.3349999999999998E-3</v>
      </c>
      <c r="BS26" s="13">
        <v>2.3349999999999998E-3</v>
      </c>
      <c r="BT26" s="13">
        <v>2.3349999999999998E-3</v>
      </c>
      <c r="BU26" s="13">
        <v>2.3349999999999998E-3</v>
      </c>
      <c r="BV26" s="13">
        <v>2.3349999999999998E-3</v>
      </c>
      <c r="BW26" s="13">
        <v>2.3349999999999998E-3</v>
      </c>
      <c r="BX26" s="13">
        <v>2.3349999999999998E-3</v>
      </c>
      <c r="BY26" s="13">
        <v>2.3349999999999998E-3</v>
      </c>
      <c r="BZ26" s="13">
        <v>2.3349999999999998E-3</v>
      </c>
      <c r="CA26" s="13">
        <v>2.3349999999999998E-3</v>
      </c>
      <c r="CB26" s="12">
        <v>1.258E-3</v>
      </c>
      <c r="CC26" s="13">
        <v>1.258E-3</v>
      </c>
      <c r="CD26" s="13">
        <v>1.258E-3</v>
      </c>
      <c r="CE26" s="13">
        <v>1.258E-3</v>
      </c>
      <c r="CF26" s="13">
        <v>1.258E-3</v>
      </c>
      <c r="CG26" s="13">
        <v>1.258E-3</v>
      </c>
      <c r="CH26" s="13">
        <v>1.258E-3</v>
      </c>
      <c r="CI26" s="13">
        <v>1.258E-3</v>
      </c>
      <c r="CJ26" s="13">
        <v>1.258E-3</v>
      </c>
      <c r="CK26" s="13">
        <v>1.258E-3</v>
      </c>
      <c r="CL26" s="13">
        <v>1.258E-3</v>
      </c>
      <c r="CM26" s="13">
        <v>1.258E-3</v>
      </c>
      <c r="CN26" s="12">
        <v>1.1850000000000001E-3</v>
      </c>
      <c r="CO26" s="13">
        <v>1.1850000000000001E-3</v>
      </c>
      <c r="CP26" s="13">
        <v>1.1850000000000001E-3</v>
      </c>
      <c r="CQ26" s="13">
        <v>1.1850000000000001E-3</v>
      </c>
      <c r="CR26" s="13">
        <v>1.1850000000000001E-3</v>
      </c>
      <c r="CS26" s="12">
        <f>0.2003/100</f>
        <v>2.003E-3</v>
      </c>
      <c r="CT26" s="12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</row>
    <row r="27" spans="1:145" s="4" customFormat="1" x14ac:dyDescent="0.2">
      <c r="A27" s="5" t="s">
        <v>17</v>
      </c>
      <c r="B27" s="13"/>
      <c r="C27" s="13"/>
      <c r="D27" s="13"/>
      <c r="E27" s="13"/>
      <c r="F27" s="13"/>
      <c r="G27" s="13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8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2"/>
      <c r="CC27" s="13"/>
      <c r="CD27" s="13"/>
      <c r="CE27" s="13"/>
      <c r="CF27" s="13"/>
      <c r="CG27" s="13"/>
      <c r="CH27" s="13"/>
      <c r="CI27" s="13"/>
      <c r="CJ27" s="13"/>
      <c r="CK27" s="12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</row>
    <row r="28" spans="1:145" s="4" customFormat="1" x14ac:dyDescent="0.2">
      <c r="A28" s="5" t="s">
        <v>18</v>
      </c>
      <c r="B28" s="13"/>
      <c r="C28" s="13"/>
      <c r="D28" s="13"/>
      <c r="E28" s="13"/>
      <c r="F28" s="13"/>
      <c r="G28" s="13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8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2"/>
      <c r="CC28" s="13"/>
      <c r="CD28" s="13"/>
      <c r="CE28" s="13"/>
      <c r="CF28" s="13"/>
      <c r="CG28" s="13"/>
      <c r="CH28" s="13"/>
      <c r="CI28" s="13"/>
      <c r="CJ28" s="13"/>
      <c r="CK28" s="12">
        <f>0.000041+0.003231</f>
        <v>3.2719999999999997E-3</v>
      </c>
      <c r="CL28" s="13">
        <f>0.000041+0.003231</f>
        <v>3.2719999999999997E-3</v>
      </c>
      <c r="CM28" s="13">
        <f>0.000041+0.003231</f>
        <v>3.2719999999999997E-3</v>
      </c>
      <c r="CN28" s="13">
        <f>0.000041+0.003231</f>
        <v>3.2719999999999997E-3</v>
      </c>
      <c r="CO28" s="13">
        <f t="shared" ref="CO28:CP28" si="19">0.000041+0.003231</f>
        <v>3.2719999999999997E-3</v>
      </c>
      <c r="CP28" s="13">
        <f t="shared" si="19"/>
        <v>3.2719999999999997E-3</v>
      </c>
      <c r="CQ28" s="13">
        <v>3.2720000000000002E-3</v>
      </c>
      <c r="CR28" s="13">
        <v>3.2720000000000002E-3</v>
      </c>
      <c r="CS28" s="13">
        <v>3.2720000000000002E-3</v>
      </c>
      <c r="CT28" s="13">
        <v>3.2720000000000002E-3</v>
      </c>
      <c r="CU28" s="13">
        <v>3.2720000000000002E-3</v>
      </c>
      <c r="CV28" s="13">
        <v>3.2720000000000002E-3</v>
      </c>
      <c r="CW28" s="13">
        <v>3.8070000000000001E-3</v>
      </c>
      <c r="CX28" s="13">
        <v>3.8070000000000001E-3</v>
      </c>
      <c r="CY28" s="13">
        <v>3.8070000000000001E-3</v>
      </c>
      <c r="CZ28" s="13">
        <v>3.8070000000000001E-3</v>
      </c>
      <c r="DA28" s="13">
        <v>3.8070000000000001E-3</v>
      </c>
      <c r="DB28" s="13">
        <v>3.8070000000000001E-3</v>
      </c>
      <c r="DC28" s="13">
        <v>3.8070000000000001E-3</v>
      </c>
      <c r="DD28" s="13">
        <v>3.8070000000000001E-3</v>
      </c>
      <c r="DE28" s="13">
        <v>3.8070000000000001E-3</v>
      </c>
      <c r="DF28" s="13">
        <v>3.8070000000000001E-3</v>
      </c>
      <c r="DG28" s="13">
        <v>3.8070000000000001E-3</v>
      </c>
      <c r="DH28" s="13">
        <v>3.8070000000000001E-3</v>
      </c>
      <c r="DI28" s="12">
        <v>3.4220000000000001E-3</v>
      </c>
      <c r="DJ28" s="13">
        <v>3.4220000000000001E-3</v>
      </c>
      <c r="DK28" s="13">
        <v>3.4220000000000001E-3</v>
      </c>
      <c r="DL28" s="13">
        <v>3.4220000000000001E-3</v>
      </c>
      <c r="DM28" s="13">
        <v>3.4220000000000001E-3</v>
      </c>
      <c r="DN28" s="13">
        <v>3.4220000000000001E-3</v>
      </c>
      <c r="DO28" s="13">
        <v>3.4220000000000001E-3</v>
      </c>
      <c r="DP28" s="13">
        <v>3.4220000000000001E-3</v>
      </c>
      <c r="DQ28" s="13">
        <v>3.4220000000000001E-3</v>
      </c>
      <c r="DR28" s="13">
        <v>3.4220000000000001E-3</v>
      </c>
      <c r="DS28" s="13">
        <v>3.4220000000000001E-3</v>
      </c>
      <c r="DT28" s="13">
        <v>3.4220000000000001E-3</v>
      </c>
      <c r="DU28" s="12">
        <v>4.627E-3</v>
      </c>
      <c r="DV28" s="13">
        <v>4.627E-3</v>
      </c>
      <c r="DW28" s="13">
        <v>4.627E-3</v>
      </c>
      <c r="DX28" s="13">
        <v>4.627E-3</v>
      </c>
      <c r="DY28" s="13">
        <v>4.627E-3</v>
      </c>
      <c r="DZ28" s="13">
        <v>4.627E-3</v>
      </c>
      <c r="EA28" s="13">
        <v>4.627E-3</v>
      </c>
      <c r="EB28" s="13">
        <v>4.627E-3</v>
      </c>
      <c r="EC28" s="13">
        <v>4.627E-3</v>
      </c>
      <c r="ED28" s="13">
        <v>4.627E-3</v>
      </c>
      <c r="EE28" s="13">
        <v>4.627E-3</v>
      </c>
      <c r="EF28" s="13">
        <v>4.627E-3</v>
      </c>
      <c r="EG28" s="13">
        <f>0.5389/100</f>
        <v>5.3890000000000006E-3</v>
      </c>
      <c r="EH28" s="13">
        <f>0.5389/100</f>
        <v>5.3890000000000006E-3</v>
      </c>
      <c r="EI28" s="13">
        <f>0.5389/100</f>
        <v>5.3890000000000006E-3</v>
      </c>
    </row>
    <row r="29" spans="1:145" s="4" customFormat="1" x14ac:dyDescent="0.2">
      <c r="A29" s="5" t="s">
        <v>19</v>
      </c>
      <c r="B29" s="13"/>
      <c r="C29" s="13"/>
      <c r="D29" s="13"/>
      <c r="E29" s="13"/>
      <c r="F29" s="13"/>
      <c r="G29" s="13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8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2"/>
      <c r="CC29" s="13"/>
      <c r="CD29" s="13"/>
      <c r="CE29" s="13"/>
      <c r="CF29" s="13"/>
      <c r="CG29" s="13"/>
      <c r="CH29" s="13"/>
      <c r="CI29" s="13"/>
      <c r="CJ29" s="13"/>
      <c r="CK29" s="12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2">
        <v>1.5E-3</v>
      </c>
      <c r="CZ29" s="13">
        <v>1.5E-3</v>
      </c>
      <c r="DA29" s="13">
        <v>1.5E-3</v>
      </c>
      <c r="DB29" s="13">
        <v>1.5E-3</v>
      </c>
      <c r="DC29" s="13">
        <v>1.5E-3</v>
      </c>
      <c r="DD29" s="13">
        <v>1.5E-3</v>
      </c>
      <c r="DE29" s="13">
        <v>1.5E-3</v>
      </c>
      <c r="DF29" s="13">
        <v>1.5E-3</v>
      </c>
      <c r="DG29" s="13">
        <v>1.5E-3</v>
      </c>
      <c r="DH29" s="13">
        <v>1.5E-3</v>
      </c>
      <c r="DI29" s="13">
        <v>1.5E-3</v>
      </c>
      <c r="DJ29" s="12">
        <v>1.1000000000000001E-3</v>
      </c>
      <c r="DK29" s="13">
        <v>1.1000000000000001E-3</v>
      </c>
      <c r="DL29" s="13">
        <v>1.1000000000000001E-3</v>
      </c>
      <c r="DM29" s="13">
        <v>1.1000000000000001E-3</v>
      </c>
      <c r="DN29" s="13">
        <v>1.1000000000000001E-3</v>
      </c>
      <c r="DO29" s="13">
        <v>1.1000000000000001E-3</v>
      </c>
      <c r="DP29" s="13">
        <v>1.1000000000000001E-3</v>
      </c>
      <c r="DQ29" s="13">
        <v>1.1000000000000001E-3</v>
      </c>
      <c r="DR29" s="13">
        <v>1.1000000000000001E-3</v>
      </c>
      <c r="DS29" s="13">
        <v>1.1000000000000001E-3</v>
      </c>
      <c r="DT29" s="13">
        <v>1.1000000000000001E-3</v>
      </c>
      <c r="DU29" s="13">
        <v>1.1000000000000001E-3</v>
      </c>
      <c r="DV29" s="13">
        <v>1.1000000000000001E-3</v>
      </c>
      <c r="DW29" s="13">
        <v>1.1000000000000001E-3</v>
      </c>
      <c r="DX29" s="13">
        <v>1.1000000000000001E-3</v>
      </c>
      <c r="DY29" s="13">
        <v>1.1000000000000001E-3</v>
      </c>
      <c r="DZ29" s="13">
        <v>1.1000000000000001E-3</v>
      </c>
      <c r="EA29" s="13">
        <v>1.1000000000000001E-3</v>
      </c>
      <c r="EB29" s="13">
        <v>1.1000000000000001E-3</v>
      </c>
      <c r="EC29" s="13">
        <v>1.1000000000000001E-3</v>
      </c>
      <c r="ED29" s="13">
        <v>1.1000000000000001E-3</v>
      </c>
      <c r="EE29" s="13">
        <v>1.1000000000000001E-3</v>
      </c>
      <c r="EF29" s="13">
        <v>1.1000000000000001E-3</v>
      </c>
      <c r="EG29" s="13">
        <v>1.1000000000000001E-3</v>
      </c>
      <c r="EH29" s="13">
        <v>1.1000000000000001E-3</v>
      </c>
      <c r="EI29" s="13">
        <v>1.1000000000000001E-3</v>
      </c>
    </row>
    <row r="30" spans="1:145" s="4" customFormat="1" x14ac:dyDescent="0.2">
      <c r="A30" s="5" t="s">
        <v>20</v>
      </c>
      <c r="B30" s="13"/>
      <c r="C30" s="13"/>
      <c r="D30" s="13"/>
      <c r="E30" s="13"/>
      <c r="F30" s="13"/>
      <c r="G30" s="13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2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8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2"/>
      <c r="CC30" s="13"/>
      <c r="CD30" s="13"/>
      <c r="CE30" s="13"/>
      <c r="CF30" s="13"/>
      <c r="CG30" s="13"/>
      <c r="CH30" s="13"/>
      <c r="CI30" s="13"/>
      <c r="CJ30" s="13"/>
      <c r="CK30" s="12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2"/>
      <c r="CZ30" s="13"/>
      <c r="DA30" s="13"/>
      <c r="DB30" s="13"/>
      <c r="DC30" s="13"/>
      <c r="DD30" s="13"/>
      <c r="DE30" s="13"/>
      <c r="DF30" s="12">
        <v>-7.4999999999999997E-3</v>
      </c>
      <c r="DG30" s="13">
        <v>-7.4999999999999997E-3</v>
      </c>
      <c r="DH30" s="13">
        <v>-7.4999999999999997E-3</v>
      </c>
      <c r="DI30" s="13">
        <v>-7.4999999999999997E-3</v>
      </c>
      <c r="DJ30" s="13">
        <v>-7.4999999999999997E-3</v>
      </c>
      <c r="DK30" s="13">
        <v>-7.4999999999999997E-3</v>
      </c>
      <c r="DL30" s="13">
        <v>-7.4999999999999997E-3</v>
      </c>
      <c r="DM30" s="13">
        <v>-7.4999999999999997E-3</v>
      </c>
      <c r="DN30" s="13">
        <v>-7.4999999999999997E-3</v>
      </c>
      <c r="DO30" s="13">
        <v>-7.4999999999999997E-3</v>
      </c>
      <c r="DP30" s="13">
        <v>-7.4999999999999997E-3</v>
      </c>
      <c r="DQ30" s="13">
        <v>-7.4999999999999997E-3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</row>
    <row r="31" spans="1:145" x14ac:dyDescent="0.2">
      <c r="A31" s="5" t="s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5"/>
      <c r="EK31" s="5"/>
      <c r="EL31" s="5"/>
      <c r="EM31" s="5"/>
      <c r="EN31" s="5"/>
      <c r="EO31" s="5"/>
    </row>
    <row r="32" spans="1:145" ht="14.5" x14ac:dyDescent="0.35">
      <c r="CD32"/>
      <c r="CE32"/>
    </row>
    <row r="33" spans="82:83" ht="14.5" x14ac:dyDescent="0.35">
      <c r="CD33"/>
      <c r="CE33"/>
    </row>
    <row r="34" spans="82:83" ht="14.5" x14ac:dyDescent="0.35">
      <c r="CD34"/>
      <c r="CE34"/>
    </row>
    <row r="35" spans="82:83" ht="14.5" x14ac:dyDescent="0.35">
      <c r="CD35"/>
      <c r="CE35"/>
    </row>
    <row r="36" spans="82:83" ht="14.5" x14ac:dyDescent="0.35">
      <c r="CD36"/>
      <c r="CE36"/>
    </row>
    <row r="37" spans="82:83" ht="14.5" x14ac:dyDescent="0.35">
      <c r="CD37"/>
      <c r="CE37"/>
    </row>
    <row r="38" spans="82:83" ht="14.5" x14ac:dyDescent="0.35">
      <c r="CD38"/>
      <c r="CE38"/>
    </row>
    <row r="39" spans="82:83" ht="14.5" x14ac:dyDescent="0.35">
      <c r="CD39"/>
      <c r="CE39"/>
    </row>
    <row r="40" spans="82:83" ht="14.5" x14ac:dyDescent="0.35">
      <c r="CD40"/>
      <c r="CE40"/>
    </row>
    <row r="41" spans="82:83" ht="14.5" x14ac:dyDescent="0.35">
      <c r="CD41"/>
      <c r="CE41"/>
    </row>
    <row r="42" spans="82:83" ht="14.5" x14ac:dyDescent="0.35">
      <c r="CD42"/>
      <c r="CE42"/>
    </row>
  </sheetData>
  <hyperlinks>
    <hyperlink ref="ED7" r:id="rId1" location="page=517" display="https://www.coned.com/_external/cerates/documents/elecPSC10/electric-tariff.pdf - page=517" xr:uid="{C203FAC3-4A0B-42FE-89A4-55EF3C7B8172}"/>
    <hyperlink ref="ED8" r:id="rId2" location="page=517" display="https://www.coned.com/_external/cerates/documents/elecPSC10/electric-tariff.pdf - page=517" xr:uid="{EFE4C2A2-C373-4E8B-8F81-CCC45C0595FC}"/>
    <hyperlink ref="ED9" r:id="rId3" location="page=517" display="https://www.coned.com/_external/cerates/documents/elecPSC10/electric-tariff.pdf - page=517" xr:uid="{2D382CD9-3E5F-4FC1-86BF-7D34D01E57B0}"/>
    <hyperlink ref="ED10" r:id="rId4" display="https://www.coned.com/_external/cerates/documents/elecPSC10/StatSDR-10.pdf" xr:uid="{53BC13AA-355D-4C2E-B408-82F319F8EF05}"/>
    <hyperlink ref="ED11" r:id="rId5" location="page=153" display="https://www.coned.com/_external/cerates/documents/elecPSC10/electric-tariff.pdf - page=153" xr:uid="{959C3F2F-6008-49D0-A23B-D90A0EB24DDA}"/>
    <hyperlink ref="ED12" r:id="rId6" display="https://www.coned.com/_external/cerates/documents/elecPSC10/StatRDM-26.pdf" xr:uid="{8E0390C9-E8B1-4598-918A-BCDCC441158D}"/>
    <hyperlink ref="ED13" r:id="rId7" display="https://www.coned.com/_external/cerates/documents/elecPSC10/StatMAC-108.pdf" xr:uid="{00EDC04F-BC60-4A7E-8506-E5ABA83E486C}"/>
    <hyperlink ref="ED14" r:id="rId8" display="https://www.coned.com/_external/cerates/documents/elecPSC10/MACAdjCurrentPSCNo10.pdf" xr:uid="{67B25510-0754-4891-9818-AAF03708F4D2}"/>
    <hyperlink ref="ED15" r:id="rId9" display="https://www.coned.com/_external/cerates/documents/elecPSC10/MACAdjCurrentPSCNo10.pdf" xr:uid="{AC7889FA-847E-4300-BF3B-2ADA8217589C}"/>
    <hyperlink ref="ED16" r:id="rId10" display="https://www.coned.com/_external/cerates/documents/elecPSC10/StatSBC-11.pdf" xr:uid="{22B67FAC-44E3-48DB-8593-26925D04CA08}"/>
    <hyperlink ref="ED18" r:id="rId11" display="https://www.coned.com/_external/cerates/documents/elecPSC10/StatVDER-CR-4.pdf" xr:uid="{E7AB03CB-CA12-4389-9CD5-638450AB4299}"/>
    <hyperlink ref="ED19" r:id="rId12" display="https://apps.coned.com/CEMyAccount/csol/MSCcc.aspx" xr:uid="{2947B703-FDA1-4C7E-8BF8-609ACFE5080C}"/>
    <hyperlink ref="ED20" r:id="rId13" display="https://www.coned.com/_external/cerates/documents/elecPSC10/StatMFC-110.pdf" xr:uid="{92134EB5-7DE8-4356-AF54-6885EAA5877A}"/>
    <hyperlink ref="ED21" r:id="rId14" display="https://www.coned.com/_external/cerates/documents/elecPSC10/StatGRT-20.pdf" xr:uid="{EB504ED7-436D-4433-A453-E305D447DE2D}"/>
    <hyperlink ref="ED22" r:id="rId15" display="https://www.coned.com/_external/cerates/documents/elecPSC10/StatGRT-20.pdf" xr:uid="{4707A073-AF57-4B41-B168-B64E67DFB485}"/>
    <hyperlink ref="ED23" r:id="rId16" display="https://www.coned.com/_external/cerates/documents/elecPSC10/MACAdjCurrentPSCNo10.pdf" xr:uid="{936561CF-CC0C-46E7-9057-58D39E6BE3E2}"/>
    <hyperlink ref="ED24" r:id="rId17" display="https://www.coned.com/_external/cerates/documents/elecPSC10/MSCAdjCurrentPSCNo10.pdf" xr:uid="{3F50634B-4F02-4224-A682-279F3A41FA61}"/>
    <hyperlink ref="ED25" r:id="rId18" location="page=2" display="https://www.coned.com/_external/cerates/documents/elecPSC10/MSCAdjCurrentPSCNo10.pdf - page=2" xr:uid="{FE15E2D8-3F32-43BA-BD42-17682DA5451C}"/>
    <hyperlink ref="ED27" r:id="rId19" display="https://www.coned.com/_external/cerates/documents/elecPSC10/StatCESD-1.pdf" xr:uid="{E405742F-B7E4-484F-B337-04A14BFD922C}"/>
    <hyperlink ref="ED28" r:id="rId20" display="https://www.coned.com/_external/cerates/documents/elecPSC10/StatCESS-5.pdf" xr:uid="{A3AC68AD-56AA-4092-8C56-B4E08F412514}"/>
    <hyperlink ref="ED29" r:id="rId21" display="https://www.coned.com/_external/cerates/documents/elecPSC10/StatDLM-4.pdf" xr:uid="{93C82D27-8D0D-4827-AF2B-DCD3DAAF1E82}"/>
    <hyperlink ref="ED31" r:id="rId22" display="https://www.coned.com/_external/cerates/documents/elecPSC10/StatVDER-CR-4.pdf" xr:uid="{95AF5D8F-7799-43BE-AC6E-EA983759D04B}"/>
    <hyperlink ref="EE7" r:id="rId23" location="page=517" display="https://www.coned.com/_external/cerates/documents/elecPSC10/electric-tariff.pdf - page=517" xr:uid="{185558CB-2F77-4FEA-B9A7-BA86221E73D9}"/>
    <hyperlink ref="EE8" r:id="rId24" location="page=517" display="https://www.coned.com/_external/cerates/documents/elecPSC10/electric-tariff.pdf - page=517" xr:uid="{04ED8A0E-DD09-499C-A3A8-A95EACA2ABFD}"/>
    <hyperlink ref="EE9" r:id="rId25" location="page=517" display="https://www.coned.com/_external/cerates/documents/elecPSC10/electric-tariff.pdf - page=517" xr:uid="{94D6FEA6-1815-4305-860C-350CC8EAB81E}"/>
    <hyperlink ref="EE10" r:id="rId26" display="https://www.coned.com/_external/cerates/documents/elecPSC10/StatSDR-10.pdf" xr:uid="{ADA28BF7-A957-4D37-8372-51BBCAE93363}"/>
    <hyperlink ref="EE11" r:id="rId27" location="page=153" display="https://www.coned.com/_external/cerates/documents/elecPSC10/electric-tariff.pdf - page=153" xr:uid="{307AC43F-4414-4511-A53A-B9817D3ACA92}"/>
    <hyperlink ref="EE12" r:id="rId28" display="https://www.coned.com/_external/cerates/documents/elecPSC10/StatRDM-27.pdf" xr:uid="{791FC0F0-387B-4D61-8812-3BE4617E232D}"/>
    <hyperlink ref="EE13" r:id="rId29" display="https://www.coned.com/_external/cerates/documents/elecPSC10/StatMAC-109.pdf" xr:uid="{008820D0-C0EA-4EFE-9CBC-6A3F77BAB53D}"/>
    <hyperlink ref="EE14" r:id="rId30" display="https://www.coned.com/_external/cerates/documents/elecPSC10/MACAdjCurrentPSCNo10.pdf" xr:uid="{FD40DDE0-6E25-4F4D-8ADF-AA2A8357C56C}"/>
    <hyperlink ref="EE15" r:id="rId31" display="https://www.coned.com/_external/cerates/documents/elecPSC10/MACAdjCurrentPSCNo10.pdf" xr:uid="{E4C1D330-BC87-4143-B588-41F100ACBA42}"/>
    <hyperlink ref="EE16" r:id="rId32" display="https://www.coned.com/_external/cerates/documents/elecPSC10/StatSBC-11.pdf" xr:uid="{B41A0882-D62E-4EF8-881C-BCDBB46AB426}"/>
    <hyperlink ref="EE18" r:id="rId33" display="https://www.coned.com/_external/cerates/documents/elecPSC10/StatVDER-CR-4.pdf" xr:uid="{B25CDD5B-F8FA-4283-A68B-3F10F8B333A4}"/>
    <hyperlink ref="EE20" r:id="rId34" display="https://www.coned.com/_external/cerates/documents/elecPSC10/StatMFC-111.pdf" xr:uid="{6FC0B92B-93DC-44DB-812F-B7D7A305111B}"/>
    <hyperlink ref="EE21" r:id="rId35" display="https://www.coned.com/_external/cerates/documents/elecPSC10/StatGRT-20.pdf" xr:uid="{E2109A61-9828-43E5-8E45-B1F81EDAB166}"/>
    <hyperlink ref="EE22" r:id="rId36" display="https://www.coned.com/_external/cerates/documents/elecPSC10/StatGRT-20.pdf" xr:uid="{00950D1F-6499-4D74-A237-C90AB52194AF}"/>
    <hyperlink ref="EE23" r:id="rId37" display="https://www.coned.com/_external/cerates/documents/elecPSC10/MACAdjCurrentPSCNo10.pdf" xr:uid="{2D57FB38-E8D1-4C4E-B8F7-72079A91191D}"/>
    <hyperlink ref="EE24" r:id="rId38" display="https://www.coned.com/_external/cerates/documents/elecPSC10/MSCAdjCurrentPSCNo10.pdf" xr:uid="{D82E0991-D0EA-4A8C-95EE-2A4A792343E3}"/>
    <hyperlink ref="EE25" r:id="rId39" location="page=2" display="https://www.coned.com/_external/cerates/documents/elecPSC10/MSCAdjCurrentPSCNo10.pdf - page=2" xr:uid="{F34AA00E-9459-43F0-AB2D-4539A4DBABE7}"/>
    <hyperlink ref="EE27" r:id="rId40" display="https://www.coned.com/_external/cerates/documents/elecPSC10/StatCESD-1.pdf" xr:uid="{BD0B9417-6ACF-4320-A0E8-79B614DCE579}"/>
    <hyperlink ref="EE28" r:id="rId41" display="https://www.coned.com/_external/cerates/documents/elecPSC10/StatCESS-5.pdf" xr:uid="{6A6C5B96-A05E-4C5B-969C-4575BA59F67D}"/>
    <hyperlink ref="EE29" r:id="rId42" display="https://www.coned.com/_external/cerates/documents/elecPSC10/StatDLM-4.pdf" xr:uid="{71D29A9D-9184-4D04-9D3D-F068D1ED7785}"/>
    <hyperlink ref="EE31" r:id="rId43" display="https://www.coned.com/_external/cerates/documents/elecPSC10/StatVDER-CR-4.pdf" xr:uid="{C0F302C1-0BD2-4A37-ACD7-060EA7D4C3C1}"/>
    <hyperlink ref="EF8" r:id="rId44" location="page=517" display="https://www.coned.com/_external/cerates/documents/elecPSC10/electric-tariff.pdf - page=517" xr:uid="{DB604C3C-21CA-4A0D-90D9-03D05F190438}"/>
    <hyperlink ref="EF9" r:id="rId45" location="page=517" display="https://www.coned.com/_external/cerates/documents/elecPSC10/electric-tariff.pdf - page=517" xr:uid="{ACDEE04B-98C5-4F92-899C-9EE3CA118540}"/>
    <hyperlink ref="EF10" r:id="rId46" display="https://www.coned.com/_external/cerates/documents/elecPSC10/StatSDR-10.pdf" xr:uid="{7CB3E3BA-F0D1-4658-A9DB-FF8C2FDE7C41}"/>
    <hyperlink ref="EF11" r:id="rId47" location="page=153" display="https://www.coned.com/_external/cerates/documents/elecPSC10/electric-tariff.pdf - page=153" xr:uid="{928D339E-8E49-4D7E-A9C1-59DF1B17C5D9}"/>
    <hyperlink ref="EF12" r:id="rId48" display="https://www.coned.com/_external/cerates/documents/elecPSC10/StatRDM-27.pdf" xr:uid="{BC7B4C4A-6006-4214-B105-C043429B6D38}"/>
    <hyperlink ref="EF13" r:id="rId49" display="https://www.coned.com/_external/cerates/documents/elecPSC10/StatMAC-109.pdf" xr:uid="{1D4AA37C-000F-4E1E-B4C7-62795D0A754E}"/>
    <hyperlink ref="EF14" r:id="rId50" display="https://www.coned.com/_external/cerates/documents/elecPSC10/MACAdjCurrentPSCNo10.pdf" xr:uid="{1F703244-D364-47BE-BFAE-EC461F55DEEB}"/>
    <hyperlink ref="EF15" r:id="rId51" display="https://www.coned.com/_external/cerates/documents/elecPSC10/MACAdjCurrentPSCNo10.pdf" xr:uid="{085EFA1A-5C51-4967-9FDE-A3975B2A0C68}"/>
    <hyperlink ref="EF16" r:id="rId52" display="https://www.coned.com/_external/cerates/documents/elecPSC10/StatSBC-11.pdf" xr:uid="{20D784AB-3568-40C7-A74E-909E43677A71}"/>
    <hyperlink ref="EF18" r:id="rId53" display="https://www.coned.com/_external/cerates/documents/elecPSC10/StatVDER-CR-4.pdf" xr:uid="{F698EB8A-630A-4F25-BA99-160FA474523D}"/>
    <hyperlink ref="EF20" r:id="rId54" display="https://www.coned.com/_external/cerates/documents/elecPSC10/StatMFC-111.pdf" xr:uid="{8E6D3F48-887B-4C9D-8A7E-3046A41AA3B9}"/>
    <hyperlink ref="EF21" r:id="rId55" display="https://www.coned.com/_external/cerates/documents/elecPSC10/StatGRT-20.pdf" xr:uid="{B35998E4-B74E-4090-BC55-20805BDA05D4}"/>
    <hyperlink ref="EF22" r:id="rId56" display="https://www.coned.com/_external/cerates/documents/elecPSC10/StatGRT-20.pdf" xr:uid="{30C20EFA-98B6-4CB7-816A-183F6AF420A0}"/>
    <hyperlink ref="EF23" r:id="rId57" display="https://www.coned.com/_external/cerates/documents/elecPSC10/MACAdjCurrentPSCNo10.pdf" xr:uid="{AD90FD2A-9E28-4439-983C-FD1A6CC091C8}"/>
    <hyperlink ref="EF24" r:id="rId58" display="https://www.coned.com/_external/cerates/documents/elecPSC10/MSCAdjCurrentPSCNo10.pdf" xr:uid="{CEEF303F-25E7-4298-8A33-2F2B766CBE7D}"/>
    <hyperlink ref="EF25" r:id="rId59" location="page=2" display="https://www.coned.com/_external/cerates/documents/elecPSC10/MSCAdjCurrentPSCNo10.pdf - page=2" xr:uid="{0EC82FD3-FA11-4975-978A-4EEFF21E01FC}"/>
    <hyperlink ref="EF27" r:id="rId60" display="https://www.coned.com/_external/cerates/documents/elecPSC10/StatCESD-1.pdf" xr:uid="{EBA2303E-B922-493E-A432-60CCB856BAF0}"/>
    <hyperlink ref="EF28" r:id="rId61" display="https://www.coned.com/_external/cerates/documents/elecPSC10/StatCESS-5.pdf" xr:uid="{C0A2AF50-5C46-4C36-A062-FCBDB663B8AC}"/>
    <hyperlink ref="EF29" r:id="rId62" display="https://www.coned.com/_external/cerates/documents/elecPSC10/StatDLM-4.pdf" xr:uid="{835E5FD0-FAB7-4B67-9BE0-014827AAD345}"/>
    <hyperlink ref="EF31" r:id="rId63" display="https://www.coned.com/_external/cerates/documents/elecPSC10/StatVDER-CR-4.pdf" xr:uid="{3CD75F2F-5EE2-4B7A-8001-6FBD515FB4B1}"/>
    <hyperlink ref="EF7" r:id="rId64" location="page=519" display="https://www.coned.com/_external/cerates/documents/elecPSC10/electric-tariff.pdf - page=519" xr:uid="{4FA1BDCD-2AD8-4A91-B258-5BA336D12F09}"/>
    <hyperlink ref="EG8" r:id="rId65" location="page=517" display="https://www.coned.com/_external/cerates/documents/elecPSC10/electric-tariff.pdf - page=517" xr:uid="{A4012836-F82C-49FD-B165-74DD1955AE48}"/>
    <hyperlink ref="EG9" r:id="rId66" location="page=517" display="https://www.coned.com/_external/cerates/documents/elecPSC10/electric-tariff.pdf - page=517" xr:uid="{0330321A-8245-4B30-9641-035C5C02652E}"/>
    <hyperlink ref="EG10" r:id="rId67" display="https://www.coned.com/_external/cerates/documents/elecPSC10/StatSDR-10.pdf" xr:uid="{09FDA246-3A2B-4EB8-AC9E-87FADBD82941}"/>
    <hyperlink ref="EG11" r:id="rId68" location="page=153" display="https://www.coned.com/_external/cerates/documents/elecPSC10/electric-tariff.pdf - page=153" xr:uid="{8DF8F406-049D-4F5B-AC83-D3FC88294DDD}"/>
    <hyperlink ref="EG12" r:id="rId69" display="https://www.coned.com/_external/cerates/documents/elecPSC10/StatRDM-27.pdf" xr:uid="{2FB4DDEA-016E-4781-B6B0-FE456DE07275}"/>
    <hyperlink ref="EG13" r:id="rId70" display="https://www.coned.com/_external/cerates/documents/elecPSC10/StatMAC-109.pdf" xr:uid="{A0472FFC-EE90-4805-9320-53F50A7A78CE}"/>
    <hyperlink ref="EG14" r:id="rId71" display="https://www.coned.com/_external/cerates/documents/elecPSC10/MACAdjCurrentPSCNo10.pdf" xr:uid="{92A5A62F-57C7-42D5-B957-F628BE051A80}"/>
    <hyperlink ref="EG15" r:id="rId72" display="https://www.coned.com/_external/cerates/documents/elecPSC10/MACAdjCurrentPSCNo10.pdf" xr:uid="{D15F1DD4-3539-4AAB-AAEA-BDB6A49C7DBC}"/>
    <hyperlink ref="EG16" r:id="rId73" display="https://www.coned.com/_external/cerates/documents/elecPSC10/StatSBC-11.pdf" xr:uid="{CCA0099C-BA2E-4767-BE31-95287D3BB34D}"/>
    <hyperlink ref="EG18" r:id="rId74" display="https://www.coned.com/_external/cerates/documents/elecPSC10/StatVDER-CR-4.pdf" xr:uid="{88885335-C699-4166-95C3-BBB3FCBA27E9}"/>
    <hyperlink ref="EG20" r:id="rId75" display="https://www.coned.com/_external/cerates/documents/elecPSC10/StatMFC-111.pdf" xr:uid="{25C74976-7E8F-4F75-8016-BAEF7894150C}"/>
    <hyperlink ref="EG21" r:id="rId76" display="https://www.coned.com/_external/cerates/documents/elecPSC10/StatGRT-20.pdf" xr:uid="{6B5C4783-E102-494A-8B99-F361FF5AE098}"/>
    <hyperlink ref="EG22" r:id="rId77" display="https://www.coned.com/_external/cerates/documents/elecPSC10/StatGRT-21.pdf" xr:uid="{91E4717C-73F5-461A-8EEE-AD48D4E0E9C9}"/>
    <hyperlink ref="EG23" r:id="rId78" display="https://www.coned.com/_external/cerates/documents/elecPSC10/MACAdjCurrentPSCNo10.pdf" xr:uid="{7469C3B4-BC28-4276-8956-9F4EAE0CE150}"/>
    <hyperlink ref="EG24" r:id="rId79" display="https://www.coned.com/_external/cerates/documents/elecPSC10/MSCAdjCurrentPSCNo10.pdf" xr:uid="{7864B737-3E96-4D55-B025-D34888CC5471}"/>
    <hyperlink ref="EG25" r:id="rId80" location="page=2" display="https://www.coned.com/_external/cerates/documents/elecPSC10/MSCAdjCurrentPSCNo10.pdf - page=2" xr:uid="{CB85420F-9EED-48C5-939C-970E12433BA9}"/>
    <hyperlink ref="EG27" r:id="rId81" display="https://www.coned.com/_external/cerates/documents/elecPSC10/StatCESD-1.pdf" xr:uid="{D6944DCE-315C-4DD0-9F08-67A0F353DDA5}"/>
    <hyperlink ref="EG28" r:id="rId82" display="https://www.coned.com/_external/cerates/documents/elecPSC10/StatCESS-5.pdf" xr:uid="{26AB01A5-066D-4335-810E-461A5E0C2454}"/>
    <hyperlink ref="EG29" r:id="rId83" display="https://www.coned.com/_external/cerates/documents/elecPSC10/StatDLM-4.pdf" xr:uid="{66E3D0CD-2E5D-4875-9142-29915CD10B60}"/>
    <hyperlink ref="EG31" r:id="rId84" display="https://www.coned.com/_external/cerates/documents/elecPSC10/StatVDER-CR-4.pdf" xr:uid="{20BE7989-5586-4BD6-890E-ABC25A224FAE}"/>
    <hyperlink ref="EG7" r:id="rId85" location="page=519" display="https://www.coned.com/_external/cerates/documents/elecPSC10/electric-tariff.pdf - page=519" xr:uid="{CF909A81-0449-4086-95C0-C0D33F013930}"/>
    <hyperlink ref="EH8" r:id="rId86" location="page=517" display="https://www.coned.com/_external/cerates/documents/elecPSC10/electric-tariff.pdf - page=517" xr:uid="{8F546DE7-5C14-4BD2-9D80-E706EC642A95}"/>
    <hyperlink ref="EH9" r:id="rId87" location="page=517" display="https://www.coned.com/_external/cerates/documents/elecPSC10/electric-tariff.pdf - page=517" xr:uid="{29818613-AC1C-4A77-B282-7FFCC2706CBA}"/>
    <hyperlink ref="EH10" r:id="rId88" display="https://www.coned.com/_external/cerates/documents/elecPSC10/StatSDR-10.pdf" xr:uid="{9EC841DC-5B22-48DB-A9C4-3F05A1AB7060}"/>
    <hyperlink ref="EH11" r:id="rId89" location="page=153" display="https://www.coned.com/_external/cerates/documents/elecPSC10/electric-tariff.pdf - page=153" xr:uid="{96B27A6C-C445-4353-8B09-301221F0CB26}"/>
    <hyperlink ref="EH12" r:id="rId90" display="https://www.coned.com/_external/cerates/documents/elecPSC10/StatRDM-27.pdf" xr:uid="{AAE5E1AD-6FB6-4D95-AFB5-272E7E69AFC7}"/>
    <hyperlink ref="EH13" r:id="rId91" display="https://www.coned.com/_external/cerates/documents/elecPSC10/StatMAC-109.pdf" xr:uid="{E0A85C01-4B98-4EE2-AC00-D6361B7ACCBE}"/>
    <hyperlink ref="EH14" r:id="rId92" display="https://www.coned.com/_external/cerates/documents/elecPSC10/MACAdjCurrentPSCNo10.pdf" xr:uid="{CBE19B22-F29E-4912-9A13-696CE19DEB5B}"/>
    <hyperlink ref="EH15" r:id="rId93" display="https://www.coned.com/_external/cerates/documents/elecPSC10/MACAdjCurrentPSCNo10.pdf" xr:uid="{1720E871-8F4E-458A-B637-1D46C53F4978}"/>
    <hyperlink ref="EH16" r:id="rId94" display="https://www.coned.com/_external/cerates/documents/elecPSC10/StatSBC-11.pdf" xr:uid="{8ACA6429-EA80-44E8-A8B7-A313B6C90361}"/>
    <hyperlink ref="EH18" r:id="rId95" display="https://www.coned.com/_external/cerates/documents/elecPSC10/StatVDER-CR-4.pdf" xr:uid="{7235DBE9-8200-4CFC-BD42-4ECDD90BABA2}"/>
    <hyperlink ref="EH20" r:id="rId96" display="https://www.coned.com/_external/cerates/documents/elecPSC10/StatMFC-111.pdf" xr:uid="{92FDED83-6652-47E6-B99D-DADE8B877911}"/>
    <hyperlink ref="EH21" r:id="rId97" display="https://www.coned.com/_external/cerates/documents/elecPSC10/StatGRT-20.pdf" xr:uid="{0A3D1A00-7EF5-4D5F-8A67-E310468B2A44}"/>
    <hyperlink ref="EH22" r:id="rId98" display="https://www.coned.com/_external/cerates/documents/elecPSC10/StatGRT-21.pdf" xr:uid="{7BB0B1FF-6E8B-4F81-B80A-ED7B1E27D8F1}"/>
    <hyperlink ref="EH23" r:id="rId99" display="https://www.coned.com/_external/cerates/documents/elecPSC10/MACAdjCurrentPSCNo10.pdf" xr:uid="{B191A8BB-4417-4CA1-AB1E-3F23C3A6C84B}"/>
    <hyperlink ref="EH24" r:id="rId100" display="https://www.coned.com/_external/cerates/documents/elecPSC10/MSCAdjCurrentPSCNo10.pdf" xr:uid="{BC531443-067E-4955-8803-2758D7C29B2C}"/>
    <hyperlink ref="EH25" r:id="rId101" location="page=2" display="https://www.coned.com/_external/cerates/documents/elecPSC10/MSCAdjCurrentPSCNo10.pdf - page=2" xr:uid="{9B2CD9B9-6039-437B-BAC8-32741102B585}"/>
    <hyperlink ref="EH27" r:id="rId102" display="https://www.coned.com/_external/cerates/documents/elecPSC10/StatCESD-1.pdf" xr:uid="{C8E745CB-5E70-44B1-8841-F3E21ACC7B50}"/>
    <hyperlink ref="EH28" r:id="rId103" display="https://www.coned.com/_external/cerates/documents/elecPSC10/StatCESS-5.pdf" xr:uid="{23632E3F-301A-4767-8F6E-2F5AF6C1CECE}"/>
    <hyperlink ref="EH29" r:id="rId104" display="https://www.coned.com/_external/cerates/documents/elecPSC10/StatDLM-4.pdf" xr:uid="{EE506D30-F11A-448C-BA0A-F3BA4216A0DE}"/>
    <hyperlink ref="EH31" r:id="rId105" display="https://www.coned.com/_external/cerates/documents/elecPSC10/StatVDER-CR-4.pdf" xr:uid="{DA420A4A-041A-40EB-AE0E-C8C81C53C6EA}"/>
    <hyperlink ref="EH7" r:id="rId106" location="page=519" display="https://www.coned.com/_external/cerates/documents/elecPSC10/electric-tariff.pdf - page=519" xr:uid="{E73207C0-42ED-420B-A7E4-FD50326959F4}"/>
    <hyperlink ref="EI8" r:id="rId107" location="page=517" display="https://www.coned.com/_external/cerates/documents/elecPSC10/electric-tariff.pdf - page=517" xr:uid="{CFC947FB-310F-4040-A1A4-A335B061F04D}"/>
    <hyperlink ref="EI9" r:id="rId108" location="page=517" display="https://www.coned.com/_external/cerates/documents/elecPSC10/electric-tariff.pdf - page=517" xr:uid="{97AC4F6F-DDF5-4B8F-885B-5E77095E1D1B}"/>
    <hyperlink ref="EI10" r:id="rId109" display="https://www.coned.com/_external/cerates/documents/elecPSC10/StatSDR-10.pdf" xr:uid="{36D35BD0-22F1-47C8-A53F-274628C6A989}"/>
    <hyperlink ref="EI11" r:id="rId110" location="page=153" display="https://www.coned.com/_external/cerates/documents/elecPSC10/electric-tariff.pdf - page=153" xr:uid="{63E29AA9-D63D-4665-894D-37448430AA75}"/>
    <hyperlink ref="EI12" r:id="rId111" display="https://www.coned.com/_external/cerates/documents/elecPSC10/StatRDM-27.pdf" xr:uid="{D9DB2941-E85F-4A15-92C7-D291AC7D40B2}"/>
    <hyperlink ref="EI13" r:id="rId112" display="https://www.coned.com/_external/cerates/documents/elecPSC10/StatMAC-109.pdf" xr:uid="{AB548AC4-E459-4A12-891F-EFC4B042E74C}"/>
    <hyperlink ref="EI14" r:id="rId113" display="https://www.coned.com/_external/cerates/documents/elecPSC10/MACAdjCurrentPSCNo10.pdf" xr:uid="{3333DD53-0378-49D1-AE27-6473EDB4CF73}"/>
    <hyperlink ref="EI15" r:id="rId114" display="https://www.coned.com/_external/cerates/documents/elecPSC10/MACAdjCurrentPSCNo10.pdf" xr:uid="{C741673B-8121-42CF-9616-FED271AA5EEF}"/>
    <hyperlink ref="EI16" r:id="rId115" display="https://www.coned.com/_external/cerates/documents/elecPSC10/StatSBC-11.pdf" xr:uid="{28D1952F-ABAD-4078-A857-C08493D745E2}"/>
    <hyperlink ref="EI18" r:id="rId116" display="https://www.coned.com/_external/cerates/documents/elecPSC10/StatVDER-CR-4.pdf" xr:uid="{CB71F465-5149-4016-A5D1-6C19444FC548}"/>
    <hyperlink ref="EI20" r:id="rId117" display="https://www.coned.com/_external/cerates/documents/elecPSC10/StatMFC-111.pdf" xr:uid="{10038488-8B9A-49D1-9161-C7F2F2C0F707}"/>
    <hyperlink ref="EI21" r:id="rId118" display="https://www.coned.com/_external/cerates/documents/elecPSC10/StatGRT-20.pdf" xr:uid="{E6904E8D-3F0F-41FC-AC3C-4018781D6676}"/>
    <hyperlink ref="EI22" r:id="rId119" display="https://www.coned.com/_external/cerates/documents/elecPSC10/StatGRT-21.pdf" xr:uid="{5DEB3B21-1C3C-401D-B518-216B577CB26A}"/>
    <hyperlink ref="EI23" r:id="rId120" display="https://www.coned.com/_external/cerates/documents/elecPSC10/MACAdjCurrentPSCNo10.pdf" xr:uid="{CE26636B-2146-4D8A-BC2A-C5E82C8789AE}"/>
    <hyperlink ref="EI24" r:id="rId121" display="https://www.coned.com/_external/cerates/documents/elecPSC10/MSCAdjCurrentPSCNo10.pdf" xr:uid="{699B4B98-A865-4C54-8E52-933AD6DA232D}"/>
    <hyperlink ref="EI25" r:id="rId122" location="page=2" display="https://www.coned.com/_external/cerates/documents/elecPSC10/MSCAdjCurrentPSCNo10.pdf - page=2" xr:uid="{1BB10BDB-0EC9-488B-91F0-5EC7BCDE53FD}"/>
    <hyperlink ref="EI27" r:id="rId123" display="https://www.coned.com/_external/cerates/documents/elecPSC10/StatCESD-1.pdf" xr:uid="{C731E644-5BE5-4F7C-80D1-632CF36CD82C}"/>
    <hyperlink ref="EI28" r:id="rId124" display="https://www.coned.com/_external/cerates/documents/elecPSC10/StatCESS-5.pdf" xr:uid="{CBA84C34-805F-4366-B7CF-354DB7970AAA}"/>
    <hyperlink ref="EI29" r:id="rId125" display="https://www.coned.com/_external/cerates/documents/elecPSC10/StatDLM-4.pdf" xr:uid="{267A0E99-06EF-4DDC-BED1-6F57E7D257A7}"/>
    <hyperlink ref="EI31" r:id="rId126" display="https://www.coned.com/_external/cerates/documents/elecPSC10/StatVDER-CR-4.pdf" xr:uid="{77B0E136-C052-46CC-988E-965761ABE23C}"/>
    <hyperlink ref="EI7" r:id="rId127" location="page=519" display="https://www.coned.com/_external/cerates/documents/elecPSC10/electric-tariff.pdf - page=519" xr:uid="{6C3F8C62-7A93-45C3-93DC-3B9DCA8E9ECF}"/>
  </hyperlinks>
  <pageMargins left="0.5" right="0.5" top="0.5" bottom="0.5" header="0.3" footer="0.3"/>
  <pageSetup scale="66" fitToWidth="0" orientation="landscape" r:id="rId128"/>
  <headerFooter>
    <oddFooter>&amp;L&amp;Z&amp;F</oddFooter>
  </headerFooter>
  <legacyDrawing r:id="rId12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5E25-3D20-467B-ADB5-F2E9A0AE6B7B}">
  <dimension ref="B2:AC140"/>
  <sheetViews>
    <sheetView topLeftCell="B2" workbookViewId="0">
      <selection activeCell="E5" sqref="E5"/>
    </sheetView>
  </sheetViews>
  <sheetFormatPr defaultRowHeight="14.5" x14ac:dyDescent="0.35"/>
  <cols>
    <col min="5" max="5" width="20.36328125" style="64" bestFit="1" customWidth="1"/>
    <col min="6" max="6" width="25.90625" style="64" bestFit="1" customWidth="1"/>
    <col min="7" max="7" width="25.81640625" style="64" bestFit="1" customWidth="1"/>
    <col min="8" max="8" width="24.36328125" style="64" bestFit="1" customWidth="1"/>
    <col min="9" max="9" width="22.453125" style="64" bestFit="1" customWidth="1"/>
    <col min="10" max="10" width="25.453125" style="64" bestFit="1" customWidth="1"/>
    <col min="11" max="11" width="22.453125" style="64" bestFit="1" customWidth="1"/>
    <col min="12" max="12" width="18.7265625" style="64" bestFit="1" customWidth="1"/>
    <col min="13" max="13" width="21" style="64" bestFit="1" customWidth="1"/>
    <col min="14" max="14" width="20.453125" style="64" bestFit="1" customWidth="1"/>
    <col min="15" max="15" width="24.7265625" style="64" bestFit="1" customWidth="1"/>
    <col min="16" max="16" width="24.6328125" style="64" bestFit="1" customWidth="1"/>
    <col min="17" max="17" width="19.81640625" style="64" bestFit="1" customWidth="1"/>
    <col min="18" max="18" width="23.453125" style="64" bestFit="1" customWidth="1"/>
    <col min="19" max="19" width="14.36328125" style="64" bestFit="1" customWidth="1"/>
    <col min="20" max="20" width="13.1796875" style="64" bestFit="1" customWidth="1"/>
    <col min="21" max="21" width="8.6328125" style="64" bestFit="1" customWidth="1"/>
    <col min="22" max="22" width="8.90625" style="64" bestFit="1" customWidth="1"/>
    <col min="23" max="23" width="9.1796875" style="64" bestFit="1" customWidth="1"/>
    <col min="24" max="24" width="19.08984375" style="64" bestFit="1" customWidth="1"/>
    <col min="25" max="25" width="28" style="64" bestFit="1" customWidth="1"/>
    <col min="26" max="26" width="27" style="64" bestFit="1" customWidth="1"/>
    <col min="27" max="27" width="25.26953125" style="64" bestFit="1" customWidth="1"/>
    <col min="28" max="28" width="9.26953125" style="64" bestFit="1" customWidth="1"/>
    <col min="29" max="29" width="23.6328125" style="64" bestFit="1" customWidth="1"/>
  </cols>
  <sheetData>
    <row r="2" spans="2:29" s="36" customFormat="1" ht="8" x14ac:dyDescent="0.2">
      <c r="B2" s="34" t="s">
        <v>26</v>
      </c>
      <c r="C2" s="34" t="s">
        <v>25</v>
      </c>
      <c r="D2" s="35" t="s">
        <v>27</v>
      </c>
      <c r="E2" s="37" t="s">
        <v>0</v>
      </c>
      <c r="F2" s="37" t="s">
        <v>22</v>
      </c>
      <c r="G2" s="37" t="s">
        <v>23</v>
      </c>
      <c r="H2" s="37" t="s">
        <v>1</v>
      </c>
      <c r="I2" s="37" t="s">
        <v>2</v>
      </c>
      <c r="J2" s="37" t="s">
        <v>3</v>
      </c>
      <c r="K2" s="37" t="s">
        <v>4</v>
      </c>
      <c r="L2" s="37" t="s">
        <v>5</v>
      </c>
      <c r="M2" s="37" t="s">
        <v>6</v>
      </c>
      <c r="N2" s="37" t="s">
        <v>7</v>
      </c>
      <c r="O2" s="37" t="s">
        <v>8</v>
      </c>
      <c r="P2" s="37" t="s">
        <v>9</v>
      </c>
      <c r="Q2" s="37" t="s">
        <v>10</v>
      </c>
      <c r="R2" s="37" t="s">
        <v>11</v>
      </c>
      <c r="S2" s="37" t="s">
        <v>12</v>
      </c>
      <c r="T2" s="37" t="s">
        <v>24</v>
      </c>
      <c r="U2" s="37" t="s">
        <v>13</v>
      </c>
      <c r="V2" s="37" t="s">
        <v>14</v>
      </c>
      <c r="W2" s="37" t="s">
        <v>15</v>
      </c>
      <c r="X2" s="37" t="s">
        <v>16</v>
      </c>
      <c r="Y2" s="37" t="s">
        <v>17</v>
      </c>
      <c r="Z2" s="37" t="s">
        <v>18</v>
      </c>
      <c r="AA2" s="37" t="s">
        <v>19</v>
      </c>
      <c r="AB2" s="37" t="s">
        <v>20</v>
      </c>
      <c r="AC2" s="37" t="s">
        <v>21</v>
      </c>
    </row>
    <row r="3" spans="2:29" x14ac:dyDescent="0.35">
      <c r="B3" s="30">
        <f t="shared" ref="B3:B34" si="0">YEAR(D3)</f>
        <v>2010</v>
      </c>
      <c r="C3" s="30">
        <f t="shared" ref="C3:C34" si="1">MONTH(D3)</f>
        <v>1</v>
      </c>
      <c r="D3" s="31">
        <v>40179</v>
      </c>
      <c r="E3" s="38">
        <v>14.18</v>
      </c>
      <c r="F3" s="39">
        <v>6.6739999999999994E-2</v>
      </c>
      <c r="G3" s="39">
        <v>6.1359999999999998E-2</v>
      </c>
      <c r="H3" s="40">
        <v>3.8000000000000002E-4</v>
      </c>
      <c r="I3" s="38">
        <v>0.94</v>
      </c>
      <c r="J3" s="41">
        <v>7.2950000000000003E-3</v>
      </c>
      <c r="K3" s="42">
        <v>1.5679999999999999E-2</v>
      </c>
      <c r="L3" s="41">
        <v>1.9699999999999999E-4</v>
      </c>
      <c r="M3" s="40">
        <v>-1.8E-5</v>
      </c>
      <c r="N3" s="42">
        <v>4.4000000000000003E-3</v>
      </c>
      <c r="O3" s="39">
        <v>1E-3</v>
      </c>
      <c r="P3" s="39"/>
      <c r="Q3" s="41">
        <v>0.10098</v>
      </c>
      <c r="R3" s="41">
        <v>4.9699999999999996E-3</v>
      </c>
      <c r="S3" s="43">
        <v>2.4066000000000001E-2</v>
      </c>
      <c r="T3" s="43">
        <v>4.8874000000000001E-2</v>
      </c>
      <c r="U3" s="41">
        <v>1.6050000000000001E-3</v>
      </c>
      <c r="V3" s="41">
        <v>-1.295E-2</v>
      </c>
      <c r="W3" s="41">
        <v>4.9820000000000003E-3</v>
      </c>
      <c r="X3" s="40">
        <v>3.784E-3</v>
      </c>
      <c r="Y3" s="40"/>
      <c r="Z3" s="40"/>
      <c r="AA3" s="40"/>
      <c r="AB3" s="40"/>
      <c r="AC3" s="44"/>
    </row>
    <row r="4" spans="2:29" x14ac:dyDescent="0.35">
      <c r="B4" s="30">
        <f t="shared" si="0"/>
        <v>2010</v>
      </c>
      <c r="C4" s="30">
        <f t="shared" si="1"/>
        <v>2</v>
      </c>
      <c r="D4" s="31">
        <v>40210</v>
      </c>
      <c r="E4" s="38">
        <v>14.18</v>
      </c>
      <c r="F4" s="39">
        <v>6.6739999999999994E-2</v>
      </c>
      <c r="G4" s="39">
        <v>6.1359999999999998E-2</v>
      </c>
      <c r="H4" s="40">
        <v>3.8000000000000002E-4</v>
      </c>
      <c r="I4" s="38">
        <v>0.94</v>
      </c>
      <c r="J4" s="41">
        <v>1.2632000000000001E-2</v>
      </c>
      <c r="K4" s="42">
        <v>1.8780000000000002E-2</v>
      </c>
      <c r="L4" s="41">
        <v>1.73E-4</v>
      </c>
      <c r="M4" s="40">
        <v>-1.8E-5</v>
      </c>
      <c r="N4" s="39">
        <v>4.4000000000000003E-3</v>
      </c>
      <c r="O4" s="39">
        <v>1E-3</v>
      </c>
      <c r="P4" s="39"/>
      <c r="Q4" s="41">
        <v>7.8749E-2</v>
      </c>
      <c r="R4" s="41">
        <v>5.2430000000000003E-3</v>
      </c>
      <c r="S4" s="43">
        <v>2.4066000000000001E-2</v>
      </c>
      <c r="T4" s="43">
        <v>4.8874000000000001E-2</v>
      </c>
      <c r="U4" s="41">
        <v>9.5619999999999993E-3</v>
      </c>
      <c r="V4" s="41">
        <v>-1.9462E-2</v>
      </c>
      <c r="W4" s="41">
        <v>4.718E-3</v>
      </c>
      <c r="X4" s="40">
        <v>3.784E-3</v>
      </c>
      <c r="Y4" s="40"/>
      <c r="Z4" s="40"/>
      <c r="AA4" s="40"/>
      <c r="AB4" s="40"/>
      <c r="AC4" s="44"/>
    </row>
    <row r="5" spans="2:29" x14ac:dyDescent="0.35">
      <c r="B5" s="30">
        <f t="shared" si="0"/>
        <v>2010</v>
      </c>
      <c r="C5" s="30">
        <f t="shared" si="1"/>
        <v>3</v>
      </c>
      <c r="D5" s="31">
        <v>40238</v>
      </c>
      <c r="E5" s="38">
        <v>14.18</v>
      </c>
      <c r="F5" s="39">
        <v>6.6739999999999994E-2</v>
      </c>
      <c r="G5" s="39">
        <v>6.1359999999999998E-2</v>
      </c>
      <c r="H5" s="40">
        <v>3.8000000000000002E-4</v>
      </c>
      <c r="I5" s="38">
        <v>0.94</v>
      </c>
      <c r="J5" s="40">
        <v>1.2632000000000001E-2</v>
      </c>
      <c r="K5" s="42">
        <v>2.1752174999999999E-2</v>
      </c>
      <c r="L5" s="41">
        <v>1.4899999999999999E-4</v>
      </c>
      <c r="M5" s="40">
        <v>-1.8E-5</v>
      </c>
      <c r="N5" s="39">
        <v>4.4000000000000003E-3</v>
      </c>
      <c r="O5" s="39">
        <v>1E-3</v>
      </c>
      <c r="P5" s="39"/>
      <c r="Q5" s="41">
        <v>6.2902E-2</v>
      </c>
      <c r="R5" s="41">
        <v>5.6860000000000001E-3</v>
      </c>
      <c r="S5" s="43">
        <v>2.4066000000000001E-2</v>
      </c>
      <c r="T5" s="43">
        <v>4.8874000000000001E-2</v>
      </c>
      <c r="U5" s="41">
        <v>1.377E-3</v>
      </c>
      <c r="V5" s="41">
        <v>8.6180000000000007E-3</v>
      </c>
      <c r="W5" s="41">
        <v>1.3044999999999999E-2</v>
      </c>
      <c r="X5" s="40">
        <v>3.784E-3</v>
      </c>
      <c r="Y5" s="40"/>
      <c r="Z5" s="40"/>
      <c r="AA5" s="40"/>
      <c r="AB5" s="40"/>
      <c r="AC5" s="44"/>
    </row>
    <row r="6" spans="2:29" x14ac:dyDescent="0.35">
      <c r="B6" s="30">
        <f t="shared" si="0"/>
        <v>2010</v>
      </c>
      <c r="C6" s="30">
        <f t="shared" si="1"/>
        <v>4</v>
      </c>
      <c r="D6" s="31">
        <v>40269</v>
      </c>
      <c r="E6" s="45">
        <v>15.76</v>
      </c>
      <c r="F6" s="42">
        <v>7.2120000000000004E-2</v>
      </c>
      <c r="G6" s="42">
        <v>7.2120000000000004E-2</v>
      </c>
      <c r="H6" s="40">
        <v>3.8000000000000002E-4</v>
      </c>
      <c r="I6" s="45">
        <v>1.04</v>
      </c>
      <c r="J6" s="41">
        <v>1.05805E-2</v>
      </c>
      <c r="K6" s="42">
        <v>2.1420000000000002E-2</v>
      </c>
      <c r="L6" s="41">
        <v>2.4800000000000001E-4</v>
      </c>
      <c r="M6" s="41">
        <v>-1.1E-5</v>
      </c>
      <c r="N6" s="42">
        <v>4.5999999999999999E-3</v>
      </c>
      <c r="O6" s="39">
        <v>1E-3</v>
      </c>
      <c r="P6" s="39"/>
      <c r="Q6" s="41">
        <v>6.3558000000000003E-2</v>
      </c>
      <c r="R6" s="41">
        <v>4.2180000000000004E-3</v>
      </c>
      <c r="S6" s="43">
        <v>2.4066000000000001E-2</v>
      </c>
      <c r="T6" s="46">
        <v>4.8591000000000002E-2</v>
      </c>
      <c r="U6" s="41">
        <v>1.4519999999999999E-3</v>
      </c>
      <c r="V6" s="41">
        <v>1.0529E-2</v>
      </c>
      <c r="W6" s="41">
        <v>4.0953999999999997E-2</v>
      </c>
      <c r="X6" s="40">
        <v>3.784E-3</v>
      </c>
      <c r="Y6" s="40"/>
      <c r="Z6" s="40"/>
      <c r="AA6" s="40"/>
      <c r="AB6" s="40"/>
      <c r="AC6" s="44"/>
    </row>
    <row r="7" spans="2:29" x14ac:dyDescent="0.35">
      <c r="B7" s="30">
        <f t="shared" si="0"/>
        <v>2010</v>
      </c>
      <c r="C7" s="30">
        <f t="shared" si="1"/>
        <v>5</v>
      </c>
      <c r="D7" s="31">
        <v>40299</v>
      </c>
      <c r="E7" s="38">
        <v>15.76</v>
      </c>
      <c r="F7" s="39">
        <v>7.2120000000000004E-2</v>
      </c>
      <c r="G7" s="39">
        <v>7.2120000000000004E-2</v>
      </c>
      <c r="H7" s="40">
        <v>3.8000000000000002E-4</v>
      </c>
      <c r="I7" s="38">
        <v>1.04</v>
      </c>
      <c r="J7" s="41">
        <v>1.0246E-2</v>
      </c>
      <c r="K7" s="42">
        <v>2.1332E-2</v>
      </c>
      <c r="L7" s="40">
        <v>2.4800000000000001E-4</v>
      </c>
      <c r="M7" s="40">
        <v>-1.1E-5</v>
      </c>
      <c r="N7" s="39">
        <v>4.5999999999999999E-3</v>
      </c>
      <c r="O7" s="39">
        <v>1E-3</v>
      </c>
      <c r="P7" s="39"/>
      <c r="Q7" s="41">
        <v>6.4889000000000002E-2</v>
      </c>
      <c r="R7" s="41">
        <v>4.2269999999999999E-3</v>
      </c>
      <c r="S7" s="43">
        <v>2.4066000000000001E-2</v>
      </c>
      <c r="T7" s="43">
        <v>4.8591000000000002E-2</v>
      </c>
      <c r="U7" s="40">
        <v>1.4519999999999999E-3</v>
      </c>
      <c r="V7" s="40">
        <v>1.0529E-2</v>
      </c>
      <c r="W7" s="40">
        <v>4.0953999999999997E-2</v>
      </c>
      <c r="X7" s="40">
        <v>3.784E-3</v>
      </c>
      <c r="Y7" s="40"/>
      <c r="Z7" s="40"/>
      <c r="AA7" s="40"/>
      <c r="AB7" s="40"/>
      <c r="AC7" s="44"/>
    </row>
    <row r="8" spans="2:29" x14ac:dyDescent="0.35">
      <c r="B8" s="30">
        <f t="shared" si="0"/>
        <v>2010</v>
      </c>
      <c r="C8" s="30">
        <f t="shared" si="1"/>
        <v>6</v>
      </c>
      <c r="D8" s="31">
        <v>40330</v>
      </c>
      <c r="E8" s="38">
        <v>15.76</v>
      </c>
      <c r="F8" s="39">
        <v>7.2120000000000004E-2</v>
      </c>
      <c r="G8" s="42">
        <v>8.3489999999999995E-2</v>
      </c>
      <c r="H8" s="40">
        <v>3.8000000000000002E-4</v>
      </c>
      <c r="I8" s="38">
        <v>1.04</v>
      </c>
      <c r="J8" s="41">
        <v>2.6050000000000001E-3</v>
      </c>
      <c r="K8" s="42">
        <v>1.7510000000000001E-2</v>
      </c>
      <c r="L8" s="41">
        <v>1.8100000000000001E-4</v>
      </c>
      <c r="M8" s="40">
        <v>-1.1E-5</v>
      </c>
      <c r="N8" s="39">
        <v>4.5999999999999999E-3</v>
      </c>
      <c r="O8" s="39">
        <v>1E-3</v>
      </c>
      <c r="P8" s="39"/>
      <c r="Q8" s="41">
        <v>9.4775999999999999E-2</v>
      </c>
      <c r="R8" s="41">
        <v>4.5880000000000001E-3</v>
      </c>
      <c r="S8" s="43">
        <v>2.4066000000000001E-2</v>
      </c>
      <c r="T8" s="43">
        <v>4.8591000000000002E-2</v>
      </c>
      <c r="U8" s="41">
        <v>-1.005E-3</v>
      </c>
      <c r="V8" s="41">
        <v>1.1852E-2</v>
      </c>
      <c r="W8" s="41">
        <v>2.3213999999999999E-2</v>
      </c>
      <c r="X8" s="40">
        <v>3.784E-3</v>
      </c>
      <c r="Y8" s="40"/>
      <c r="Z8" s="40"/>
      <c r="AA8" s="40"/>
      <c r="AB8" s="40"/>
      <c r="AC8" s="44"/>
    </row>
    <row r="9" spans="2:29" x14ac:dyDescent="0.35">
      <c r="B9" s="30">
        <f t="shared" si="0"/>
        <v>2010</v>
      </c>
      <c r="C9" s="30">
        <f t="shared" si="1"/>
        <v>7</v>
      </c>
      <c r="D9" s="31">
        <v>40360</v>
      </c>
      <c r="E9" s="38">
        <v>15.76</v>
      </c>
      <c r="F9" s="39">
        <v>7.2120000000000004E-2</v>
      </c>
      <c r="G9" s="39">
        <v>8.3489999999999995E-2</v>
      </c>
      <c r="H9" s="40">
        <v>3.8000000000000002E-4</v>
      </c>
      <c r="I9" s="38">
        <v>1.04</v>
      </c>
      <c r="J9" s="40">
        <v>2.6050000000000001E-3</v>
      </c>
      <c r="K9" s="42">
        <v>1.077E-2</v>
      </c>
      <c r="L9" s="41">
        <v>9.7E-5</v>
      </c>
      <c r="M9" s="40">
        <v>-1.1E-5</v>
      </c>
      <c r="N9" s="39">
        <v>4.5999999999999999E-3</v>
      </c>
      <c r="O9" s="42">
        <v>1.2999999999999999E-3</v>
      </c>
      <c r="P9" s="42"/>
      <c r="Q9" s="41">
        <v>0.106197</v>
      </c>
      <c r="R9" s="41">
        <v>4.7219999999999996E-3</v>
      </c>
      <c r="S9" s="43">
        <v>2.4066000000000001E-2</v>
      </c>
      <c r="T9" s="43">
        <v>4.8591000000000002E-2</v>
      </c>
      <c r="U9" s="41">
        <v>-3.8149999999999998E-3</v>
      </c>
      <c r="V9" s="41">
        <v>-6.5180000000000004E-3</v>
      </c>
      <c r="W9" s="41">
        <v>1.9859999999999999E-2</v>
      </c>
      <c r="X9" s="41">
        <v>4.6740000000000002E-3</v>
      </c>
      <c r="Y9" s="41"/>
      <c r="Z9" s="41"/>
      <c r="AA9" s="41"/>
      <c r="AB9" s="41"/>
      <c r="AC9" s="44"/>
    </row>
    <row r="10" spans="2:29" x14ac:dyDescent="0.35">
      <c r="B10" s="30">
        <f t="shared" si="0"/>
        <v>2010</v>
      </c>
      <c r="C10" s="30">
        <f t="shared" si="1"/>
        <v>8</v>
      </c>
      <c r="D10" s="31">
        <v>40391</v>
      </c>
      <c r="E10" s="38">
        <v>15.76</v>
      </c>
      <c r="F10" s="39">
        <v>7.2120000000000004E-2</v>
      </c>
      <c r="G10" s="39">
        <v>8.3489999999999995E-2</v>
      </c>
      <c r="H10" s="40">
        <v>3.8000000000000002E-4</v>
      </c>
      <c r="I10" s="38">
        <v>1.04</v>
      </c>
      <c r="J10" s="41">
        <v>-1.371E-3</v>
      </c>
      <c r="K10" s="42">
        <v>9.8200000000000006E-3</v>
      </c>
      <c r="L10" s="41">
        <v>9.3999999999999994E-5</v>
      </c>
      <c r="M10" s="40">
        <v>-1.1E-5</v>
      </c>
      <c r="N10" s="39">
        <v>4.5999999999999999E-3</v>
      </c>
      <c r="O10" s="39">
        <v>1.2999999999999999E-3</v>
      </c>
      <c r="P10" s="39"/>
      <c r="Q10" s="41">
        <v>0.13058900000000001</v>
      </c>
      <c r="R10" s="41">
        <v>5.0270000000000002E-3</v>
      </c>
      <c r="S10" s="43">
        <v>2.4066000000000001E-2</v>
      </c>
      <c r="T10" s="43">
        <v>4.8591000000000002E-2</v>
      </c>
      <c r="U10" s="41">
        <v>-4.4120000000000001E-3</v>
      </c>
      <c r="V10" s="41">
        <v>-3.601E-3</v>
      </c>
      <c r="W10" s="41">
        <v>7.3969999999999999E-3</v>
      </c>
      <c r="X10" s="40">
        <v>4.6740000000000002E-3</v>
      </c>
      <c r="Y10" s="40"/>
      <c r="Z10" s="40"/>
      <c r="AA10" s="40"/>
      <c r="AB10" s="40"/>
      <c r="AC10" s="44"/>
    </row>
    <row r="11" spans="2:29" x14ac:dyDescent="0.35">
      <c r="B11" s="30">
        <f t="shared" si="0"/>
        <v>2010</v>
      </c>
      <c r="C11" s="30">
        <f t="shared" si="1"/>
        <v>9</v>
      </c>
      <c r="D11" s="31">
        <v>40422</v>
      </c>
      <c r="E11" s="38">
        <v>15.76</v>
      </c>
      <c r="F11" s="39">
        <v>7.2120000000000004E-2</v>
      </c>
      <c r="G11" s="39">
        <v>8.3489999999999995E-2</v>
      </c>
      <c r="H11" s="40">
        <v>3.8000000000000002E-4</v>
      </c>
      <c r="I11" s="38">
        <v>1.04</v>
      </c>
      <c r="J11" s="41">
        <v>-1.0104E-2</v>
      </c>
      <c r="K11" s="42">
        <v>1.418E-2</v>
      </c>
      <c r="L11" s="41">
        <v>7.2999999999999999E-5</v>
      </c>
      <c r="M11" s="40">
        <v>-1.1E-5</v>
      </c>
      <c r="N11" s="39">
        <v>4.5999999999999999E-3</v>
      </c>
      <c r="O11" s="39">
        <v>1.2999999999999999E-3</v>
      </c>
      <c r="P11" s="39"/>
      <c r="Q11" s="41">
        <v>0.11364299999999999</v>
      </c>
      <c r="R11" s="41">
        <v>6.0819999999999997E-3</v>
      </c>
      <c r="S11" s="43">
        <v>2.4066000000000001E-2</v>
      </c>
      <c r="T11" s="43">
        <v>4.8591000000000002E-2</v>
      </c>
      <c r="U11" s="41">
        <v>-1.7899999999999999E-3</v>
      </c>
      <c r="V11" s="41">
        <v>-2.2277000000000002E-2</v>
      </c>
      <c r="W11" s="41">
        <v>3.4699999999999998E-4</v>
      </c>
      <c r="X11" s="40">
        <v>4.6740000000000002E-3</v>
      </c>
      <c r="Y11" s="40"/>
      <c r="Z11" s="40"/>
      <c r="AA11" s="40"/>
      <c r="AB11" s="40"/>
      <c r="AC11" s="44"/>
    </row>
    <row r="12" spans="2:29" x14ac:dyDescent="0.35">
      <c r="B12" s="30">
        <f t="shared" si="0"/>
        <v>2010</v>
      </c>
      <c r="C12" s="30">
        <f t="shared" si="1"/>
        <v>10</v>
      </c>
      <c r="D12" s="31">
        <v>40452</v>
      </c>
      <c r="E12" s="38">
        <v>15.76</v>
      </c>
      <c r="F12" s="42">
        <v>8.2199999999999995E-2</v>
      </c>
      <c r="G12" s="42">
        <v>8.2199999999999995E-2</v>
      </c>
      <c r="H12" s="41">
        <v>0</v>
      </c>
      <c r="I12" s="38">
        <v>1.04</v>
      </c>
      <c r="J12" s="41">
        <v>-1.0330000000000001E-3</v>
      </c>
      <c r="K12" s="42">
        <v>1.315E-2</v>
      </c>
      <c r="L12" s="41">
        <v>5.3999999999999998E-5</v>
      </c>
      <c r="M12" s="41">
        <v>-1.07E-4</v>
      </c>
      <c r="N12" s="42">
        <v>1.1999999999999999E-3</v>
      </c>
      <c r="O12" s="39">
        <v>1.9E-3</v>
      </c>
      <c r="P12" s="39"/>
      <c r="Q12" s="41">
        <v>0.10012799999999999</v>
      </c>
      <c r="R12" s="41">
        <v>6.6059999999999999E-3</v>
      </c>
      <c r="S12" s="43">
        <v>2.4066000000000001E-2</v>
      </c>
      <c r="T12" s="46">
        <v>5.1304000000000002E-2</v>
      </c>
      <c r="U12" s="41">
        <v>4.7029999999999997E-3</v>
      </c>
      <c r="V12" s="41">
        <v>-9.2599999999999991E-3</v>
      </c>
      <c r="W12" s="41">
        <v>1.7025999999999999E-2</v>
      </c>
      <c r="X12" s="40">
        <v>4.6740000000000002E-3</v>
      </c>
      <c r="Y12" s="40"/>
      <c r="Z12" s="40"/>
      <c r="AA12" s="40"/>
      <c r="AB12" s="40"/>
      <c r="AC12" s="44"/>
    </row>
    <row r="13" spans="2:29" x14ac:dyDescent="0.35">
      <c r="B13" s="30">
        <f t="shared" si="0"/>
        <v>2010</v>
      </c>
      <c r="C13" s="30">
        <f t="shared" si="1"/>
        <v>11</v>
      </c>
      <c r="D13" s="31">
        <v>40483</v>
      </c>
      <c r="E13" s="38">
        <v>15.76</v>
      </c>
      <c r="F13" s="39">
        <v>8.2199999999999995E-2</v>
      </c>
      <c r="G13" s="39">
        <v>8.2199999999999995E-2</v>
      </c>
      <c r="H13" s="40">
        <v>0</v>
      </c>
      <c r="I13" s="38">
        <v>1.04</v>
      </c>
      <c r="J13" s="41">
        <v>1.1800000000000001E-3</v>
      </c>
      <c r="K13" s="42">
        <v>2.1329999999999998E-2</v>
      </c>
      <c r="L13" s="41">
        <v>1.25E-4</v>
      </c>
      <c r="M13" s="40">
        <v>-1.07E-4</v>
      </c>
      <c r="N13" s="39">
        <v>1.1999999999999999E-3</v>
      </c>
      <c r="O13" s="39">
        <v>1.9E-3</v>
      </c>
      <c r="P13" s="39"/>
      <c r="Q13" s="41">
        <v>9.5704999999999998E-2</v>
      </c>
      <c r="R13" s="41">
        <v>5.2979999999999998E-3</v>
      </c>
      <c r="S13" s="43">
        <v>2.4066000000000001E-2</v>
      </c>
      <c r="T13" s="43">
        <v>5.1304000000000002E-2</v>
      </c>
      <c r="U13" s="41">
        <v>4.581E-3</v>
      </c>
      <c r="V13" s="41">
        <v>-1.8956000000000001E-2</v>
      </c>
      <c r="W13" s="41">
        <v>1.3435000000000001E-2</v>
      </c>
      <c r="X13" s="40">
        <v>4.6740000000000002E-3</v>
      </c>
      <c r="Y13" s="40"/>
      <c r="Z13" s="40"/>
      <c r="AA13" s="40"/>
      <c r="AB13" s="40"/>
      <c r="AC13" s="44"/>
    </row>
    <row r="14" spans="2:29" x14ac:dyDescent="0.35">
      <c r="B14" s="30">
        <f t="shared" si="0"/>
        <v>2010</v>
      </c>
      <c r="C14" s="30">
        <f t="shared" si="1"/>
        <v>12</v>
      </c>
      <c r="D14" s="31">
        <v>40513</v>
      </c>
      <c r="E14" s="38">
        <v>15.76</v>
      </c>
      <c r="F14" s="42">
        <v>7.2120000000000004E-2</v>
      </c>
      <c r="G14" s="42">
        <v>7.2120000000000004E-2</v>
      </c>
      <c r="H14" s="41">
        <v>3.8000000000000002E-4</v>
      </c>
      <c r="I14" s="38">
        <v>1.04</v>
      </c>
      <c r="J14" s="41">
        <v>-6.69E-4</v>
      </c>
      <c r="K14" s="42">
        <v>1.9279999999999999E-2</v>
      </c>
      <c r="L14" s="41">
        <v>1.5100000000000001E-4</v>
      </c>
      <c r="M14" s="41">
        <v>-1.1E-5</v>
      </c>
      <c r="N14" s="42">
        <v>4.7000000000000002E-3</v>
      </c>
      <c r="O14" s="42">
        <v>1.5E-3</v>
      </c>
      <c r="P14" s="42"/>
      <c r="Q14" s="41">
        <v>6.8909999999999999E-2</v>
      </c>
      <c r="R14" s="41">
        <v>3.8119999999999999E-3</v>
      </c>
      <c r="S14" s="43">
        <v>2.4066000000000001E-2</v>
      </c>
      <c r="T14" s="46">
        <v>4.8591000000000002E-2</v>
      </c>
      <c r="U14" s="41">
        <v>3.2729999999999999E-3</v>
      </c>
      <c r="V14" s="41">
        <v>-4.0029999999999996E-3</v>
      </c>
      <c r="W14" s="41">
        <v>2.9023E-2</v>
      </c>
      <c r="X14" s="40">
        <v>4.6740000000000002E-3</v>
      </c>
      <c r="Y14" s="40"/>
      <c r="Z14" s="40"/>
      <c r="AA14" s="40"/>
      <c r="AB14" s="40"/>
      <c r="AC14" s="44"/>
    </row>
    <row r="15" spans="2:29" x14ac:dyDescent="0.35">
      <c r="B15" s="30">
        <f t="shared" si="0"/>
        <v>2011</v>
      </c>
      <c r="C15" s="30">
        <f t="shared" si="1"/>
        <v>1</v>
      </c>
      <c r="D15" s="31">
        <v>40544</v>
      </c>
      <c r="E15" s="38">
        <v>15.76</v>
      </c>
      <c r="F15" s="39">
        <v>7.2120000000000004E-2</v>
      </c>
      <c r="G15" s="39">
        <v>7.2120000000000004E-2</v>
      </c>
      <c r="H15" s="40">
        <v>3.8000000000000002E-4</v>
      </c>
      <c r="I15" s="38">
        <v>1.04</v>
      </c>
      <c r="J15" s="40">
        <v>-6.69E-4</v>
      </c>
      <c r="K15" s="42">
        <v>1.7319999999999999E-2</v>
      </c>
      <c r="L15" s="41">
        <v>1.47E-4</v>
      </c>
      <c r="M15" s="40">
        <v>-1.1E-5</v>
      </c>
      <c r="N15" s="42">
        <v>4.5999999999999999E-3</v>
      </c>
      <c r="O15" s="39">
        <v>1.5E-3</v>
      </c>
      <c r="P15" s="39"/>
      <c r="Q15" s="41">
        <v>9.9715999999999999E-2</v>
      </c>
      <c r="R15" s="41">
        <v>4.2570000000000004E-3</v>
      </c>
      <c r="S15" s="43">
        <v>2.4066000000000001E-2</v>
      </c>
      <c r="T15" s="43">
        <v>4.8591000000000002E-2</v>
      </c>
      <c r="U15" s="41">
        <v>-1.186E-3</v>
      </c>
      <c r="V15" s="41">
        <v>-7.9089999999999994E-3</v>
      </c>
      <c r="W15" s="41">
        <v>1.7492000000000001E-2</v>
      </c>
      <c r="X15" s="40">
        <v>4.6740000000000002E-3</v>
      </c>
      <c r="Y15" s="40"/>
      <c r="Z15" s="40"/>
      <c r="AA15" s="40"/>
      <c r="AB15" s="40"/>
      <c r="AC15" s="44"/>
    </row>
    <row r="16" spans="2:29" x14ac:dyDescent="0.35">
      <c r="B16" s="30">
        <f t="shared" si="0"/>
        <v>2011</v>
      </c>
      <c r="C16" s="30">
        <f t="shared" si="1"/>
        <v>2</v>
      </c>
      <c r="D16" s="31">
        <v>40575</v>
      </c>
      <c r="E16" s="38">
        <v>15.76</v>
      </c>
      <c r="F16" s="39">
        <v>7.2120000000000004E-2</v>
      </c>
      <c r="G16" s="39">
        <v>7.2120000000000004E-2</v>
      </c>
      <c r="H16" s="40">
        <v>3.8000000000000002E-4</v>
      </c>
      <c r="I16" s="38">
        <v>1.04</v>
      </c>
      <c r="J16" s="40">
        <v>-6.69E-4</v>
      </c>
      <c r="K16" s="42">
        <v>1.6799999999999999E-2</v>
      </c>
      <c r="L16" s="41">
        <v>1.83E-4</v>
      </c>
      <c r="M16" s="40">
        <v>-1.1E-5</v>
      </c>
      <c r="N16" s="42">
        <v>2.5999999999999999E-3</v>
      </c>
      <c r="O16" s="39">
        <v>1.5E-3</v>
      </c>
      <c r="P16" s="39"/>
      <c r="Q16" s="41">
        <v>0.10943600000000001</v>
      </c>
      <c r="R16" s="41">
        <v>4.8529999999999997E-3</v>
      </c>
      <c r="S16" s="43">
        <v>2.4066000000000001E-2</v>
      </c>
      <c r="T16" s="43">
        <v>4.8591000000000002E-2</v>
      </c>
      <c r="U16" s="41">
        <v>-1.083E-3</v>
      </c>
      <c r="V16" s="41">
        <v>-7.1729999999999997E-3</v>
      </c>
      <c r="W16" s="41">
        <v>-6.3839999999999999E-3</v>
      </c>
      <c r="X16" s="40">
        <v>4.6740000000000002E-3</v>
      </c>
      <c r="Y16" s="40"/>
      <c r="Z16" s="40"/>
      <c r="AA16" s="40"/>
      <c r="AB16" s="40"/>
      <c r="AC16" s="44"/>
    </row>
    <row r="17" spans="2:29" x14ac:dyDescent="0.35">
      <c r="B17" s="30">
        <f t="shared" si="0"/>
        <v>2011</v>
      </c>
      <c r="C17" s="30">
        <f t="shared" si="1"/>
        <v>3</v>
      </c>
      <c r="D17" s="31">
        <v>40603</v>
      </c>
      <c r="E17" s="38">
        <v>15.76</v>
      </c>
      <c r="F17" s="39">
        <v>7.2120000000000004E-2</v>
      </c>
      <c r="G17" s="39">
        <v>7.2120000000000004E-2</v>
      </c>
      <c r="H17" s="40">
        <v>3.8000000000000002E-4</v>
      </c>
      <c r="I17" s="38">
        <v>1.04</v>
      </c>
      <c r="J17" s="40">
        <v>-6.69E-4</v>
      </c>
      <c r="K17" s="42">
        <v>1.958E-2</v>
      </c>
      <c r="L17" s="41">
        <v>1.54E-4</v>
      </c>
      <c r="M17" s="40">
        <v>-1.1E-5</v>
      </c>
      <c r="N17" s="39">
        <v>2.5999999999999999E-3</v>
      </c>
      <c r="O17" s="39">
        <v>1.5E-3</v>
      </c>
      <c r="P17" s="39"/>
      <c r="Q17" s="41">
        <v>8.7502999999999997E-2</v>
      </c>
      <c r="R17" s="41">
        <v>5.0299999999999997E-3</v>
      </c>
      <c r="S17" s="43">
        <v>2.4066000000000001E-2</v>
      </c>
      <c r="T17" s="43">
        <v>4.8591000000000002E-2</v>
      </c>
      <c r="U17" s="41">
        <v>-1.11E-4</v>
      </c>
      <c r="V17" s="41">
        <v>-3.0370000000000002E-3</v>
      </c>
      <c r="W17" s="41">
        <v>-1.3569999999999999E-3</v>
      </c>
      <c r="X17" s="40">
        <v>4.6740000000000002E-3</v>
      </c>
      <c r="Y17" s="40"/>
      <c r="Z17" s="40"/>
      <c r="AA17" s="40"/>
      <c r="AB17" s="40"/>
      <c r="AC17" s="44"/>
    </row>
    <row r="18" spans="2:29" x14ac:dyDescent="0.35">
      <c r="B18" s="30">
        <f t="shared" si="0"/>
        <v>2011</v>
      </c>
      <c r="C18" s="30">
        <f t="shared" si="1"/>
        <v>4</v>
      </c>
      <c r="D18" s="31">
        <v>40634</v>
      </c>
      <c r="E18" s="38">
        <v>15.76</v>
      </c>
      <c r="F18" s="42">
        <v>8.2199999999999995E-2</v>
      </c>
      <c r="G18" s="42">
        <v>8.2199999999999995E-2</v>
      </c>
      <c r="H18" s="41">
        <v>0</v>
      </c>
      <c r="I18" s="38">
        <v>1.04</v>
      </c>
      <c r="J18" s="40">
        <v>-6.69E-4</v>
      </c>
      <c r="K18" s="42">
        <v>2.147E-2</v>
      </c>
      <c r="L18" s="41">
        <v>1.02E-4</v>
      </c>
      <c r="M18" s="40">
        <v>-1.1E-5</v>
      </c>
      <c r="N18" s="39">
        <v>2.5999999999999999E-3</v>
      </c>
      <c r="O18" s="39">
        <v>1.5E-3</v>
      </c>
      <c r="P18" s="39"/>
      <c r="Q18" s="41">
        <v>7.5620999999999994E-2</v>
      </c>
      <c r="R18" s="41">
        <v>5.3239999999999997E-3</v>
      </c>
      <c r="S18" s="43">
        <v>2.4066000000000001E-2</v>
      </c>
      <c r="T18" s="46">
        <v>5.1304000000000002E-2</v>
      </c>
      <c r="U18" s="41">
        <v>5.8900000000000001E-4</v>
      </c>
      <c r="V18" s="41">
        <v>-7.6099999999999996E-4</v>
      </c>
      <c r="W18" s="41">
        <v>1.7722999999999999E-2</v>
      </c>
      <c r="X18" s="40">
        <v>4.6740000000000002E-3</v>
      </c>
      <c r="Y18" s="40"/>
      <c r="Z18" s="40"/>
      <c r="AA18" s="40"/>
      <c r="AB18" s="40"/>
      <c r="AC18" s="44"/>
    </row>
    <row r="19" spans="2:29" x14ac:dyDescent="0.35">
      <c r="B19" s="30">
        <f t="shared" si="0"/>
        <v>2011</v>
      </c>
      <c r="C19" s="30">
        <f t="shared" si="1"/>
        <v>5</v>
      </c>
      <c r="D19" s="31">
        <v>40664</v>
      </c>
      <c r="E19" s="38">
        <v>15.76</v>
      </c>
      <c r="F19" s="39">
        <v>8.2199999999999995E-2</v>
      </c>
      <c r="G19" s="42">
        <v>8.2199999999999995E-2</v>
      </c>
      <c r="H19" s="40">
        <v>0</v>
      </c>
      <c r="I19" s="38">
        <v>1.04</v>
      </c>
      <c r="J19" s="41">
        <v>9.0700000000000004E-4</v>
      </c>
      <c r="K19" s="42">
        <v>1.678E-2</v>
      </c>
      <c r="L19" s="41">
        <v>7.9999999999999996E-6</v>
      </c>
      <c r="M19" s="41">
        <v>-1.07E-4</v>
      </c>
      <c r="N19" s="39">
        <v>2.5999999999999999E-3</v>
      </c>
      <c r="O19" s="39">
        <v>1.5E-3</v>
      </c>
      <c r="P19" s="39"/>
      <c r="Q19" s="41">
        <v>7.7007999999999993E-2</v>
      </c>
      <c r="R19" s="41">
        <v>4.8939999999999999E-3</v>
      </c>
      <c r="S19" s="43">
        <v>2.4066000000000001E-2</v>
      </c>
      <c r="T19" s="43">
        <v>5.1304000000000002E-2</v>
      </c>
      <c r="U19" s="41">
        <v>1.085E-3</v>
      </c>
      <c r="V19" s="41">
        <v>-9.8499999999999994E-3</v>
      </c>
      <c r="W19" s="41">
        <v>1.3088000000000001E-2</v>
      </c>
      <c r="X19" s="40">
        <v>4.6740000000000002E-3</v>
      </c>
      <c r="Y19" s="40"/>
      <c r="Z19" s="40"/>
      <c r="AA19" s="40"/>
      <c r="AB19" s="40"/>
      <c r="AC19" s="44"/>
    </row>
    <row r="20" spans="2:29" x14ac:dyDescent="0.35">
      <c r="B20" s="30">
        <f t="shared" si="0"/>
        <v>2011</v>
      </c>
      <c r="C20" s="30">
        <f t="shared" si="1"/>
        <v>6</v>
      </c>
      <c r="D20" s="31">
        <v>40695</v>
      </c>
      <c r="E20" s="38">
        <v>15.76</v>
      </c>
      <c r="F20" s="39">
        <v>8.2199999999999995E-2</v>
      </c>
      <c r="G20" s="42">
        <v>9.468E-2</v>
      </c>
      <c r="H20" s="41">
        <v>4.1800000000000002E-4</v>
      </c>
      <c r="I20" s="38">
        <v>1.04</v>
      </c>
      <c r="J20" s="40">
        <v>9.0700000000000004E-4</v>
      </c>
      <c r="K20" s="42">
        <v>1.5219999999999999E-2</v>
      </c>
      <c r="L20" s="41">
        <v>1.8200000000000001E-4</v>
      </c>
      <c r="M20" s="40">
        <v>-1.07E-4</v>
      </c>
      <c r="N20" s="39">
        <v>2.5999999999999999E-3</v>
      </c>
      <c r="O20" s="39">
        <v>1.5E-3</v>
      </c>
      <c r="P20" s="39"/>
      <c r="Q20" s="41">
        <v>0.103867</v>
      </c>
      <c r="R20" s="41">
        <v>4.7219999999999996E-3</v>
      </c>
      <c r="S20" s="43">
        <v>2.4066000000000001E-2</v>
      </c>
      <c r="T20" s="46">
        <v>5.1139999999999998E-2</v>
      </c>
      <c r="U20" s="41">
        <v>6.228E-3</v>
      </c>
      <c r="V20" s="41">
        <v>-9.672E-3</v>
      </c>
      <c r="W20" s="41">
        <v>1.3554999999999999E-2</v>
      </c>
      <c r="X20" s="40">
        <v>4.6740000000000002E-3</v>
      </c>
      <c r="Y20" s="40"/>
      <c r="Z20" s="40"/>
      <c r="AA20" s="40"/>
      <c r="AB20" s="40"/>
      <c r="AC20" s="44"/>
    </row>
    <row r="21" spans="2:29" x14ac:dyDescent="0.35">
      <c r="B21" s="30">
        <f t="shared" si="0"/>
        <v>2011</v>
      </c>
      <c r="C21" s="30">
        <f t="shared" si="1"/>
        <v>7</v>
      </c>
      <c r="D21" s="31">
        <v>40725</v>
      </c>
      <c r="E21" s="38">
        <v>15.76</v>
      </c>
      <c r="F21" s="39">
        <v>8.2199999999999995E-2</v>
      </c>
      <c r="G21" s="39">
        <v>9.468E-2</v>
      </c>
      <c r="H21" s="40">
        <v>0</v>
      </c>
      <c r="I21" s="38">
        <v>1.04</v>
      </c>
      <c r="J21" s="40">
        <v>9.0700000000000004E-4</v>
      </c>
      <c r="K21" s="42">
        <v>1.0659999999999999E-2</v>
      </c>
      <c r="L21" s="41">
        <v>1.44E-4</v>
      </c>
      <c r="M21" s="40">
        <v>-1.07E-4</v>
      </c>
      <c r="N21" s="39">
        <v>2.5999999999999999E-3</v>
      </c>
      <c r="O21" s="39">
        <v>1.5E-3</v>
      </c>
      <c r="P21" s="39"/>
      <c r="Q21" s="41">
        <v>0.111189</v>
      </c>
      <c r="R21" s="41">
        <v>4.8199999999999996E-3</v>
      </c>
      <c r="S21" s="43">
        <v>2.4066000000000001E-2</v>
      </c>
      <c r="T21" s="46">
        <v>5.1304000000000002E-2</v>
      </c>
      <c r="U21" s="41">
        <v>-5.4299999999999997E-4</v>
      </c>
      <c r="V21" s="41">
        <v>-8.0169999999999998E-3</v>
      </c>
      <c r="W21" s="41">
        <v>9.2270000000000008E-3</v>
      </c>
      <c r="X21" s="40">
        <v>4.6740000000000002E-3</v>
      </c>
      <c r="Y21" s="40"/>
      <c r="Z21" s="40"/>
      <c r="AA21" s="40"/>
      <c r="AB21" s="40"/>
      <c r="AC21" s="44"/>
    </row>
    <row r="22" spans="2:29" x14ac:dyDescent="0.35">
      <c r="B22" s="30">
        <f t="shared" si="0"/>
        <v>2011</v>
      </c>
      <c r="C22" s="30">
        <f t="shared" si="1"/>
        <v>8</v>
      </c>
      <c r="D22" s="31">
        <v>40756</v>
      </c>
      <c r="E22" s="38">
        <v>15.76</v>
      </c>
      <c r="F22" s="39">
        <v>8.2199999999999995E-2</v>
      </c>
      <c r="G22" s="39">
        <v>9.468E-2</v>
      </c>
      <c r="H22" s="40">
        <v>0</v>
      </c>
      <c r="I22" s="38">
        <v>1.04</v>
      </c>
      <c r="J22" s="40">
        <v>9.0700000000000004E-4</v>
      </c>
      <c r="K22" s="39">
        <v>1.0659999999999999E-2</v>
      </c>
      <c r="L22" s="41">
        <v>1.34E-4</v>
      </c>
      <c r="M22" s="40">
        <v>-1.07E-4</v>
      </c>
      <c r="N22" s="39">
        <v>2.5999999999999999E-3</v>
      </c>
      <c r="O22" s="39">
        <v>1.5E-3</v>
      </c>
      <c r="P22" s="39"/>
      <c r="Q22" s="41">
        <v>0.13031300000000001</v>
      </c>
      <c r="R22" s="41">
        <v>5.4079999999999996E-3</v>
      </c>
      <c r="S22" s="43">
        <v>2.4066000000000001E-2</v>
      </c>
      <c r="T22" s="43">
        <v>5.1304000000000002E-2</v>
      </c>
      <c r="U22" s="41">
        <v>-1.307E-3</v>
      </c>
      <c r="V22" s="41">
        <v>-3.7460000000000002E-3</v>
      </c>
      <c r="W22" s="41">
        <v>9.9950000000000004E-3</v>
      </c>
      <c r="X22" s="40">
        <v>4.6740000000000002E-3</v>
      </c>
      <c r="Y22" s="40"/>
      <c r="Z22" s="40"/>
      <c r="AA22" s="40"/>
      <c r="AB22" s="40"/>
      <c r="AC22" s="44"/>
    </row>
    <row r="23" spans="2:29" x14ac:dyDescent="0.35">
      <c r="B23" s="30">
        <f t="shared" si="0"/>
        <v>2011</v>
      </c>
      <c r="C23" s="30">
        <f t="shared" si="1"/>
        <v>9</v>
      </c>
      <c r="D23" s="31">
        <v>40787</v>
      </c>
      <c r="E23" s="38">
        <v>15.76</v>
      </c>
      <c r="F23" s="39">
        <v>8.2199999999999995E-2</v>
      </c>
      <c r="G23" s="39">
        <v>9.468E-2</v>
      </c>
      <c r="H23" s="40">
        <v>0</v>
      </c>
      <c r="I23" s="38">
        <v>1.04</v>
      </c>
      <c r="J23" s="41">
        <v>-1.0330000000000001E-3</v>
      </c>
      <c r="K23" s="42">
        <v>1.417E-2</v>
      </c>
      <c r="L23" s="41">
        <v>8.7000000000000001E-5</v>
      </c>
      <c r="M23" s="40">
        <v>-1.07E-4</v>
      </c>
      <c r="N23" s="39">
        <v>2.5999999999999999E-3</v>
      </c>
      <c r="O23" s="39">
        <v>1.5E-3</v>
      </c>
      <c r="P23" s="39"/>
      <c r="Q23" s="41">
        <v>0.107769</v>
      </c>
      <c r="R23" s="41">
        <v>6.2100000000000002E-3</v>
      </c>
      <c r="S23" s="43">
        <v>2.4066000000000001E-2</v>
      </c>
      <c r="T23" s="43">
        <v>5.1304000000000002E-2</v>
      </c>
      <c r="U23" s="41">
        <v>5.7899999999999998E-4</v>
      </c>
      <c r="V23" s="41">
        <v>-2.5103E-2</v>
      </c>
      <c r="W23" s="41">
        <v>5.6230000000000004E-3</v>
      </c>
      <c r="X23" s="40">
        <v>4.6740000000000002E-3</v>
      </c>
      <c r="Y23" s="40"/>
      <c r="Z23" s="40"/>
      <c r="AA23" s="40"/>
      <c r="AB23" s="40"/>
      <c r="AC23" s="44"/>
    </row>
    <row r="24" spans="2:29" x14ac:dyDescent="0.35">
      <c r="B24" s="30">
        <f t="shared" si="0"/>
        <v>2011</v>
      </c>
      <c r="C24" s="30">
        <f t="shared" si="1"/>
        <v>10</v>
      </c>
      <c r="D24" s="31">
        <v>40817</v>
      </c>
      <c r="E24" s="38">
        <v>15.76</v>
      </c>
      <c r="F24" s="39">
        <v>8.2199999999999995E-2</v>
      </c>
      <c r="G24" s="39">
        <v>8.2199999999999995E-2</v>
      </c>
      <c r="H24" s="40">
        <v>0</v>
      </c>
      <c r="I24" s="38">
        <v>1.04</v>
      </c>
      <c r="J24" s="41">
        <v>-1.0330000000000001E-3</v>
      </c>
      <c r="K24" s="42">
        <v>1.315E-2</v>
      </c>
      <c r="L24" s="41">
        <v>5.3999999999999998E-5</v>
      </c>
      <c r="M24" s="40">
        <v>-1.07E-4</v>
      </c>
      <c r="N24" s="39">
        <v>1.1999999999999999E-3</v>
      </c>
      <c r="O24" s="39">
        <v>1.9E-3</v>
      </c>
      <c r="P24" s="39"/>
      <c r="Q24" s="41">
        <v>0.10012799999999999</v>
      </c>
      <c r="R24" s="41">
        <v>6.6059999999999999E-3</v>
      </c>
      <c r="S24" s="43">
        <v>2.4066000000000001E-2</v>
      </c>
      <c r="T24" s="43">
        <v>5.1304000000000002E-2</v>
      </c>
      <c r="U24" s="41">
        <v>4.7029999999999997E-3</v>
      </c>
      <c r="V24" s="41">
        <v>-9.2599999999999991E-3</v>
      </c>
      <c r="W24" s="41">
        <v>1.7025999999999999E-2</v>
      </c>
      <c r="X24" s="40">
        <v>4.6740000000000002E-3</v>
      </c>
      <c r="Y24" s="40"/>
      <c r="Z24" s="40"/>
      <c r="AA24" s="40"/>
      <c r="AB24" s="40"/>
      <c r="AC24" s="44"/>
    </row>
    <row r="25" spans="2:29" x14ac:dyDescent="0.35">
      <c r="B25" s="30">
        <f t="shared" si="0"/>
        <v>2011</v>
      </c>
      <c r="C25" s="30">
        <f t="shared" si="1"/>
        <v>11</v>
      </c>
      <c r="D25" s="31">
        <v>40848</v>
      </c>
      <c r="E25" s="38">
        <v>15.76</v>
      </c>
      <c r="F25" s="39">
        <v>8.2199999999999995E-2</v>
      </c>
      <c r="G25" s="39">
        <v>8.2199999999999995E-2</v>
      </c>
      <c r="H25" s="40">
        <v>0</v>
      </c>
      <c r="I25" s="38">
        <v>1.04</v>
      </c>
      <c r="J25" s="40">
        <v>1.1800000000000001E-3</v>
      </c>
      <c r="K25" s="42">
        <v>2.1329999999999998E-2</v>
      </c>
      <c r="L25" s="41">
        <v>1.25E-4</v>
      </c>
      <c r="M25" s="40">
        <v>-1.07E-4</v>
      </c>
      <c r="N25" s="39">
        <v>1.1999999999999999E-3</v>
      </c>
      <c r="O25" s="39">
        <v>1.9E-3</v>
      </c>
      <c r="P25" s="39"/>
      <c r="Q25" s="41">
        <v>9.5704999999999998E-2</v>
      </c>
      <c r="R25" s="41">
        <v>5.2979999999999998E-3</v>
      </c>
      <c r="S25" s="43">
        <v>2.4066000000000001E-2</v>
      </c>
      <c r="T25" s="43">
        <v>5.1304000000000002E-2</v>
      </c>
      <c r="U25" s="41">
        <v>4.581E-3</v>
      </c>
      <c r="V25" s="41">
        <v>-1.8956000000000001E-2</v>
      </c>
      <c r="W25" s="41">
        <v>1.3435000000000001E-2</v>
      </c>
      <c r="X25" s="40">
        <v>4.6740000000000002E-3</v>
      </c>
      <c r="Y25" s="40"/>
      <c r="Z25" s="40"/>
      <c r="AA25" s="40"/>
      <c r="AB25" s="40"/>
      <c r="AC25" s="44"/>
    </row>
    <row r="26" spans="2:29" x14ac:dyDescent="0.35">
      <c r="B26" s="30">
        <f t="shared" si="0"/>
        <v>2011</v>
      </c>
      <c r="C26" s="30">
        <f t="shared" si="1"/>
        <v>12</v>
      </c>
      <c r="D26" s="31">
        <v>40878</v>
      </c>
      <c r="E26" s="38">
        <v>15.76</v>
      </c>
      <c r="F26" s="39">
        <v>8.2199999999999995E-2</v>
      </c>
      <c r="G26" s="39">
        <v>8.2199999999999995E-2</v>
      </c>
      <c r="H26" s="40">
        <v>0</v>
      </c>
      <c r="I26" s="38">
        <v>1.04</v>
      </c>
      <c r="J26" s="40">
        <v>1.1800000000000001E-3</v>
      </c>
      <c r="K26" s="42">
        <v>1.7850000000000001E-2</v>
      </c>
      <c r="L26" s="41">
        <v>1.8100000000000001E-4</v>
      </c>
      <c r="M26" s="40">
        <v>-1.07E-4</v>
      </c>
      <c r="N26" s="39">
        <v>1.1999999999999999E-3</v>
      </c>
      <c r="O26" s="39">
        <v>1.9E-3</v>
      </c>
      <c r="P26" s="39"/>
      <c r="Q26" s="41">
        <v>6.0173999999999998E-2</v>
      </c>
      <c r="R26" s="41">
        <v>4.5979999999999997E-3</v>
      </c>
      <c r="S26" s="43">
        <v>2.4066000000000001E-2</v>
      </c>
      <c r="T26" s="43">
        <v>5.1304000000000002E-2</v>
      </c>
      <c r="U26" s="41">
        <v>3.209E-3</v>
      </c>
      <c r="V26" s="41">
        <v>-3.2599999999999999E-3</v>
      </c>
      <c r="W26" s="41">
        <v>1.2699E-2</v>
      </c>
      <c r="X26" s="40">
        <v>4.6740000000000002E-3</v>
      </c>
      <c r="Y26" s="40"/>
      <c r="Z26" s="40"/>
      <c r="AA26" s="40"/>
      <c r="AB26" s="40"/>
      <c r="AC26" s="44"/>
    </row>
    <row r="27" spans="2:29" x14ac:dyDescent="0.35">
      <c r="B27" s="30">
        <f t="shared" si="0"/>
        <v>2012</v>
      </c>
      <c r="C27" s="30">
        <f t="shared" si="1"/>
        <v>1</v>
      </c>
      <c r="D27" s="31">
        <v>40909</v>
      </c>
      <c r="E27" s="45">
        <v>15.76</v>
      </c>
      <c r="F27" s="42">
        <v>8.2199999999999995E-2</v>
      </c>
      <c r="G27" s="42">
        <v>8.2199999999999995E-2</v>
      </c>
      <c r="H27" s="41">
        <v>0</v>
      </c>
      <c r="I27" s="45">
        <v>1.04</v>
      </c>
      <c r="J27" s="41">
        <v>1.1800000000000001E-3</v>
      </c>
      <c r="K27" s="42">
        <v>1.7569999999999999E-2</v>
      </c>
      <c r="L27" s="41">
        <v>1.47E-4</v>
      </c>
      <c r="M27" s="41">
        <v>-1.07E-4</v>
      </c>
      <c r="N27" s="42">
        <v>3.0000000000000001E-3</v>
      </c>
      <c r="O27" s="42">
        <v>1.9E-3</v>
      </c>
      <c r="P27" s="42"/>
      <c r="Q27" s="41">
        <v>6.0804999999999998E-2</v>
      </c>
      <c r="R27" s="41">
        <v>4.633E-3</v>
      </c>
      <c r="S27" s="46">
        <v>2.4066000000000001E-2</v>
      </c>
      <c r="T27" s="46">
        <v>5.1304000000000002E-2</v>
      </c>
      <c r="U27" s="41">
        <v>5.4140000000000004E-3</v>
      </c>
      <c r="V27" s="41">
        <v>-8.0389999999999993E-3</v>
      </c>
      <c r="W27" s="41">
        <v>9.2829999999999996E-3</v>
      </c>
      <c r="X27" s="41">
        <v>4.6740000000000002E-3</v>
      </c>
      <c r="Y27" s="41"/>
      <c r="Z27" s="41"/>
      <c r="AA27" s="41"/>
      <c r="AB27" s="41"/>
      <c r="AC27" s="44"/>
    </row>
    <row r="28" spans="2:29" x14ac:dyDescent="0.35">
      <c r="B28" s="30">
        <f t="shared" si="0"/>
        <v>2012</v>
      </c>
      <c r="C28" s="30">
        <f t="shared" si="1"/>
        <v>2</v>
      </c>
      <c r="D28" s="31">
        <v>40940</v>
      </c>
      <c r="E28" s="38">
        <f t="shared" ref="E28:J29" si="2">E27</f>
        <v>15.76</v>
      </c>
      <c r="F28" s="39">
        <f t="shared" si="2"/>
        <v>8.2199999999999995E-2</v>
      </c>
      <c r="G28" s="39">
        <f t="shared" si="2"/>
        <v>8.2199999999999995E-2</v>
      </c>
      <c r="H28" s="40">
        <f t="shared" si="2"/>
        <v>0</v>
      </c>
      <c r="I28" s="38">
        <f t="shared" si="2"/>
        <v>1.04</v>
      </c>
      <c r="J28" s="40">
        <f t="shared" si="2"/>
        <v>1.1800000000000001E-3</v>
      </c>
      <c r="K28" s="42">
        <v>1.907E-2</v>
      </c>
      <c r="L28" s="41">
        <v>1.73E-4</v>
      </c>
      <c r="M28" s="40">
        <f t="shared" ref="M28:O30" si="3">M27</f>
        <v>-1.07E-4</v>
      </c>
      <c r="N28" s="39">
        <f t="shared" si="3"/>
        <v>3.0000000000000001E-3</v>
      </c>
      <c r="O28" s="39">
        <f t="shared" si="3"/>
        <v>1.9E-3</v>
      </c>
      <c r="P28" s="39"/>
      <c r="Q28" s="41">
        <v>6.7920999999999995E-2</v>
      </c>
      <c r="R28" s="41">
        <v>4.6829999999999997E-3</v>
      </c>
      <c r="S28" s="43">
        <f>S27</f>
        <v>2.4066000000000001E-2</v>
      </c>
      <c r="T28" s="43">
        <f>T27</f>
        <v>5.1304000000000002E-2</v>
      </c>
      <c r="U28" s="41">
        <v>7.7889999999999999E-3</v>
      </c>
      <c r="V28" s="41">
        <v>-2.0119999999999999E-3</v>
      </c>
      <c r="W28" s="41">
        <v>1.0525E-2</v>
      </c>
      <c r="X28" s="40">
        <f>X27</f>
        <v>4.6740000000000002E-3</v>
      </c>
      <c r="Y28" s="40"/>
      <c r="Z28" s="40"/>
      <c r="AA28" s="40"/>
      <c r="AB28" s="40"/>
      <c r="AC28" s="44"/>
    </row>
    <row r="29" spans="2:29" x14ac:dyDescent="0.35">
      <c r="B29" s="30">
        <f t="shared" si="0"/>
        <v>2012</v>
      </c>
      <c r="C29" s="30">
        <f t="shared" si="1"/>
        <v>3</v>
      </c>
      <c r="D29" s="31">
        <v>40969</v>
      </c>
      <c r="E29" s="38">
        <f t="shared" si="2"/>
        <v>15.76</v>
      </c>
      <c r="F29" s="39">
        <f t="shared" si="2"/>
        <v>8.2199999999999995E-2</v>
      </c>
      <c r="G29" s="39">
        <f t="shared" si="2"/>
        <v>8.2199999999999995E-2</v>
      </c>
      <c r="H29" s="40">
        <f t="shared" si="2"/>
        <v>0</v>
      </c>
      <c r="I29" s="38">
        <f t="shared" si="2"/>
        <v>1.04</v>
      </c>
      <c r="J29" s="40">
        <f t="shared" si="2"/>
        <v>1.1800000000000001E-3</v>
      </c>
      <c r="K29" s="42">
        <v>2.366E-2</v>
      </c>
      <c r="L29" s="41">
        <v>2.2800000000000001E-4</v>
      </c>
      <c r="M29" s="40">
        <f t="shared" si="3"/>
        <v>-1.07E-4</v>
      </c>
      <c r="N29" s="39">
        <f t="shared" si="3"/>
        <v>3.0000000000000001E-3</v>
      </c>
      <c r="O29" s="39">
        <f t="shared" si="3"/>
        <v>1.9E-3</v>
      </c>
      <c r="P29" s="39"/>
      <c r="Q29" s="41">
        <v>5.4751000000000001E-2</v>
      </c>
      <c r="R29" s="41">
        <v>5.1970000000000002E-3</v>
      </c>
      <c r="S29" s="43">
        <f>S28</f>
        <v>2.4066000000000001E-2</v>
      </c>
      <c r="T29" s="43">
        <f>T28</f>
        <v>5.1304000000000002E-2</v>
      </c>
      <c r="U29" s="41">
        <v>5.653E-3</v>
      </c>
      <c r="V29" s="41">
        <v>-5.1699999999999999E-4</v>
      </c>
      <c r="W29" s="41">
        <v>1.1277000000000001E-2</v>
      </c>
      <c r="X29" s="40">
        <f>X28</f>
        <v>4.6740000000000002E-3</v>
      </c>
      <c r="Y29" s="40"/>
      <c r="Z29" s="40"/>
      <c r="AA29" s="40"/>
      <c r="AB29" s="40"/>
      <c r="AC29" s="44"/>
    </row>
    <row r="30" spans="2:29" x14ac:dyDescent="0.35">
      <c r="B30" s="30">
        <f t="shared" si="0"/>
        <v>2012</v>
      </c>
      <c r="C30" s="30">
        <f t="shared" si="1"/>
        <v>4</v>
      </c>
      <c r="D30" s="31">
        <v>41000</v>
      </c>
      <c r="E30" s="38">
        <f t="shared" ref="E30:E69" si="4">E29</f>
        <v>15.76</v>
      </c>
      <c r="F30" s="42">
        <v>8.899E-2</v>
      </c>
      <c r="G30" s="42">
        <v>8.899E-2</v>
      </c>
      <c r="H30" s="40">
        <f>H29</f>
        <v>0</v>
      </c>
      <c r="I30" s="38">
        <f>I29</f>
        <v>1.04</v>
      </c>
      <c r="J30" s="40">
        <f>J29</f>
        <v>1.1800000000000001E-3</v>
      </c>
      <c r="K30" s="42">
        <v>2.588E-2</v>
      </c>
      <c r="L30" s="41">
        <v>2.0599999999999999E-4</v>
      </c>
      <c r="M30" s="40">
        <f t="shared" si="3"/>
        <v>-1.07E-4</v>
      </c>
      <c r="N30" s="39">
        <f t="shared" si="3"/>
        <v>3.0000000000000001E-3</v>
      </c>
      <c r="O30" s="39">
        <f t="shared" si="3"/>
        <v>1.9E-3</v>
      </c>
      <c r="P30" s="39"/>
      <c r="Q30" s="41">
        <v>5.0744999999999998E-2</v>
      </c>
      <c r="R30" s="41">
        <v>5.77E-3</v>
      </c>
      <c r="S30" s="43">
        <f t="shared" ref="S30:S50" si="5">S29</f>
        <v>2.4066000000000001E-2</v>
      </c>
      <c r="T30" s="46">
        <v>4.9451000000000002E-2</v>
      </c>
      <c r="U30" s="41">
        <v>4.9410000000000001E-3</v>
      </c>
      <c r="V30" s="41">
        <v>1.2650000000000001E-3</v>
      </c>
      <c r="W30" s="41">
        <v>1.8831000000000001E-2</v>
      </c>
      <c r="X30" s="40">
        <f>X29</f>
        <v>4.6740000000000002E-3</v>
      </c>
      <c r="Y30" s="40"/>
      <c r="Z30" s="40"/>
      <c r="AA30" s="40"/>
      <c r="AB30" s="40"/>
      <c r="AC30" s="44"/>
    </row>
    <row r="31" spans="2:29" x14ac:dyDescent="0.35">
      <c r="B31" s="30">
        <f t="shared" si="0"/>
        <v>2012</v>
      </c>
      <c r="C31" s="30">
        <f t="shared" si="1"/>
        <v>5</v>
      </c>
      <c r="D31" s="31">
        <v>41030</v>
      </c>
      <c r="E31" s="38">
        <f t="shared" si="4"/>
        <v>15.76</v>
      </c>
      <c r="F31" s="39">
        <f t="shared" ref="F31:F41" si="6">F30</f>
        <v>8.899E-2</v>
      </c>
      <c r="G31" s="39">
        <v>8.899E-2</v>
      </c>
      <c r="H31" s="40">
        <f t="shared" ref="H31:H50" si="7">H30</f>
        <v>0</v>
      </c>
      <c r="I31" s="38">
        <f t="shared" ref="I31:I50" si="8">I30</f>
        <v>1.04</v>
      </c>
      <c r="J31" s="41">
        <v>2.6949999999999999E-3</v>
      </c>
      <c r="K31" s="42">
        <v>1.6660000000000001E-2</v>
      </c>
      <c r="L31" s="41">
        <v>3.1799999999999998E-4</v>
      </c>
      <c r="M31" s="41">
        <v>-6.3999999999999997E-5</v>
      </c>
      <c r="N31" s="39">
        <f t="shared" ref="N31:O35" si="9">N30</f>
        <v>3.0000000000000001E-3</v>
      </c>
      <c r="O31" s="39">
        <f t="shared" si="9"/>
        <v>1.9E-3</v>
      </c>
      <c r="P31" s="39"/>
      <c r="Q31" s="41">
        <v>4.9916000000000002E-2</v>
      </c>
      <c r="R31" s="41">
        <v>5.7999999999999996E-3</v>
      </c>
      <c r="S31" s="43">
        <f t="shared" si="5"/>
        <v>2.4066000000000001E-2</v>
      </c>
      <c r="T31" s="43">
        <f>T30</f>
        <v>4.9451000000000002E-2</v>
      </c>
      <c r="U31" s="41">
        <v>4.5000000000000003E-5</v>
      </c>
      <c r="V31" s="41">
        <v>-1.9780000000000002E-3</v>
      </c>
      <c r="W31" s="41">
        <v>2.0066000000000001E-2</v>
      </c>
      <c r="X31" s="40">
        <v>4.6740000000000002E-3</v>
      </c>
      <c r="Y31" s="40"/>
      <c r="Z31" s="40"/>
      <c r="AA31" s="40"/>
      <c r="AB31" s="40"/>
      <c r="AC31" s="44"/>
    </row>
    <row r="32" spans="2:29" x14ac:dyDescent="0.35">
      <c r="B32" s="30">
        <f t="shared" si="0"/>
        <v>2012</v>
      </c>
      <c r="C32" s="30">
        <f t="shared" si="1"/>
        <v>6</v>
      </c>
      <c r="D32" s="31">
        <v>41061</v>
      </c>
      <c r="E32" s="38">
        <f t="shared" si="4"/>
        <v>15.76</v>
      </c>
      <c r="F32" s="39">
        <f t="shared" si="6"/>
        <v>8.899E-2</v>
      </c>
      <c r="G32" s="42">
        <v>0.10224</v>
      </c>
      <c r="H32" s="40">
        <f t="shared" si="7"/>
        <v>0</v>
      </c>
      <c r="I32" s="38">
        <f t="shared" si="8"/>
        <v>1.04</v>
      </c>
      <c r="J32" s="40">
        <v>2.6949999999999999E-3</v>
      </c>
      <c r="K32" s="42">
        <v>1.532E-2</v>
      </c>
      <c r="L32" s="41">
        <v>1.8799999999999999E-4</v>
      </c>
      <c r="M32" s="40">
        <v>-6.3999999999999997E-5</v>
      </c>
      <c r="N32" s="39">
        <f t="shared" si="9"/>
        <v>3.0000000000000001E-3</v>
      </c>
      <c r="O32" s="39">
        <f t="shared" si="9"/>
        <v>1.9E-3</v>
      </c>
      <c r="P32" s="39"/>
      <c r="Q32" s="41">
        <v>7.8476000000000004E-2</v>
      </c>
      <c r="R32" s="41">
        <v>5.3179999999999998E-3</v>
      </c>
      <c r="S32" s="43">
        <f t="shared" si="5"/>
        <v>2.4066000000000001E-2</v>
      </c>
      <c r="T32" s="46">
        <f>4.9451%+0.01%</f>
        <v>4.9551000000000005E-2</v>
      </c>
      <c r="U32" s="41">
        <v>2.209E-3</v>
      </c>
      <c r="V32" s="41">
        <v>5.7000000000000003E-5</v>
      </c>
      <c r="W32" s="41">
        <v>1.8755000000000001E-2</v>
      </c>
      <c r="X32" s="40">
        <v>4.6740000000000002E-3</v>
      </c>
      <c r="Y32" s="40"/>
      <c r="Z32" s="40"/>
      <c r="AA32" s="40"/>
      <c r="AB32" s="40"/>
      <c r="AC32" s="44"/>
    </row>
    <row r="33" spans="2:29" x14ac:dyDescent="0.35">
      <c r="B33" s="30">
        <f t="shared" si="0"/>
        <v>2012</v>
      </c>
      <c r="C33" s="30">
        <f t="shared" si="1"/>
        <v>7</v>
      </c>
      <c r="D33" s="31">
        <v>41091</v>
      </c>
      <c r="E33" s="38">
        <f t="shared" si="4"/>
        <v>15.76</v>
      </c>
      <c r="F33" s="39">
        <f t="shared" si="6"/>
        <v>8.899E-2</v>
      </c>
      <c r="G33" s="39">
        <v>0.10224</v>
      </c>
      <c r="H33" s="40">
        <f t="shared" si="7"/>
        <v>0</v>
      </c>
      <c r="I33" s="38">
        <f t="shared" si="8"/>
        <v>1.04</v>
      </c>
      <c r="J33" s="40">
        <v>2.6949999999999999E-3</v>
      </c>
      <c r="K33" s="42">
        <v>1.299E-2</v>
      </c>
      <c r="L33" s="41">
        <v>1.2E-4</v>
      </c>
      <c r="M33" s="40">
        <v>-6.3999999999999997E-5</v>
      </c>
      <c r="N33" s="39">
        <f t="shared" si="9"/>
        <v>3.0000000000000001E-3</v>
      </c>
      <c r="O33" s="39">
        <f t="shared" si="9"/>
        <v>1.9E-3</v>
      </c>
      <c r="P33" s="39"/>
      <c r="Q33" s="41">
        <v>9.1912999999999995E-2</v>
      </c>
      <c r="R33" s="41">
        <f>0.002224+0.002788+0.000524-0.000136</f>
        <v>5.4000000000000003E-3</v>
      </c>
      <c r="S33" s="43">
        <f t="shared" si="5"/>
        <v>2.4066000000000001E-2</v>
      </c>
      <c r="T33" s="46">
        <v>4.9451000000000002E-2</v>
      </c>
      <c r="U33" s="41">
        <v>-1.121E-3</v>
      </c>
      <c r="V33" s="41">
        <v>1.7632999999999999E-2</v>
      </c>
      <c r="W33" s="41">
        <v>1.3247E-2</v>
      </c>
      <c r="X33" s="40">
        <v>4.6740000000000002E-3</v>
      </c>
      <c r="Y33" s="40"/>
      <c r="Z33" s="40"/>
      <c r="AA33" s="40"/>
      <c r="AB33" s="40"/>
      <c r="AC33" s="44"/>
    </row>
    <row r="34" spans="2:29" x14ac:dyDescent="0.35">
      <c r="B34" s="30">
        <f t="shared" si="0"/>
        <v>2012</v>
      </c>
      <c r="C34" s="30">
        <f t="shared" si="1"/>
        <v>8</v>
      </c>
      <c r="D34" s="31">
        <v>41122</v>
      </c>
      <c r="E34" s="38">
        <f t="shared" si="4"/>
        <v>15.76</v>
      </c>
      <c r="F34" s="39">
        <f t="shared" si="6"/>
        <v>8.899E-2</v>
      </c>
      <c r="G34" s="39">
        <v>0.10224</v>
      </c>
      <c r="H34" s="40">
        <f t="shared" si="7"/>
        <v>0</v>
      </c>
      <c r="I34" s="38">
        <f t="shared" si="8"/>
        <v>1.04</v>
      </c>
      <c r="J34" s="40">
        <v>2.6949999999999999E-3</v>
      </c>
      <c r="K34" s="42">
        <v>1.136E-2</v>
      </c>
      <c r="L34" s="41">
        <v>8.7000000000000001E-5</v>
      </c>
      <c r="M34" s="40">
        <v>-6.3999999999999997E-5</v>
      </c>
      <c r="N34" s="39">
        <f t="shared" si="9"/>
        <v>3.0000000000000001E-3</v>
      </c>
      <c r="O34" s="39">
        <f t="shared" si="9"/>
        <v>1.9E-3</v>
      </c>
      <c r="P34" s="39"/>
      <c r="Q34" s="41">
        <v>0.102383</v>
      </c>
      <c r="R34" s="41">
        <f>0.002224+0.002788+0.001119-0.000136</f>
        <v>5.9950000000000003E-3</v>
      </c>
      <c r="S34" s="43">
        <f t="shared" si="5"/>
        <v>2.4066000000000001E-2</v>
      </c>
      <c r="T34" s="43">
        <v>4.9451000000000002E-2</v>
      </c>
      <c r="U34" s="41">
        <v>-5.0500000000000002E-4</v>
      </c>
      <c r="V34" s="41">
        <v>-1.5554E-2</v>
      </c>
      <c r="W34" s="41">
        <v>6.5250000000000004E-3</v>
      </c>
      <c r="X34" s="40">
        <v>4.6740000000000002E-3</v>
      </c>
      <c r="Y34" s="40"/>
      <c r="Z34" s="40"/>
      <c r="AA34" s="40"/>
      <c r="AB34" s="40"/>
      <c r="AC34" s="44"/>
    </row>
    <row r="35" spans="2:29" x14ac:dyDescent="0.35">
      <c r="B35" s="30">
        <f t="shared" ref="B35:B66" si="10">YEAR(D35)</f>
        <v>2012</v>
      </c>
      <c r="C35" s="30">
        <f t="shared" ref="C35:C66" si="11">MONTH(D35)</f>
        <v>9</v>
      </c>
      <c r="D35" s="31">
        <v>41153</v>
      </c>
      <c r="E35" s="38">
        <f t="shared" si="4"/>
        <v>15.76</v>
      </c>
      <c r="F35" s="39">
        <f t="shared" si="6"/>
        <v>8.899E-2</v>
      </c>
      <c r="G35" s="39">
        <v>0.10224</v>
      </c>
      <c r="H35" s="40">
        <f t="shared" si="7"/>
        <v>0</v>
      </c>
      <c r="I35" s="38">
        <f t="shared" si="8"/>
        <v>1.04</v>
      </c>
      <c r="J35" s="41">
        <v>3.9110000000000004E-3</v>
      </c>
      <c r="K35" s="42">
        <v>1.436E-2</v>
      </c>
      <c r="L35" s="41">
        <v>8.7999999999999998E-5</v>
      </c>
      <c r="M35" s="40">
        <v>-6.3999999999999997E-5</v>
      </c>
      <c r="N35" s="39">
        <f t="shared" si="9"/>
        <v>3.0000000000000001E-3</v>
      </c>
      <c r="O35" s="39">
        <f t="shared" si="9"/>
        <v>1.9E-3</v>
      </c>
      <c r="P35" s="39"/>
      <c r="Q35" s="41">
        <v>9.3043000000000001E-2</v>
      </c>
      <c r="R35" s="41">
        <f>0.002224+0.002788+0.001771-0.000136</f>
        <v>6.6470000000000001E-3</v>
      </c>
      <c r="S35" s="43">
        <f t="shared" si="5"/>
        <v>2.4066000000000001E-2</v>
      </c>
      <c r="T35" s="43">
        <v>4.9451000000000002E-2</v>
      </c>
      <c r="U35" s="41">
        <f>-0.3094/100</f>
        <v>-3.094E-3</v>
      </c>
      <c r="V35" s="41">
        <f>-1.5934/100</f>
        <v>-1.5934E-2</v>
      </c>
      <c r="W35" s="41">
        <v>5.7359999999999998E-3</v>
      </c>
      <c r="X35" s="40">
        <v>4.6740000000000002E-3</v>
      </c>
      <c r="Y35" s="40"/>
      <c r="Z35" s="40"/>
      <c r="AA35" s="40"/>
      <c r="AB35" s="40"/>
      <c r="AC35" s="44"/>
    </row>
    <row r="36" spans="2:29" x14ac:dyDescent="0.35">
      <c r="B36" s="30">
        <f t="shared" si="10"/>
        <v>2012</v>
      </c>
      <c r="C36" s="30">
        <f t="shared" si="11"/>
        <v>10</v>
      </c>
      <c r="D36" s="31">
        <v>41183</v>
      </c>
      <c r="E36" s="38">
        <f t="shared" si="4"/>
        <v>15.76</v>
      </c>
      <c r="F36" s="39">
        <f t="shared" si="6"/>
        <v>8.899E-2</v>
      </c>
      <c r="G36" s="42">
        <v>8.899E-2</v>
      </c>
      <c r="H36" s="40">
        <f t="shared" si="7"/>
        <v>0</v>
      </c>
      <c r="I36" s="38">
        <f t="shared" si="8"/>
        <v>1.04</v>
      </c>
      <c r="J36" s="40">
        <v>3.9110000000000004E-3</v>
      </c>
      <c r="K36" s="42">
        <v>1.434E-2</v>
      </c>
      <c r="L36" s="41">
        <v>7.6000000000000004E-5</v>
      </c>
      <c r="M36" s="40">
        <v>-6.3999999999999997E-5</v>
      </c>
      <c r="N36" s="39">
        <f>N35</f>
        <v>3.0000000000000001E-3</v>
      </c>
      <c r="O36" s="41">
        <v>2.3E-3</v>
      </c>
      <c r="P36" s="41"/>
      <c r="Q36" s="41">
        <v>8.5875999999999994E-2</v>
      </c>
      <c r="R36" s="41">
        <f>0.002224+0.002788+0.00161-0.000136</f>
        <v>6.4860000000000004E-3</v>
      </c>
      <c r="S36" s="43">
        <f t="shared" si="5"/>
        <v>2.4066000000000001E-2</v>
      </c>
      <c r="T36" s="43">
        <v>4.9451000000000002E-2</v>
      </c>
      <c r="U36" s="41">
        <v>2.6940000000000002E-3</v>
      </c>
      <c r="V36" s="41">
        <v>3.2959999999999999E-3</v>
      </c>
      <c r="W36" s="41">
        <v>1.6997000000000002E-2</v>
      </c>
      <c r="X36" s="40">
        <v>4.6740000000000002E-3</v>
      </c>
      <c r="Y36" s="40"/>
      <c r="Z36" s="40"/>
      <c r="AA36" s="40"/>
      <c r="AB36" s="40"/>
      <c r="AC36" s="44"/>
    </row>
    <row r="37" spans="2:29" x14ac:dyDescent="0.35">
      <c r="B37" s="30">
        <f t="shared" si="10"/>
        <v>2012</v>
      </c>
      <c r="C37" s="30">
        <f t="shared" si="11"/>
        <v>11</v>
      </c>
      <c r="D37" s="31">
        <v>41214</v>
      </c>
      <c r="E37" s="38">
        <f t="shared" si="4"/>
        <v>15.76</v>
      </c>
      <c r="F37" s="39">
        <f t="shared" si="6"/>
        <v>8.899E-2</v>
      </c>
      <c r="G37" s="39">
        <v>8.899E-2</v>
      </c>
      <c r="H37" s="40">
        <f t="shared" si="7"/>
        <v>0</v>
      </c>
      <c r="I37" s="38">
        <f t="shared" si="8"/>
        <v>1.04</v>
      </c>
      <c r="J37" s="47">
        <v>2.15E-3</v>
      </c>
      <c r="K37" s="42">
        <v>2.019E-2</v>
      </c>
      <c r="L37" s="41">
        <v>8.8999999999999995E-5</v>
      </c>
      <c r="M37" s="40">
        <v>-6.3999999999999997E-5</v>
      </c>
      <c r="N37" s="39">
        <f>N36</f>
        <v>3.0000000000000001E-3</v>
      </c>
      <c r="O37" s="40">
        <v>2.3E-3</v>
      </c>
      <c r="P37" s="40"/>
      <c r="Q37" s="41">
        <v>8.6238999999999996E-2</v>
      </c>
      <c r="R37" s="41">
        <f>0.002224+0.002788+0.001427-0.000136</f>
        <v>6.3030000000000004E-3</v>
      </c>
      <c r="S37" s="43">
        <f t="shared" si="5"/>
        <v>2.4066000000000001E-2</v>
      </c>
      <c r="T37" s="43">
        <v>4.9451000000000002E-2</v>
      </c>
      <c r="U37" s="41">
        <v>2.225E-3</v>
      </c>
      <c r="V37" s="41">
        <v>-1.8175E-2</v>
      </c>
      <c r="W37" s="41">
        <v>9.9349999999999994E-3</v>
      </c>
      <c r="X37" s="40">
        <v>4.6740000000000002E-3</v>
      </c>
      <c r="Y37" s="40"/>
      <c r="Z37" s="40"/>
      <c r="AA37" s="40"/>
      <c r="AB37" s="40"/>
      <c r="AC37" s="44"/>
    </row>
    <row r="38" spans="2:29" x14ac:dyDescent="0.35">
      <c r="B38" s="30">
        <f t="shared" si="10"/>
        <v>2012</v>
      </c>
      <c r="C38" s="30">
        <f t="shared" si="11"/>
        <v>12</v>
      </c>
      <c r="D38" s="31">
        <v>41244</v>
      </c>
      <c r="E38" s="38">
        <f t="shared" si="4"/>
        <v>15.76</v>
      </c>
      <c r="F38" s="39">
        <f t="shared" si="6"/>
        <v>8.899E-2</v>
      </c>
      <c r="G38" s="39">
        <v>8.899E-2</v>
      </c>
      <c r="H38" s="40">
        <f t="shared" si="7"/>
        <v>0</v>
      </c>
      <c r="I38" s="38">
        <f t="shared" si="8"/>
        <v>1.04</v>
      </c>
      <c r="J38" s="48">
        <v>2.15E-3</v>
      </c>
      <c r="K38" s="42">
        <v>1.7440000000000001E-2</v>
      </c>
      <c r="L38" s="41">
        <v>1.7699999999999999E-4</v>
      </c>
      <c r="M38" s="40">
        <v>-6.3999999999999997E-5</v>
      </c>
      <c r="N38" s="39">
        <f>N37</f>
        <v>3.0000000000000001E-3</v>
      </c>
      <c r="O38" s="40">
        <v>2.3E-3</v>
      </c>
      <c r="P38" s="40"/>
      <c r="Q38" s="41">
        <v>8.1790000000000002E-2</v>
      </c>
      <c r="R38" s="41">
        <f>0.002224+0.002788+0.000419-0.000136</f>
        <v>5.2950000000000002E-3</v>
      </c>
      <c r="S38" s="43">
        <f t="shared" si="5"/>
        <v>2.4066000000000001E-2</v>
      </c>
      <c r="T38" s="43">
        <v>4.9451000000000002E-2</v>
      </c>
      <c r="U38" s="41">
        <v>1.4940000000000001E-3</v>
      </c>
      <c r="V38" s="41">
        <v>-5.0800000000000003E-3</v>
      </c>
      <c r="W38" s="41">
        <v>1.0676E-2</v>
      </c>
      <c r="X38" s="40">
        <v>4.6740000000000002E-3</v>
      </c>
      <c r="Y38" s="40"/>
      <c r="Z38" s="40"/>
      <c r="AA38" s="40"/>
      <c r="AB38" s="40"/>
      <c r="AC38" s="44"/>
    </row>
    <row r="39" spans="2:29" x14ac:dyDescent="0.35">
      <c r="B39" s="30">
        <f t="shared" si="10"/>
        <v>2013</v>
      </c>
      <c r="C39" s="30">
        <f t="shared" si="11"/>
        <v>1</v>
      </c>
      <c r="D39" s="31">
        <v>41275</v>
      </c>
      <c r="E39" s="38">
        <f t="shared" si="4"/>
        <v>15.76</v>
      </c>
      <c r="F39" s="39">
        <f t="shared" si="6"/>
        <v>8.899E-2</v>
      </c>
      <c r="G39" s="39">
        <v>8.899E-2</v>
      </c>
      <c r="H39" s="40">
        <f t="shared" si="7"/>
        <v>0</v>
      </c>
      <c r="I39" s="38">
        <f t="shared" si="8"/>
        <v>1.04</v>
      </c>
      <c r="J39" s="48">
        <v>2.15E-3</v>
      </c>
      <c r="K39" s="42">
        <v>1.421E-2</v>
      </c>
      <c r="L39" s="41">
        <v>1.25E-4</v>
      </c>
      <c r="M39" s="40">
        <v>-6.3999999999999997E-5</v>
      </c>
      <c r="N39" s="41">
        <v>3.3999999999999998E-3</v>
      </c>
      <c r="O39" s="40">
        <v>2.3E-3</v>
      </c>
      <c r="P39" s="40"/>
      <c r="Q39" s="41">
        <v>7.6786999999999994E-2</v>
      </c>
      <c r="R39" s="41">
        <f>0.002224+0.002788+0.000138-0.000136</f>
        <v>5.0140000000000002E-3</v>
      </c>
      <c r="S39" s="43">
        <f t="shared" si="5"/>
        <v>2.4066000000000001E-2</v>
      </c>
      <c r="T39" s="43">
        <v>4.9451000000000002E-2</v>
      </c>
      <c r="U39" s="41">
        <v>5.1330000000000004E-3</v>
      </c>
      <c r="V39" s="41">
        <v>-1.2964E-2</v>
      </c>
      <c r="W39" s="41">
        <v>-7.2909999999999997E-3</v>
      </c>
      <c r="X39" s="40">
        <v>4.6740000000000002E-3</v>
      </c>
      <c r="Y39" s="40"/>
      <c r="Z39" s="40"/>
      <c r="AA39" s="40"/>
      <c r="AB39" s="40"/>
      <c r="AC39" s="44"/>
    </row>
    <row r="40" spans="2:29" x14ac:dyDescent="0.35">
      <c r="B40" s="30">
        <f t="shared" si="10"/>
        <v>2013</v>
      </c>
      <c r="C40" s="30">
        <f t="shared" si="11"/>
        <v>2</v>
      </c>
      <c r="D40" s="31">
        <v>41306</v>
      </c>
      <c r="E40" s="38">
        <f t="shared" si="4"/>
        <v>15.76</v>
      </c>
      <c r="F40" s="39">
        <f t="shared" si="6"/>
        <v>8.899E-2</v>
      </c>
      <c r="G40" s="39">
        <v>8.899E-2</v>
      </c>
      <c r="H40" s="40">
        <f t="shared" si="7"/>
        <v>0</v>
      </c>
      <c r="I40" s="38">
        <f t="shared" si="8"/>
        <v>1.04</v>
      </c>
      <c r="J40" s="48">
        <v>2.15E-3</v>
      </c>
      <c r="K40" s="42">
        <v>1.5910000000000001E-2</v>
      </c>
      <c r="L40" s="41">
        <v>1.5699999999999999E-4</v>
      </c>
      <c r="M40" s="40">
        <v>-6.3999999999999997E-5</v>
      </c>
      <c r="N40" s="39">
        <v>3.3999999999999998E-3</v>
      </c>
      <c r="O40" s="40">
        <v>2.3E-3</v>
      </c>
      <c r="P40" s="40"/>
      <c r="Q40" s="41">
        <v>0.115109</v>
      </c>
      <c r="R40" s="41">
        <f>0.002224+0.002788+0.000522-0.000136</f>
        <v>5.398E-3</v>
      </c>
      <c r="S40" s="43">
        <f t="shared" si="5"/>
        <v>2.4066000000000001E-2</v>
      </c>
      <c r="T40" s="43">
        <v>4.9451000000000002E-2</v>
      </c>
      <c r="U40" s="41">
        <v>4.4840000000000001E-3</v>
      </c>
      <c r="V40" s="41">
        <v>-4.1450000000000002E-3</v>
      </c>
      <c r="W40" s="41">
        <v>5.7429999999999998E-3</v>
      </c>
      <c r="X40" s="40">
        <v>4.6740000000000002E-3</v>
      </c>
      <c r="Y40" s="40"/>
      <c r="Z40" s="40"/>
      <c r="AA40" s="40"/>
      <c r="AB40" s="40"/>
      <c r="AC40" s="44"/>
    </row>
    <row r="41" spans="2:29" x14ac:dyDescent="0.35">
      <c r="B41" s="30">
        <f t="shared" si="10"/>
        <v>2013</v>
      </c>
      <c r="C41" s="30">
        <f t="shared" si="11"/>
        <v>3</v>
      </c>
      <c r="D41" s="31">
        <v>41334</v>
      </c>
      <c r="E41" s="38">
        <f t="shared" si="4"/>
        <v>15.76</v>
      </c>
      <c r="F41" s="39">
        <f t="shared" si="6"/>
        <v>8.899E-2</v>
      </c>
      <c r="G41" s="39">
        <v>8.899E-2</v>
      </c>
      <c r="H41" s="40">
        <f t="shared" si="7"/>
        <v>0</v>
      </c>
      <c r="I41" s="38">
        <f t="shared" si="8"/>
        <v>1.04</v>
      </c>
      <c r="J41" s="48">
        <v>2.15E-3</v>
      </c>
      <c r="K41" s="42">
        <v>1.8319999999999999E-2</v>
      </c>
      <c r="L41" s="41">
        <v>1.8699999999999999E-4</v>
      </c>
      <c r="M41" s="40">
        <v>-6.3999999999999997E-5</v>
      </c>
      <c r="N41" s="39">
        <v>3.3999999999999998E-3</v>
      </c>
      <c r="O41" s="40">
        <v>2.3E-3</v>
      </c>
      <c r="P41" s="40"/>
      <c r="Q41" s="41">
        <v>0.123568</v>
      </c>
      <c r="R41" s="41">
        <f>0.002224+0.002788+0.001182-0.000136</f>
        <v>6.058E-3</v>
      </c>
      <c r="S41" s="43">
        <f t="shared" si="5"/>
        <v>2.4066000000000001E-2</v>
      </c>
      <c r="T41" s="43">
        <v>4.9451000000000002E-2</v>
      </c>
      <c r="U41" s="41">
        <v>9.8799999999999995E-4</v>
      </c>
      <c r="V41" s="41">
        <f>0.1765/100</f>
        <v>1.7649999999999999E-3</v>
      </c>
      <c r="W41" s="41">
        <v>-1.3868E-2</v>
      </c>
      <c r="X41" s="40">
        <v>4.6740000000000002E-3</v>
      </c>
      <c r="Y41" s="40"/>
      <c r="Z41" s="40"/>
      <c r="AA41" s="40"/>
      <c r="AB41" s="40"/>
      <c r="AC41" s="44"/>
    </row>
    <row r="42" spans="2:29" x14ac:dyDescent="0.35">
      <c r="B42" s="30">
        <f t="shared" si="10"/>
        <v>2013</v>
      </c>
      <c r="C42" s="30">
        <f t="shared" si="11"/>
        <v>4</v>
      </c>
      <c r="D42" s="31">
        <v>41365</v>
      </c>
      <c r="E42" s="38">
        <f t="shared" si="4"/>
        <v>15.76</v>
      </c>
      <c r="F42" s="42">
        <v>8.8940000000000005E-2</v>
      </c>
      <c r="G42" s="42">
        <v>8.8940000000000005E-2</v>
      </c>
      <c r="H42" s="40">
        <f t="shared" si="7"/>
        <v>0</v>
      </c>
      <c r="I42" s="38">
        <f t="shared" si="8"/>
        <v>1.04</v>
      </c>
      <c r="J42" s="41">
        <v>2.1199999999999999E-3</v>
      </c>
      <c r="K42" s="42">
        <v>2.1569999999999999E-2</v>
      </c>
      <c r="L42" s="41">
        <v>1.4300000000000001E-4</v>
      </c>
      <c r="M42" s="40">
        <v>-6.3999999999999997E-5</v>
      </c>
      <c r="N42" s="39">
        <v>3.3999999999999998E-3</v>
      </c>
      <c r="O42" s="40">
        <v>2.3E-3</v>
      </c>
      <c r="P42" s="40"/>
      <c r="Q42" s="41">
        <v>7.9855999999999996E-2</v>
      </c>
      <c r="R42" s="41">
        <f>0.002224+0.002788+0.001411-0.000075</f>
        <v>6.3479999999999995E-3</v>
      </c>
      <c r="S42" s="43">
        <f t="shared" si="5"/>
        <v>2.4066000000000001E-2</v>
      </c>
      <c r="T42" s="49">
        <v>5.1325999999999997E-2</v>
      </c>
      <c r="U42" s="41">
        <v>-7.0800000000000004E-3</v>
      </c>
      <c r="V42" s="41">
        <v>-8.4000000000000003E-4</v>
      </c>
      <c r="W42" s="41">
        <v>-7.3210000000000003E-3</v>
      </c>
      <c r="X42" s="40">
        <v>4.6740000000000002E-3</v>
      </c>
      <c r="Y42" s="40"/>
      <c r="Z42" s="40"/>
      <c r="AA42" s="40"/>
      <c r="AB42" s="40"/>
      <c r="AC42" s="44"/>
    </row>
    <row r="43" spans="2:29" x14ac:dyDescent="0.35">
      <c r="B43" s="30">
        <f t="shared" si="10"/>
        <v>2013</v>
      </c>
      <c r="C43" s="30">
        <f t="shared" si="11"/>
        <v>5</v>
      </c>
      <c r="D43" s="31">
        <v>41395</v>
      </c>
      <c r="E43" s="38">
        <f t="shared" si="4"/>
        <v>15.76</v>
      </c>
      <c r="F43" s="39">
        <v>8.8940000000000005E-2</v>
      </c>
      <c r="G43" s="39">
        <v>8.8940000000000005E-2</v>
      </c>
      <c r="H43" s="40">
        <f t="shared" si="7"/>
        <v>0</v>
      </c>
      <c r="I43" s="38">
        <f t="shared" si="8"/>
        <v>1.04</v>
      </c>
      <c r="J43" s="41">
        <v>4.9800000000000001E-3</v>
      </c>
      <c r="K43" s="42">
        <v>1.4149999999999999E-2</v>
      </c>
      <c r="L43" s="41">
        <v>-9.0000000000000002E-6</v>
      </c>
      <c r="M43" s="41">
        <v>-3.0000000000000001E-5</v>
      </c>
      <c r="N43" s="39">
        <v>3.3999999999999998E-3</v>
      </c>
      <c r="O43" s="40">
        <v>2.3E-3</v>
      </c>
      <c r="P43" s="40"/>
      <c r="Q43" s="41">
        <v>7.3620000000000005E-2</v>
      </c>
      <c r="R43" s="41">
        <f>0.002224+0.002788+0.000966-0.000075</f>
        <v>5.9029999999999994E-3</v>
      </c>
      <c r="S43" s="43">
        <f t="shared" si="5"/>
        <v>2.4066000000000001E-2</v>
      </c>
      <c r="T43" s="43">
        <v>5.1325999999999997E-2</v>
      </c>
      <c r="U43" s="41">
        <f>-0.4108/100</f>
        <v>-4.1079999999999997E-3</v>
      </c>
      <c r="V43" s="41">
        <f>-1.1834/100</f>
        <v>-1.1834000000000001E-2</v>
      </c>
      <c r="W43" s="41">
        <v>7.502E-3</v>
      </c>
      <c r="X43" s="40">
        <v>4.6740000000000002E-3</v>
      </c>
      <c r="Y43" s="40"/>
      <c r="Z43" s="40"/>
      <c r="AA43" s="40"/>
      <c r="AB43" s="40"/>
      <c r="AC43" s="44"/>
    </row>
    <row r="44" spans="2:29" x14ac:dyDescent="0.35">
      <c r="B44" s="30">
        <f t="shared" si="10"/>
        <v>2013</v>
      </c>
      <c r="C44" s="30">
        <f t="shared" si="11"/>
        <v>6</v>
      </c>
      <c r="D44" s="31">
        <v>41426</v>
      </c>
      <c r="E44" s="38">
        <f t="shared" si="4"/>
        <v>15.76</v>
      </c>
      <c r="F44" s="39">
        <v>8.8940000000000005E-2</v>
      </c>
      <c r="G44" s="42">
        <v>0.10224</v>
      </c>
      <c r="H44" s="40">
        <f t="shared" si="7"/>
        <v>0</v>
      </c>
      <c r="I44" s="38">
        <f t="shared" si="8"/>
        <v>1.04</v>
      </c>
      <c r="J44" s="40">
        <v>4.9800000000000001E-3</v>
      </c>
      <c r="K44" s="42">
        <v>1.176E-2</v>
      </c>
      <c r="L44" s="41">
        <v>6.8999999999999997E-5</v>
      </c>
      <c r="M44" s="40">
        <v>-3.0000000000000001E-5</v>
      </c>
      <c r="N44" s="39">
        <v>3.3999999999999998E-3</v>
      </c>
      <c r="O44" s="40">
        <v>2.3E-3</v>
      </c>
      <c r="P44" s="40"/>
      <c r="Q44" s="41">
        <v>0.100921</v>
      </c>
      <c r="R44" s="41">
        <f>0.002224+0.002788-0.000074-0.000075</f>
        <v>4.8629999999999993E-3</v>
      </c>
      <c r="S44" s="43">
        <f t="shared" si="5"/>
        <v>2.4066000000000001E-2</v>
      </c>
      <c r="T44" s="46">
        <v>5.1978000000000003E-2</v>
      </c>
      <c r="U44" s="41">
        <v>1.013E-3</v>
      </c>
      <c r="V44" s="41">
        <v>-1.3060000000000001E-3</v>
      </c>
      <c r="W44" s="41">
        <v>3.4299999999999999E-4</v>
      </c>
      <c r="X44" s="40">
        <v>4.6740000000000002E-3</v>
      </c>
      <c r="Y44" s="40"/>
      <c r="Z44" s="40"/>
      <c r="AA44" s="40"/>
      <c r="AB44" s="40"/>
      <c r="AC44" s="44"/>
    </row>
    <row r="45" spans="2:29" x14ac:dyDescent="0.35">
      <c r="B45" s="30">
        <f t="shared" si="10"/>
        <v>2013</v>
      </c>
      <c r="C45" s="30">
        <f t="shared" si="11"/>
        <v>7</v>
      </c>
      <c r="D45" s="32">
        <v>41456</v>
      </c>
      <c r="E45" s="50">
        <f t="shared" si="4"/>
        <v>15.76</v>
      </c>
      <c r="F45" s="51">
        <v>8.8940000000000005E-2</v>
      </c>
      <c r="G45" s="51">
        <v>0.10224</v>
      </c>
      <c r="H45" s="52">
        <f t="shared" si="7"/>
        <v>0</v>
      </c>
      <c r="I45" s="50">
        <f t="shared" si="8"/>
        <v>1.04</v>
      </c>
      <c r="J45" s="52">
        <v>4.9800000000000001E-3</v>
      </c>
      <c r="K45" s="53">
        <v>8.3199999999999993E-3</v>
      </c>
      <c r="L45" s="54">
        <v>9.3999999999999994E-5</v>
      </c>
      <c r="M45" s="52">
        <v>-3.0000000000000001E-5</v>
      </c>
      <c r="N45" s="51">
        <v>3.3999999999999998E-3</v>
      </c>
      <c r="O45" s="52">
        <v>2.3E-3</v>
      </c>
      <c r="P45" s="52"/>
      <c r="Q45" s="54">
        <v>0.12012100000000001</v>
      </c>
      <c r="R45" s="54">
        <f>0.002224+0.002788+0.000408-0.000075</f>
        <v>5.3449999999999999E-3</v>
      </c>
      <c r="S45" s="55">
        <f t="shared" si="5"/>
        <v>2.4066000000000001E-2</v>
      </c>
      <c r="T45" s="56">
        <v>5.1325999999999997E-2</v>
      </c>
      <c r="U45" s="54">
        <v>2.4750000000000002E-3</v>
      </c>
      <c r="V45" s="54">
        <v>-4.7530000000000003E-3</v>
      </c>
      <c r="W45" s="54">
        <v>4.7359999999999998E-3</v>
      </c>
      <c r="X45" s="54">
        <v>3.9110000000000004E-3</v>
      </c>
      <c r="Y45" s="54"/>
      <c r="Z45" s="54"/>
      <c r="AA45" s="54"/>
      <c r="AB45" s="54"/>
      <c r="AC45" s="44"/>
    </row>
    <row r="46" spans="2:29" x14ac:dyDescent="0.35">
      <c r="B46" s="30">
        <f t="shared" si="10"/>
        <v>2013</v>
      </c>
      <c r="C46" s="30">
        <f t="shared" si="11"/>
        <v>8</v>
      </c>
      <c r="D46" s="31">
        <f t="shared" ref="D46:D82" si="12">+DATE(YEAR(D45),MONTH(D45)+1,1)</f>
        <v>41487</v>
      </c>
      <c r="E46" s="38">
        <f t="shared" si="4"/>
        <v>15.76</v>
      </c>
      <c r="F46" s="39">
        <v>8.8940000000000005E-2</v>
      </c>
      <c r="G46" s="39">
        <v>0.10224</v>
      </c>
      <c r="H46" s="40">
        <f t="shared" si="7"/>
        <v>0</v>
      </c>
      <c r="I46" s="38">
        <f t="shared" si="8"/>
        <v>1.04</v>
      </c>
      <c r="J46" s="40">
        <v>4.9800000000000001E-3</v>
      </c>
      <c r="K46" s="42">
        <v>9.4000000000000004E-3</v>
      </c>
      <c r="L46" s="41">
        <v>9.2999999999999997E-5</v>
      </c>
      <c r="M46" s="40">
        <v>-3.0000000000000001E-5</v>
      </c>
      <c r="N46" s="39">
        <v>3.3999999999999998E-3</v>
      </c>
      <c r="O46" s="40">
        <v>2.3E-3</v>
      </c>
      <c r="P46" s="40"/>
      <c r="Q46" s="41">
        <v>9.6821000000000004E-2</v>
      </c>
      <c r="R46" s="41">
        <f>0.002224+0.002788+0.001101-0.000075</f>
        <v>6.038E-3</v>
      </c>
      <c r="S46" s="43">
        <f t="shared" si="5"/>
        <v>2.4066000000000001E-2</v>
      </c>
      <c r="T46" s="49">
        <v>5.1325999999999997E-2</v>
      </c>
      <c r="U46" s="41">
        <v>-1.3849999999999999E-3</v>
      </c>
      <c r="V46" s="41">
        <v>-1.8533000000000001E-2</v>
      </c>
      <c r="W46" s="41">
        <v>8.9800000000000004E-4</v>
      </c>
      <c r="X46" s="40">
        <v>3.9110000000000004E-3</v>
      </c>
      <c r="Y46" s="40"/>
      <c r="Z46" s="40"/>
      <c r="AA46" s="40"/>
      <c r="AB46" s="40"/>
      <c r="AC46" s="44"/>
    </row>
    <row r="47" spans="2:29" x14ac:dyDescent="0.35">
      <c r="B47" s="30">
        <f t="shared" si="10"/>
        <v>2013</v>
      </c>
      <c r="C47" s="30">
        <f t="shared" si="11"/>
        <v>9</v>
      </c>
      <c r="D47" s="31">
        <f t="shared" si="12"/>
        <v>41518</v>
      </c>
      <c r="E47" s="38">
        <f t="shared" si="4"/>
        <v>15.76</v>
      </c>
      <c r="F47" s="39">
        <v>8.8940000000000005E-2</v>
      </c>
      <c r="G47" s="39">
        <v>0.10224</v>
      </c>
      <c r="H47" s="40">
        <f t="shared" si="7"/>
        <v>0</v>
      </c>
      <c r="I47" s="38">
        <f t="shared" si="8"/>
        <v>1.04</v>
      </c>
      <c r="J47" s="42">
        <v>4.8399999999999997E-3</v>
      </c>
      <c r="K47" s="42">
        <v>1.295E-2</v>
      </c>
      <c r="L47" s="41">
        <v>8.8999999999999995E-5</v>
      </c>
      <c r="M47" s="40">
        <v>-3.0000000000000001E-5</v>
      </c>
      <c r="N47" s="39">
        <v>3.3999999999999998E-3</v>
      </c>
      <c r="O47" s="40">
        <v>2.3E-3</v>
      </c>
      <c r="P47" s="40"/>
      <c r="Q47" s="41">
        <v>9.4394000000000006E-2</v>
      </c>
      <c r="R47" s="41">
        <f>0.002224+0.002788+0.002186-0.000075</f>
        <v>7.1229999999999991E-3</v>
      </c>
      <c r="S47" s="43">
        <f t="shared" si="5"/>
        <v>2.4066000000000001E-2</v>
      </c>
      <c r="T47" s="49">
        <v>5.1325999999999997E-2</v>
      </c>
      <c r="U47" s="41">
        <v>4.5300000000000001E-4</v>
      </c>
      <c r="V47" s="41">
        <v>1.6515999999999999E-2</v>
      </c>
      <c r="W47" s="41">
        <v>1.0562999999999999E-2</v>
      </c>
      <c r="X47" s="40">
        <v>3.9110000000000004E-3</v>
      </c>
      <c r="Y47" s="40"/>
      <c r="Z47" s="40"/>
      <c r="AA47" s="40"/>
      <c r="AB47" s="40"/>
      <c r="AC47" s="44"/>
    </row>
    <row r="48" spans="2:29" x14ac:dyDescent="0.35">
      <c r="B48" s="30">
        <f t="shared" si="10"/>
        <v>2013</v>
      </c>
      <c r="C48" s="30">
        <f t="shared" si="11"/>
        <v>10</v>
      </c>
      <c r="D48" s="31">
        <f t="shared" si="12"/>
        <v>41548</v>
      </c>
      <c r="E48" s="38">
        <f t="shared" si="4"/>
        <v>15.76</v>
      </c>
      <c r="F48" s="39">
        <v>8.8940000000000005E-2</v>
      </c>
      <c r="G48" s="39">
        <v>8.8940000000000005E-2</v>
      </c>
      <c r="H48" s="40">
        <f t="shared" si="7"/>
        <v>0</v>
      </c>
      <c r="I48" s="38">
        <f t="shared" si="8"/>
        <v>1.04</v>
      </c>
      <c r="J48" s="42">
        <v>4.8399999999999997E-3</v>
      </c>
      <c r="K48" s="42">
        <v>1.393E-2</v>
      </c>
      <c r="L48" s="41">
        <v>6.9999999999999994E-5</v>
      </c>
      <c r="M48" s="40">
        <v>-3.0000000000000001E-5</v>
      </c>
      <c r="N48" s="39">
        <v>3.3999999999999998E-3</v>
      </c>
      <c r="O48" s="40">
        <v>2.5999999999999999E-3</v>
      </c>
      <c r="P48" s="40"/>
      <c r="Q48" s="41">
        <v>9.1324000000000002E-2</v>
      </c>
      <c r="R48" s="41">
        <f>0.002224+0.002788+0.001866+-0.000075</f>
        <v>6.803E-3</v>
      </c>
      <c r="S48" s="43">
        <f t="shared" si="5"/>
        <v>2.4066000000000001E-2</v>
      </c>
      <c r="T48" s="49">
        <v>5.1325999999999997E-2</v>
      </c>
      <c r="U48" s="41">
        <v>6.6500000000000001E-4</v>
      </c>
      <c r="V48" s="41">
        <v>-7.4530000000000004E-3</v>
      </c>
      <c r="W48" s="41">
        <v>7.8650000000000005E-3</v>
      </c>
      <c r="X48" s="40">
        <v>3.9110000000000004E-3</v>
      </c>
      <c r="Y48" s="40"/>
      <c r="Z48" s="40"/>
      <c r="AA48" s="40"/>
      <c r="AB48" s="40"/>
      <c r="AC48" s="44"/>
    </row>
    <row r="49" spans="2:29" x14ac:dyDescent="0.35">
      <c r="B49" s="30">
        <f t="shared" si="10"/>
        <v>2013</v>
      </c>
      <c r="C49" s="30">
        <f t="shared" si="11"/>
        <v>11</v>
      </c>
      <c r="D49" s="31">
        <f t="shared" si="12"/>
        <v>41579</v>
      </c>
      <c r="E49" s="38">
        <f t="shared" si="4"/>
        <v>15.76</v>
      </c>
      <c r="F49" s="39">
        <v>8.8940000000000005E-2</v>
      </c>
      <c r="G49" s="39">
        <v>8.8940000000000005E-2</v>
      </c>
      <c r="H49" s="40">
        <f t="shared" si="7"/>
        <v>0</v>
      </c>
      <c r="I49" s="38">
        <f t="shared" si="8"/>
        <v>1.04</v>
      </c>
      <c r="J49" s="42">
        <v>6.4400000000000004E-3</v>
      </c>
      <c r="K49" s="42">
        <v>1.772E-2</v>
      </c>
      <c r="L49" s="41">
        <v>1.12E-4</v>
      </c>
      <c r="M49" s="40">
        <v>-3.0000000000000001E-5</v>
      </c>
      <c r="N49" s="39">
        <v>3.3999999999999998E-3</v>
      </c>
      <c r="O49" s="40">
        <v>2.5999999999999999E-3</v>
      </c>
      <c r="P49" s="40"/>
      <c r="Q49" s="41">
        <v>8.6569999999999994E-2</v>
      </c>
      <c r="R49" s="41">
        <f>0.002224+0.002788+0.001125+-0.000075</f>
        <v>6.0619999999999997E-3</v>
      </c>
      <c r="S49" s="43">
        <f t="shared" si="5"/>
        <v>2.4066000000000001E-2</v>
      </c>
      <c r="T49" s="49">
        <v>5.1325999999999997E-2</v>
      </c>
      <c r="U49" s="41">
        <v>-5.2830000000000004E-3</v>
      </c>
      <c r="V49" s="41">
        <v>-3.9280000000000001E-3</v>
      </c>
      <c r="W49" s="41">
        <v>8.1779999999999995E-3</v>
      </c>
      <c r="X49" s="40">
        <v>3.9110000000000004E-3</v>
      </c>
      <c r="Y49" s="40"/>
      <c r="Z49" s="40"/>
      <c r="AA49" s="40"/>
      <c r="AB49" s="40"/>
      <c r="AC49" s="44"/>
    </row>
    <row r="50" spans="2:29" x14ac:dyDescent="0.35">
      <c r="B50" s="30">
        <f t="shared" si="10"/>
        <v>2013</v>
      </c>
      <c r="C50" s="30">
        <f t="shared" si="11"/>
        <v>12</v>
      </c>
      <c r="D50" s="31">
        <f t="shared" si="12"/>
        <v>41609</v>
      </c>
      <c r="E50" s="38">
        <f t="shared" si="4"/>
        <v>15.76</v>
      </c>
      <c r="F50" s="39">
        <v>8.8940000000000005E-2</v>
      </c>
      <c r="G50" s="39">
        <v>8.8940000000000005E-2</v>
      </c>
      <c r="H50" s="40">
        <f t="shared" si="7"/>
        <v>0</v>
      </c>
      <c r="I50" s="38">
        <f t="shared" si="8"/>
        <v>1.04</v>
      </c>
      <c r="J50" s="42">
        <v>6.4400000000000004E-3</v>
      </c>
      <c r="K50" s="42">
        <v>1.346E-2</v>
      </c>
      <c r="L50" s="41">
        <v>8.6000000000000003E-5</v>
      </c>
      <c r="M50" s="40">
        <v>-3.0000000000000001E-5</v>
      </c>
      <c r="N50" s="39">
        <v>3.3999999999999998E-3</v>
      </c>
      <c r="O50" s="40">
        <v>2.5999999999999999E-3</v>
      </c>
      <c r="P50" s="40"/>
      <c r="Q50" s="41">
        <v>0.10964</v>
      </c>
      <c r="R50" s="41">
        <f>0.002224+0.002788+0.000541+-0.000075</f>
        <v>5.4779999999999994E-3</v>
      </c>
      <c r="S50" s="43">
        <f t="shared" si="5"/>
        <v>2.4066000000000001E-2</v>
      </c>
      <c r="T50" s="49">
        <v>5.1325999999999997E-2</v>
      </c>
      <c r="U50" s="41">
        <v>3.7599999999999999E-3</v>
      </c>
      <c r="V50" s="41">
        <v>1.01E-3</v>
      </c>
      <c r="W50" s="41">
        <v>-3.2759999999999998E-3</v>
      </c>
      <c r="X50" s="40">
        <v>3.9110000000000004E-3</v>
      </c>
      <c r="Y50" s="40"/>
      <c r="Z50" s="40"/>
      <c r="AA50" s="40"/>
      <c r="AB50" s="40"/>
      <c r="AC50" s="44"/>
    </row>
    <row r="51" spans="2:29" x14ac:dyDescent="0.35">
      <c r="B51" s="30">
        <f t="shared" si="10"/>
        <v>2014</v>
      </c>
      <c r="C51" s="30">
        <f t="shared" si="11"/>
        <v>1</v>
      </c>
      <c r="D51" s="31">
        <f t="shared" si="12"/>
        <v>41640</v>
      </c>
      <c r="E51" s="38">
        <f t="shared" si="4"/>
        <v>15.76</v>
      </c>
      <c r="F51" s="39">
        <v>8.8940000000000005E-2</v>
      </c>
      <c r="G51" s="39">
        <v>8.8940000000000005E-2</v>
      </c>
      <c r="H51" s="40">
        <v>0</v>
      </c>
      <c r="I51" s="38">
        <v>1.04</v>
      </c>
      <c r="J51" s="42">
        <v>6.4400000000000004E-3</v>
      </c>
      <c r="K51" s="42">
        <v>9.6900000000000007E-3</v>
      </c>
      <c r="L51" s="41">
        <v>9.3999999999999994E-5</v>
      </c>
      <c r="M51" s="40">
        <v>-3.0000000000000001E-5</v>
      </c>
      <c r="N51" s="39">
        <v>3.8E-3</v>
      </c>
      <c r="O51" s="40">
        <v>2.5999999999999999E-3</v>
      </c>
      <c r="P51" s="40"/>
      <c r="Q51" s="41">
        <v>0.23752699999999999</v>
      </c>
      <c r="R51" s="41">
        <v>5.1579999999999994E-3</v>
      </c>
      <c r="S51" s="43">
        <v>2.4066000000000001E-2</v>
      </c>
      <c r="T51" s="49">
        <v>5.1325999999999997E-2</v>
      </c>
      <c r="U51" s="41">
        <v>2.9320000000000001E-3</v>
      </c>
      <c r="V51" s="41">
        <v>-6.8599999999999998E-4</v>
      </c>
      <c r="W51" s="41">
        <v>-1.5737999999999999E-2</v>
      </c>
      <c r="X51" s="40">
        <v>3.9110000000000004E-3</v>
      </c>
      <c r="Y51" s="40"/>
      <c r="Z51" s="40"/>
      <c r="AA51" s="40"/>
      <c r="AB51" s="40"/>
      <c r="AC51" s="44"/>
    </row>
    <row r="52" spans="2:29" x14ac:dyDescent="0.35">
      <c r="B52" s="30">
        <f t="shared" si="10"/>
        <v>2014</v>
      </c>
      <c r="C52" s="30">
        <f t="shared" si="11"/>
        <v>2</v>
      </c>
      <c r="D52" s="31">
        <f t="shared" si="12"/>
        <v>41671</v>
      </c>
      <c r="E52" s="38">
        <f t="shared" si="4"/>
        <v>15.76</v>
      </c>
      <c r="F52" s="39">
        <v>8.8940000000000005E-2</v>
      </c>
      <c r="G52" s="39">
        <v>8.8940000000000005E-2</v>
      </c>
      <c r="H52" s="40">
        <v>0</v>
      </c>
      <c r="I52" s="38">
        <v>1.04</v>
      </c>
      <c r="J52" s="42">
        <v>6.4400000000000004E-3</v>
      </c>
      <c r="K52" s="42">
        <v>7.8700000000000003E-3</v>
      </c>
      <c r="L52" s="41">
        <v>1.6000000000000001E-4</v>
      </c>
      <c r="M52" s="40">
        <v>-3.0000000000000001E-5</v>
      </c>
      <c r="N52" s="39">
        <v>3.8E-3</v>
      </c>
      <c r="O52" s="40">
        <v>2.5999999999999999E-3</v>
      </c>
      <c r="P52" s="40"/>
      <c r="Q52" s="41">
        <v>0.178893</v>
      </c>
      <c r="R52" s="41">
        <v>6.0159999999999996E-3</v>
      </c>
      <c r="S52" s="43">
        <v>2.4066000000000001E-2</v>
      </c>
      <c r="T52" s="49">
        <v>5.1325999999999997E-2</v>
      </c>
      <c r="U52" s="41">
        <v>-2.0507000000000001E-2</v>
      </c>
      <c r="V52" s="41">
        <v>3.8337999999999997E-2</v>
      </c>
      <c r="W52" s="41">
        <v>-7.0799000000000001E-2</v>
      </c>
      <c r="X52" s="40">
        <v>3.9110000000000004E-3</v>
      </c>
      <c r="Y52" s="40"/>
      <c r="Z52" s="40"/>
      <c r="AA52" s="40"/>
      <c r="AB52" s="40"/>
      <c r="AC52" s="44"/>
    </row>
    <row r="53" spans="2:29" x14ac:dyDescent="0.35">
      <c r="B53" s="30">
        <f t="shared" si="10"/>
        <v>2014</v>
      </c>
      <c r="C53" s="30">
        <f t="shared" si="11"/>
        <v>3</v>
      </c>
      <c r="D53" s="31">
        <f t="shared" si="12"/>
        <v>41699</v>
      </c>
      <c r="E53" s="38">
        <f t="shared" si="4"/>
        <v>15.76</v>
      </c>
      <c r="F53" s="39">
        <v>8.9069999999999996E-2</v>
      </c>
      <c r="G53" s="39">
        <v>8.9069999999999996E-2</v>
      </c>
      <c r="H53" s="40">
        <v>-7.2499999999999995E-4</v>
      </c>
      <c r="I53" s="38">
        <v>1.2</v>
      </c>
      <c r="J53" s="42">
        <v>6.4400000000000004E-3</v>
      </c>
      <c r="K53" s="42">
        <v>1.2330000000000001E-2</v>
      </c>
      <c r="L53" s="41">
        <v>-1.7E-5</v>
      </c>
      <c r="M53" s="40">
        <v>-5.5999999999999999E-5</v>
      </c>
      <c r="N53" s="39">
        <v>3.8E-3</v>
      </c>
      <c r="O53" s="40">
        <v>2.5999999999999999E-3</v>
      </c>
      <c r="P53" s="40"/>
      <c r="Q53" s="41">
        <v>0.15418399999999999</v>
      </c>
      <c r="R53" s="41">
        <v>6.8810000000000008E-3</v>
      </c>
      <c r="S53" s="43">
        <v>2.4066000000000001E-2</v>
      </c>
      <c r="T53" s="49">
        <v>5.1325999999999997E-2</v>
      </c>
      <c r="U53" s="41">
        <v>1.4100000000000001E-4</v>
      </c>
      <c r="V53" s="41">
        <v>-1.8959E-2</v>
      </c>
      <c r="W53" s="41">
        <v>-9.9389999999999999E-3</v>
      </c>
      <c r="X53" s="40">
        <v>3.9110000000000004E-3</v>
      </c>
      <c r="Y53" s="40"/>
      <c r="Z53" s="40"/>
      <c r="AA53" s="40"/>
      <c r="AB53" s="40"/>
      <c r="AC53" s="44"/>
    </row>
    <row r="54" spans="2:29" x14ac:dyDescent="0.35">
      <c r="B54" s="30">
        <f t="shared" si="10"/>
        <v>2014</v>
      </c>
      <c r="C54" s="30">
        <f t="shared" si="11"/>
        <v>4</v>
      </c>
      <c r="D54" s="31">
        <f t="shared" si="12"/>
        <v>41730</v>
      </c>
      <c r="E54" s="38">
        <f t="shared" si="4"/>
        <v>15.76</v>
      </c>
      <c r="F54" s="39">
        <v>8.9069999999999996E-2</v>
      </c>
      <c r="G54" s="39">
        <v>8.9069999999999996E-2</v>
      </c>
      <c r="H54" s="40">
        <v>-7.2499999999999995E-4</v>
      </c>
      <c r="I54" s="38">
        <v>1.2</v>
      </c>
      <c r="J54" s="42">
        <v>9.6299999999999997E-3</v>
      </c>
      <c r="K54" s="42">
        <v>1.8610000000000002E-2</v>
      </c>
      <c r="L54" s="41">
        <v>-6.3E-5</v>
      </c>
      <c r="M54" s="40">
        <v>-5.5999999999999999E-5</v>
      </c>
      <c r="N54" s="39">
        <v>3.8E-3</v>
      </c>
      <c r="O54" s="40">
        <v>2.5999999999999999E-3</v>
      </c>
      <c r="P54" s="40"/>
      <c r="Q54" s="41">
        <v>9.2184000000000002E-2</v>
      </c>
      <c r="R54" s="41">
        <v>8.7299999999999999E-3</v>
      </c>
      <c r="S54" s="43">
        <v>2.4066000000000001E-2</v>
      </c>
      <c r="T54" s="49">
        <v>5.2794000000000001E-2</v>
      </c>
      <c r="U54" s="41">
        <v>-5.679E-3</v>
      </c>
      <c r="V54" s="41">
        <v>-1.421E-2</v>
      </c>
      <c r="W54" s="41">
        <v>2.4550000000000002E-3</v>
      </c>
      <c r="X54" s="40">
        <v>3.9110000000000004E-3</v>
      </c>
      <c r="Y54" s="40"/>
      <c r="Z54" s="40"/>
      <c r="AA54" s="40"/>
      <c r="AB54" s="40"/>
      <c r="AC54" s="44"/>
    </row>
    <row r="55" spans="2:29" x14ac:dyDescent="0.35">
      <c r="B55" s="30">
        <f t="shared" si="10"/>
        <v>2014</v>
      </c>
      <c r="C55" s="30">
        <f t="shared" si="11"/>
        <v>5</v>
      </c>
      <c r="D55" s="31">
        <f t="shared" si="12"/>
        <v>41760</v>
      </c>
      <c r="E55" s="38">
        <f t="shared" si="4"/>
        <v>15.76</v>
      </c>
      <c r="F55" s="39">
        <v>8.9069999999999996E-2</v>
      </c>
      <c r="G55" s="39">
        <v>8.9069999999999996E-2</v>
      </c>
      <c r="H55" s="40">
        <v>-7.2499999999999995E-4</v>
      </c>
      <c r="I55" s="38">
        <v>1.2</v>
      </c>
      <c r="J55" s="42">
        <v>9.6299999999999997E-3</v>
      </c>
      <c r="K55" s="42">
        <v>1.472E-2</v>
      </c>
      <c r="L55" s="41">
        <v>1.05E-4</v>
      </c>
      <c r="M55" s="40">
        <v>-5.5999999999999999E-5</v>
      </c>
      <c r="N55" s="39">
        <v>3.8E-3</v>
      </c>
      <c r="O55" s="40">
        <v>2.5999999999999999E-3</v>
      </c>
      <c r="P55" s="40"/>
      <c r="Q55" s="41">
        <v>9.9664000000000003E-2</v>
      </c>
      <c r="R55" s="41">
        <v>5.7200000000000003E-3</v>
      </c>
      <c r="S55" s="43">
        <v>2.4066000000000001E-2</v>
      </c>
      <c r="T55" s="49">
        <v>5.2794000000000001E-2</v>
      </c>
      <c r="U55" s="41">
        <v>7.986E-3</v>
      </c>
      <c r="V55" s="41">
        <v>2.9650000000000002E-3</v>
      </c>
      <c r="W55" s="41">
        <v>-2.6200000000000003E-4</v>
      </c>
      <c r="X55" s="40">
        <v>3.9110000000000004E-3</v>
      </c>
      <c r="Y55" s="40"/>
      <c r="Z55" s="40"/>
      <c r="AA55" s="40"/>
      <c r="AB55" s="40"/>
      <c r="AC55" s="44"/>
    </row>
    <row r="56" spans="2:29" x14ac:dyDescent="0.35">
      <c r="B56" s="30">
        <f t="shared" si="10"/>
        <v>2014</v>
      </c>
      <c r="C56" s="30">
        <f t="shared" si="11"/>
        <v>6</v>
      </c>
      <c r="D56" s="31">
        <f t="shared" si="12"/>
        <v>41791</v>
      </c>
      <c r="E56" s="38">
        <f t="shared" si="4"/>
        <v>15.76</v>
      </c>
      <c r="F56" s="39">
        <v>8.9069999999999996E-2</v>
      </c>
      <c r="G56" s="39">
        <v>0.10238</v>
      </c>
      <c r="H56" s="40">
        <v>-7.2499999999999995E-4</v>
      </c>
      <c r="I56" s="38">
        <v>1.2</v>
      </c>
      <c r="J56" s="42">
        <v>9.6299999999999997E-3</v>
      </c>
      <c r="K56" s="42">
        <v>1.4319999999999999E-2</v>
      </c>
      <c r="L56" s="41">
        <v>1.74E-4</v>
      </c>
      <c r="M56" s="40">
        <v>-5.5999999999999999E-5</v>
      </c>
      <c r="N56" s="39">
        <v>3.8E-3</v>
      </c>
      <c r="O56" s="40">
        <v>2.5999999999999999E-3</v>
      </c>
      <c r="P56" s="40"/>
      <c r="Q56" s="41">
        <v>0.101674</v>
      </c>
      <c r="R56" s="41">
        <v>3.3790000000000005E-3</v>
      </c>
      <c r="S56" s="43">
        <v>2.4066000000000001E-2</v>
      </c>
      <c r="T56" s="49">
        <v>5.1831000000000002E-2</v>
      </c>
      <c r="U56" s="41">
        <v>3.1359999999999999E-3</v>
      </c>
      <c r="V56" s="41">
        <v>4.5710000000000004E-3</v>
      </c>
      <c r="W56" s="41">
        <v>4.8789999999999997E-3</v>
      </c>
      <c r="X56" s="40">
        <v>3.9110000000000004E-3</v>
      </c>
      <c r="Y56" s="40"/>
      <c r="Z56" s="40"/>
      <c r="AA56" s="40"/>
      <c r="AB56" s="40"/>
      <c r="AC56" s="44"/>
    </row>
    <row r="57" spans="2:29" x14ac:dyDescent="0.35">
      <c r="B57" s="30">
        <f t="shared" si="10"/>
        <v>2014</v>
      </c>
      <c r="C57" s="30">
        <f t="shared" si="11"/>
        <v>7</v>
      </c>
      <c r="D57" s="31">
        <f t="shared" si="12"/>
        <v>41821</v>
      </c>
      <c r="E57" s="38">
        <f t="shared" si="4"/>
        <v>15.76</v>
      </c>
      <c r="F57" s="39">
        <v>8.9069999999999996E-2</v>
      </c>
      <c r="G57" s="39">
        <v>0.10238</v>
      </c>
      <c r="H57" s="40">
        <v>-7.2499999999999995E-4</v>
      </c>
      <c r="I57" s="38">
        <v>1.2</v>
      </c>
      <c r="J57" s="42">
        <v>9.6299999999999997E-3</v>
      </c>
      <c r="K57" s="42">
        <v>8.5400000000000007E-3</v>
      </c>
      <c r="L57" s="41">
        <v>1.7200000000000001E-4</v>
      </c>
      <c r="M57" s="40">
        <v>-5.5999999999999999E-5</v>
      </c>
      <c r="N57" s="39">
        <v>3.8E-3</v>
      </c>
      <c r="O57" s="40">
        <v>2.5999999999999999E-3</v>
      </c>
      <c r="P57" s="40"/>
      <c r="Q57" s="41">
        <v>0.100991</v>
      </c>
      <c r="R57" s="41">
        <v>3.9960000000000004E-3</v>
      </c>
      <c r="S57" s="43">
        <v>2.4066000000000001E-2</v>
      </c>
      <c r="T57" s="49">
        <v>5.2794000000000001E-2</v>
      </c>
      <c r="U57" s="41">
        <v>2.542E-3</v>
      </c>
      <c r="V57" s="41">
        <v>-1.111E-3</v>
      </c>
      <c r="W57" s="41">
        <v>-2.1800000000000001E-4</v>
      </c>
      <c r="X57" s="40">
        <v>3.9439999999999996E-3</v>
      </c>
      <c r="Y57" s="40"/>
      <c r="Z57" s="40"/>
      <c r="AA57" s="40"/>
      <c r="AB57" s="40"/>
      <c r="AC57" s="44"/>
    </row>
    <row r="58" spans="2:29" x14ac:dyDescent="0.35">
      <c r="B58" s="30">
        <f t="shared" si="10"/>
        <v>2014</v>
      </c>
      <c r="C58" s="30">
        <f t="shared" si="11"/>
        <v>8</v>
      </c>
      <c r="D58" s="31">
        <f t="shared" si="12"/>
        <v>41852</v>
      </c>
      <c r="E58" s="38">
        <f t="shared" si="4"/>
        <v>15.76</v>
      </c>
      <c r="F58" s="39">
        <v>8.9069999999999996E-2</v>
      </c>
      <c r="G58" s="39">
        <v>0.10238</v>
      </c>
      <c r="H58" s="40">
        <v>-7.2499999999999995E-4</v>
      </c>
      <c r="I58" s="38">
        <v>1.2</v>
      </c>
      <c r="J58" s="42">
        <v>4.5900000000000003E-3</v>
      </c>
      <c r="K58" s="42">
        <v>1.1310000000000001E-2</v>
      </c>
      <c r="L58" s="41">
        <v>1.3200000000000001E-4</v>
      </c>
      <c r="M58" s="40">
        <v>-5.5999999999999999E-5</v>
      </c>
      <c r="N58" s="39">
        <v>3.8E-3</v>
      </c>
      <c r="O58" s="40">
        <v>2.5999999999999999E-3</v>
      </c>
      <c r="P58" s="40"/>
      <c r="Q58" s="41">
        <v>9.3193999999999999E-2</v>
      </c>
      <c r="R58" s="41">
        <v>4.9900000000000005E-3</v>
      </c>
      <c r="S58" s="43">
        <v>2.4066000000000001E-2</v>
      </c>
      <c r="T58" s="49">
        <v>5.2794000000000001E-2</v>
      </c>
      <c r="U58" s="41">
        <v>4.6769999999999997E-3</v>
      </c>
      <c r="V58" s="41">
        <v>-4.4390000000000002E-3</v>
      </c>
      <c r="W58" s="41">
        <v>1.0207000000000001E-2</v>
      </c>
      <c r="X58" s="40">
        <v>3.9439999999999996E-3</v>
      </c>
      <c r="Y58" s="40"/>
      <c r="Z58" s="40"/>
      <c r="AA58" s="40"/>
      <c r="AB58" s="40"/>
      <c r="AC58" s="44"/>
    </row>
    <row r="59" spans="2:29" x14ac:dyDescent="0.35">
      <c r="B59" s="30">
        <f t="shared" si="10"/>
        <v>2014</v>
      </c>
      <c r="C59" s="30">
        <f t="shared" si="11"/>
        <v>9</v>
      </c>
      <c r="D59" s="31">
        <f t="shared" si="12"/>
        <v>41883</v>
      </c>
      <c r="E59" s="38">
        <f t="shared" si="4"/>
        <v>15.76</v>
      </c>
      <c r="F59" s="39">
        <v>8.9069999999999996E-2</v>
      </c>
      <c r="G59" s="39">
        <v>0.10238</v>
      </c>
      <c r="H59" s="40">
        <v>-7.2499999999999995E-4</v>
      </c>
      <c r="I59" s="38">
        <v>1.2</v>
      </c>
      <c r="J59" s="42">
        <v>4.5900000000000003E-3</v>
      </c>
      <c r="K59" s="42">
        <v>1.04E-2</v>
      </c>
      <c r="L59" s="41">
        <v>1.02E-4</v>
      </c>
      <c r="M59" s="40">
        <v>-5.5999999999999999E-5</v>
      </c>
      <c r="N59" s="39">
        <v>3.8E-3</v>
      </c>
      <c r="O59" s="40">
        <v>2.5999999999999999E-3</v>
      </c>
      <c r="P59" s="40"/>
      <c r="Q59" s="41">
        <v>9.4131000000000006E-2</v>
      </c>
      <c r="R59" s="41">
        <v>5.4939999999999998E-3</v>
      </c>
      <c r="S59" s="43">
        <v>2.4066000000000001E-2</v>
      </c>
      <c r="T59" s="49">
        <v>5.2794000000000001E-2</v>
      </c>
      <c r="U59" s="41">
        <v>2.1350000000000002E-3</v>
      </c>
      <c r="V59" s="41">
        <v>-8.5190000000000005E-3</v>
      </c>
      <c r="W59" s="41">
        <v>8.6449999999999999E-3</v>
      </c>
      <c r="X59" s="40">
        <v>3.9439999999999996E-3</v>
      </c>
      <c r="Y59" s="40"/>
      <c r="Z59" s="40"/>
      <c r="AA59" s="40"/>
      <c r="AB59" s="40"/>
      <c r="AC59" s="44"/>
    </row>
    <row r="60" spans="2:29" x14ac:dyDescent="0.35">
      <c r="B60" s="30">
        <f t="shared" si="10"/>
        <v>2014</v>
      </c>
      <c r="C60" s="30">
        <f t="shared" si="11"/>
        <v>10</v>
      </c>
      <c r="D60" s="31">
        <f t="shared" si="12"/>
        <v>41913</v>
      </c>
      <c r="E60" s="38">
        <f t="shared" si="4"/>
        <v>15.76</v>
      </c>
      <c r="F60" s="39">
        <v>8.9069999999999996E-2</v>
      </c>
      <c r="G60" s="39">
        <v>8.9069999999999996E-2</v>
      </c>
      <c r="H60" s="40">
        <v>-7.2499999999999995E-4</v>
      </c>
      <c r="I60" s="38">
        <v>1.2</v>
      </c>
      <c r="J60" s="42">
        <v>1.188E-2</v>
      </c>
      <c r="K60" s="42">
        <v>1.068E-2</v>
      </c>
      <c r="L60" s="41">
        <v>1.3899999999999999E-4</v>
      </c>
      <c r="M60" s="40">
        <v>-5.5999999999999999E-5</v>
      </c>
      <c r="N60" s="39">
        <v>3.8E-3</v>
      </c>
      <c r="O60" s="40">
        <v>3.0000000000000001E-3</v>
      </c>
      <c r="P60" s="40"/>
      <c r="Q60" s="41">
        <v>9.3037999999999996E-2</v>
      </c>
      <c r="R60" s="41">
        <v>5.6509999999999998E-3</v>
      </c>
      <c r="S60" s="43">
        <v>2.4066000000000001E-2</v>
      </c>
      <c r="T60" s="49">
        <v>5.2794000000000001E-2</v>
      </c>
      <c r="U60" s="41">
        <v>2.075E-3</v>
      </c>
      <c r="V60" s="41">
        <v>-5.4840000000000002E-3</v>
      </c>
      <c r="W60" s="41">
        <v>7.6189999999999999E-3</v>
      </c>
      <c r="X60" s="40">
        <v>3.9439999999999996E-3</v>
      </c>
      <c r="Y60" s="40"/>
      <c r="Z60" s="40"/>
      <c r="AA60" s="40"/>
      <c r="AB60" s="40"/>
      <c r="AC60" s="44"/>
    </row>
    <row r="61" spans="2:29" x14ac:dyDescent="0.35">
      <c r="B61" s="30">
        <f t="shared" si="10"/>
        <v>2014</v>
      </c>
      <c r="C61" s="30">
        <f t="shared" si="11"/>
        <v>11</v>
      </c>
      <c r="D61" s="31">
        <f t="shared" si="12"/>
        <v>41944</v>
      </c>
      <c r="E61" s="38">
        <f t="shared" si="4"/>
        <v>15.76</v>
      </c>
      <c r="F61" s="39">
        <v>8.9069999999999996E-2</v>
      </c>
      <c r="G61" s="39">
        <v>8.9069999999999996E-2</v>
      </c>
      <c r="H61" s="40">
        <v>-7.2499999999999995E-4</v>
      </c>
      <c r="I61" s="38">
        <v>1.2</v>
      </c>
      <c r="J61" s="42">
        <v>1.188E-2</v>
      </c>
      <c r="K61" s="42">
        <v>1.213E-2</v>
      </c>
      <c r="L61" s="41">
        <v>1.16E-4</v>
      </c>
      <c r="M61" s="40">
        <v>-5.5999999999999999E-5</v>
      </c>
      <c r="N61" s="39">
        <v>3.8E-3</v>
      </c>
      <c r="O61" s="40">
        <v>3.0000000000000001E-3</v>
      </c>
      <c r="P61" s="40"/>
      <c r="Q61" s="41">
        <v>8.6248000000000005E-2</v>
      </c>
      <c r="R61" s="41">
        <v>5.2570000000000004E-3</v>
      </c>
      <c r="S61" s="43">
        <v>2.4066000000000001E-2</v>
      </c>
      <c r="T61" s="49">
        <v>5.2794000000000001E-2</v>
      </c>
      <c r="U61" s="41">
        <v>1.856E-3</v>
      </c>
      <c r="V61" s="41">
        <v>3.0409999999999999E-3</v>
      </c>
      <c r="W61" s="41">
        <v>5.0099999999999997E-3</v>
      </c>
      <c r="X61" s="40">
        <v>3.9439999999999996E-3</v>
      </c>
      <c r="Y61" s="40"/>
      <c r="Z61" s="40"/>
      <c r="AA61" s="40"/>
      <c r="AB61" s="40"/>
      <c r="AC61" s="44"/>
    </row>
    <row r="62" spans="2:29" x14ac:dyDescent="0.35">
      <c r="B62" s="30">
        <f t="shared" si="10"/>
        <v>2014</v>
      </c>
      <c r="C62" s="30">
        <f t="shared" si="11"/>
        <v>12</v>
      </c>
      <c r="D62" s="31">
        <f t="shared" si="12"/>
        <v>41974</v>
      </c>
      <c r="E62" s="38">
        <f t="shared" si="4"/>
        <v>15.76</v>
      </c>
      <c r="F62" s="39">
        <v>8.9069999999999996E-2</v>
      </c>
      <c r="G62" s="39">
        <v>8.9069999999999996E-2</v>
      </c>
      <c r="H62" s="40">
        <v>-7.2499999999999995E-4</v>
      </c>
      <c r="I62" s="38">
        <v>1.2</v>
      </c>
      <c r="J62" s="42">
        <v>1.188E-2</v>
      </c>
      <c r="K62" s="42">
        <v>4.4000000000000003E-3</v>
      </c>
      <c r="L62" s="41">
        <v>5.1999999999999997E-5</v>
      </c>
      <c r="M62" s="40">
        <v>-5.5999999999999999E-5</v>
      </c>
      <c r="N62" s="39">
        <v>3.8E-3</v>
      </c>
      <c r="O62" s="40">
        <v>3.0000000000000001E-3</v>
      </c>
      <c r="P62" s="40"/>
      <c r="Q62" s="41">
        <v>8.0751000000000003E-2</v>
      </c>
      <c r="R62" s="41">
        <v>4.5120000000000004E-3</v>
      </c>
      <c r="S62" s="43">
        <v>2.4066000000000001E-2</v>
      </c>
      <c r="T62" s="49">
        <v>5.2794000000000001E-2</v>
      </c>
      <c r="U62" s="41">
        <v>1.173E-3</v>
      </c>
      <c r="V62" s="41">
        <v>-1.1230000000000001E-3</v>
      </c>
      <c r="W62" s="41">
        <v>-1.776E-3</v>
      </c>
      <c r="X62" s="40">
        <v>3.9439999999999996E-3</v>
      </c>
      <c r="Y62" s="40"/>
      <c r="Z62" s="40"/>
      <c r="AA62" s="40"/>
      <c r="AB62" s="40"/>
      <c r="AC62" s="44"/>
    </row>
    <row r="63" spans="2:29" x14ac:dyDescent="0.35">
      <c r="B63" s="30">
        <f t="shared" si="10"/>
        <v>2015</v>
      </c>
      <c r="C63" s="30">
        <f t="shared" si="11"/>
        <v>1</v>
      </c>
      <c r="D63" s="31">
        <f t="shared" si="12"/>
        <v>42005</v>
      </c>
      <c r="E63" s="38">
        <f t="shared" si="4"/>
        <v>15.76</v>
      </c>
      <c r="F63" s="39">
        <v>8.9010000000000006E-2</v>
      </c>
      <c r="G63" s="39">
        <v>8.9010000000000006E-2</v>
      </c>
      <c r="H63" s="57">
        <v>0</v>
      </c>
      <c r="I63" s="38">
        <v>1.2</v>
      </c>
      <c r="J63" s="42">
        <v>1.188E-2</v>
      </c>
      <c r="K63" s="42">
        <v>6.2E-4</v>
      </c>
      <c r="L63" s="41">
        <v>8.0000000000000007E-5</v>
      </c>
      <c r="M63" s="40">
        <v>-1.0399999999999999E-4</v>
      </c>
      <c r="N63" s="39">
        <v>4.0000000000000001E-3</v>
      </c>
      <c r="O63" s="40">
        <v>3.0000000000000001E-3</v>
      </c>
      <c r="P63" s="40"/>
      <c r="Q63" s="41">
        <v>0.1031</v>
      </c>
      <c r="R63" s="41">
        <v>4.3410000000000002E-3</v>
      </c>
      <c r="S63" s="43">
        <v>2.4066000000000001E-2</v>
      </c>
      <c r="T63" s="49">
        <v>5.2794000000000001E-2</v>
      </c>
      <c r="U63" s="41">
        <v>8.2539999999999992E-3</v>
      </c>
      <c r="V63" s="41">
        <v>1.003E-3</v>
      </c>
      <c r="W63" s="41">
        <v>7.9290000000000003E-3</v>
      </c>
      <c r="X63" s="40">
        <v>3.9439999999999996E-3</v>
      </c>
      <c r="Y63" s="40"/>
      <c r="Z63" s="40"/>
      <c r="AA63" s="40"/>
      <c r="AB63" s="40"/>
      <c r="AC63" s="44"/>
    </row>
    <row r="64" spans="2:29" x14ac:dyDescent="0.35">
      <c r="B64" s="30">
        <f t="shared" si="10"/>
        <v>2015</v>
      </c>
      <c r="C64" s="30">
        <f t="shared" si="11"/>
        <v>2</v>
      </c>
      <c r="D64" s="31">
        <f t="shared" si="12"/>
        <v>42036</v>
      </c>
      <c r="E64" s="38">
        <f t="shared" si="4"/>
        <v>15.76</v>
      </c>
      <c r="F64" s="39">
        <v>8.9010000000000006E-2</v>
      </c>
      <c r="G64" s="39">
        <v>8.9010000000000006E-2</v>
      </c>
      <c r="H64" s="57">
        <v>0</v>
      </c>
      <c r="I64" s="38">
        <v>1.2</v>
      </c>
      <c r="J64" s="42">
        <v>9.5999999999999992E-3</v>
      </c>
      <c r="K64" s="42">
        <v>7.0899999999999999E-3</v>
      </c>
      <c r="L64" s="41">
        <v>5.0000000000000002E-5</v>
      </c>
      <c r="M64" s="40">
        <v>-1.0399999999999999E-4</v>
      </c>
      <c r="N64" s="39">
        <v>4.0000000000000001E-3</v>
      </c>
      <c r="O64" s="40">
        <v>3.0000000000000001E-3</v>
      </c>
      <c r="P64" s="40"/>
      <c r="Q64" s="41">
        <v>0.162437</v>
      </c>
      <c r="R64" s="41">
        <v>4.7629999999999999E-3</v>
      </c>
      <c r="S64" s="43">
        <v>2.4066000000000001E-2</v>
      </c>
      <c r="T64" s="49">
        <v>5.2794000000000001E-2</v>
      </c>
      <c r="U64" s="41">
        <v>6.5590000000000006E-3</v>
      </c>
      <c r="V64" s="41">
        <v>-4.5970000000000004E-3</v>
      </c>
      <c r="W64" s="41">
        <v>-3.2859999999999999E-3</v>
      </c>
      <c r="X64" s="40">
        <v>3.9439999999999996E-3</v>
      </c>
      <c r="Y64" s="40"/>
      <c r="Z64" s="40"/>
      <c r="AA64" s="40"/>
      <c r="AB64" s="40"/>
      <c r="AC64" s="44"/>
    </row>
    <row r="65" spans="2:29" x14ac:dyDescent="0.35">
      <c r="B65" s="30">
        <f t="shared" si="10"/>
        <v>2015</v>
      </c>
      <c r="C65" s="30">
        <f t="shared" si="11"/>
        <v>3</v>
      </c>
      <c r="D65" s="31">
        <f t="shared" si="12"/>
        <v>42064</v>
      </c>
      <c r="E65" s="38">
        <f t="shared" si="4"/>
        <v>15.76</v>
      </c>
      <c r="F65" s="39">
        <v>8.9010000000000006E-2</v>
      </c>
      <c r="G65" s="39">
        <v>8.9010000000000006E-2</v>
      </c>
      <c r="H65" s="40">
        <v>-8.3799999999999999E-4</v>
      </c>
      <c r="I65" s="38">
        <v>1.2</v>
      </c>
      <c r="J65" s="42">
        <v>9.5999999999999992E-3</v>
      </c>
      <c r="K65" s="42">
        <v>1.2699999999999999E-2</v>
      </c>
      <c r="L65" s="41">
        <v>9.2999999999999997E-5</v>
      </c>
      <c r="M65" s="40">
        <v>-1.0399999999999999E-4</v>
      </c>
      <c r="N65" s="39">
        <v>4.0000000000000001E-3</v>
      </c>
      <c r="O65" s="40">
        <v>3.0000000000000001E-3</v>
      </c>
      <c r="P65" s="40"/>
      <c r="Q65" s="41">
        <v>9.5752000000000004E-2</v>
      </c>
      <c r="R65" s="41">
        <v>5.2119999999999996E-3</v>
      </c>
      <c r="S65" s="43">
        <v>2.4066000000000001E-2</v>
      </c>
      <c r="T65" s="49">
        <v>5.2794000000000001E-2</v>
      </c>
      <c r="U65" s="41">
        <v>-2.7409999999999999E-3</v>
      </c>
      <c r="V65" s="41">
        <v>1.3209999999999999E-3</v>
      </c>
      <c r="W65" s="41">
        <v>-1.3954000000000001E-2</v>
      </c>
      <c r="X65" s="40">
        <v>3.9439999999999996E-3</v>
      </c>
      <c r="Y65" s="40"/>
      <c r="Z65" s="40"/>
      <c r="AA65" s="40"/>
      <c r="AB65" s="40"/>
      <c r="AC65" s="44"/>
    </row>
    <row r="66" spans="2:29" x14ac:dyDescent="0.35">
      <c r="B66" s="30">
        <f t="shared" si="10"/>
        <v>2015</v>
      </c>
      <c r="C66" s="30">
        <f t="shared" si="11"/>
        <v>4</v>
      </c>
      <c r="D66" s="31">
        <f t="shared" si="12"/>
        <v>42095</v>
      </c>
      <c r="E66" s="38">
        <f t="shared" si="4"/>
        <v>15.76</v>
      </c>
      <c r="F66" s="39">
        <v>8.9010000000000006E-2</v>
      </c>
      <c r="G66" s="39">
        <v>8.9010000000000006E-2</v>
      </c>
      <c r="H66" s="57">
        <v>0</v>
      </c>
      <c r="I66" s="38">
        <v>1.2</v>
      </c>
      <c r="J66" s="42">
        <v>9.5999999999999992E-3</v>
      </c>
      <c r="K66" s="42">
        <v>1.4870000000000001E-2</v>
      </c>
      <c r="L66" s="41">
        <v>1.66E-4</v>
      </c>
      <c r="M66" s="40">
        <v>-1.0399999999999999E-4</v>
      </c>
      <c r="N66" s="39">
        <v>4.0000000000000001E-3</v>
      </c>
      <c r="O66" s="40">
        <v>3.0000000000000001E-3</v>
      </c>
      <c r="P66" s="40"/>
      <c r="Q66" s="41">
        <v>7.0237999999999995E-2</v>
      </c>
      <c r="R66" s="41">
        <v>4.7470000000000004E-3</v>
      </c>
      <c r="S66" s="43">
        <v>2.4066000000000001E-2</v>
      </c>
      <c r="T66" s="49">
        <v>5.0972999999999997E-2</v>
      </c>
      <c r="U66" s="41">
        <v>3.4600000000000001E-4</v>
      </c>
      <c r="V66" s="41">
        <v>-1.7110000000000001E-3</v>
      </c>
      <c r="W66" s="41">
        <v>9.1090000000000008E-3</v>
      </c>
      <c r="X66" s="40">
        <v>3.9439999999999996E-3</v>
      </c>
      <c r="Y66" s="40"/>
      <c r="Z66" s="40"/>
      <c r="AA66" s="40"/>
      <c r="AB66" s="40"/>
      <c r="AC66" s="44"/>
    </row>
    <row r="67" spans="2:29" x14ac:dyDescent="0.35">
      <c r="B67" s="30">
        <f t="shared" ref="B67:B98" si="13">YEAR(D67)</f>
        <v>2015</v>
      </c>
      <c r="C67" s="30">
        <f t="shared" ref="C67:C98" si="14">MONTH(D67)</f>
        <v>5</v>
      </c>
      <c r="D67" s="31">
        <f t="shared" si="12"/>
        <v>42125</v>
      </c>
      <c r="E67" s="38">
        <f t="shared" si="4"/>
        <v>15.76</v>
      </c>
      <c r="F67" s="39">
        <f>0.09017-0.00116</f>
        <v>8.9010000000000006E-2</v>
      </c>
      <c r="G67" s="39">
        <f>0.09017-0.00116</f>
        <v>8.9010000000000006E-2</v>
      </c>
      <c r="H67" s="57">
        <v>0</v>
      </c>
      <c r="I67" s="38">
        <v>1.2</v>
      </c>
      <c r="J67" s="42">
        <v>9.5999999999999992E-3</v>
      </c>
      <c r="K67" s="42">
        <v>8.7600000000000004E-3</v>
      </c>
      <c r="L67" s="41">
        <v>1.02E-4</v>
      </c>
      <c r="M67" s="40">
        <v>-1.0399999999999999E-4</v>
      </c>
      <c r="N67" s="39">
        <v>4.0000000000000001E-3</v>
      </c>
      <c r="O67" s="40">
        <v>3.0000000000000001E-3</v>
      </c>
      <c r="P67" s="40"/>
      <c r="Q67" s="41">
        <v>8.2727999999999996E-2</v>
      </c>
      <c r="R67" s="41">
        <v>5.7619999999999998E-3</v>
      </c>
      <c r="S67" s="43">
        <v>2.4066000000000001E-2</v>
      </c>
      <c r="T67" s="49">
        <v>5.0972999999999997E-2</v>
      </c>
      <c r="U67" s="41">
        <v>-1.2179999999999999E-3</v>
      </c>
      <c r="V67" s="41">
        <v>-1.761E-3</v>
      </c>
      <c r="W67" s="41">
        <v>1.0009000000000001E-2</v>
      </c>
      <c r="X67" s="40">
        <v>3.9439999999999996E-3</v>
      </c>
      <c r="Y67" s="40"/>
      <c r="Z67" s="40"/>
      <c r="AA67" s="40"/>
      <c r="AB67" s="40"/>
      <c r="AC67" s="44"/>
    </row>
    <row r="68" spans="2:29" x14ac:dyDescent="0.35">
      <c r="B68" s="30">
        <f t="shared" si="13"/>
        <v>2015</v>
      </c>
      <c r="C68" s="30">
        <f t="shared" si="14"/>
        <v>6</v>
      </c>
      <c r="D68" s="31">
        <f t="shared" si="12"/>
        <v>42156</v>
      </c>
      <c r="E68" s="38">
        <f t="shared" si="4"/>
        <v>15.76</v>
      </c>
      <c r="F68" s="39">
        <f t="shared" ref="F68:F82" si="15">0.09017-0.00116</f>
        <v>8.9010000000000006E-2</v>
      </c>
      <c r="G68" s="39">
        <f>0.1036-0.00128</f>
        <v>0.10231999999999999</v>
      </c>
      <c r="H68" s="57">
        <v>0</v>
      </c>
      <c r="I68" s="38">
        <v>1.2</v>
      </c>
      <c r="J68" s="42">
        <v>9.5999999999999992E-3</v>
      </c>
      <c r="K68" s="42">
        <v>1.048E-2</v>
      </c>
      <c r="L68" s="41">
        <v>7.3999999999999996E-5</v>
      </c>
      <c r="M68" s="40">
        <v>-1.0399999999999999E-4</v>
      </c>
      <c r="N68" s="39">
        <v>4.0000000000000001E-3</v>
      </c>
      <c r="O68" s="40">
        <v>3.0000000000000001E-3</v>
      </c>
      <c r="P68" s="40"/>
      <c r="Q68" s="41">
        <v>7.7800999999999995E-2</v>
      </c>
      <c r="R68" s="41">
        <v>3.8409999999999998E-3</v>
      </c>
      <c r="S68" s="43">
        <v>2.4066000000000001E-2</v>
      </c>
      <c r="T68" s="49">
        <f>5.0973%-0.2471%</f>
        <v>4.8501999999999997E-2</v>
      </c>
      <c r="U68" s="41">
        <v>-1.457E-3</v>
      </c>
      <c r="V68" s="41">
        <v>2.013E-3</v>
      </c>
      <c r="W68" s="41">
        <v>7.0660000000000002E-3</v>
      </c>
      <c r="X68" s="40">
        <v>3.9439999999999996E-3</v>
      </c>
      <c r="Y68" s="40"/>
      <c r="Z68" s="40"/>
      <c r="AA68" s="40"/>
      <c r="AB68" s="40"/>
      <c r="AC68" s="44"/>
    </row>
    <row r="69" spans="2:29" x14ac:dyDescent="0.35">
      <c r="B69" s="30">
        <f t="shared" si="13"/>
        <v>2015</v>
      </c>
      <c r="C69" s="30">
        <f t="shared" si="14"/>
        <v>7</v>
      </c>
      <c r="D69" s="31">
        <f t="shared" si="12"/>
        <v>42186</v>
      </c>
      <c r="E69" s="38">
        <f t="shared" si="4"/>
        <v>15.76</v>
      </c>
      <c r="F69" s="39">
        <f t="shared" si="15"/>
        <v>8.9010000000000006E-2</v>
      </c>
      <c r="G69" s="39">
        <f>0.1036-0.00128</f>
        <v>0.10231999999999999</v>
      </c>
      <c r="H69" s="57">
        <v>0</v>
      </c>
      <c r="I69" s="38">
        <v>1.2</v>
      </c>
      <c r="J69" s="42">
        <v>9.5999999999999992E-3</v>
      </c>
      <c r="K69" s="42">
        <v>6.3200000000000001E-3</v>
      </c>
      <c r="L69" s="41">
        <v>4.6999999999999997E-5</v>
      </c>
      <c r="M69" s="40">
        <v>-1.0399999999999999E-4</v>
      </c>
      <c r="N69" s="40">
        <v>4.0000000000000001E-3</v>
      </c>
      <c r="O69" s="40">
        <v>3.0000000000000001E-3</v>
      </c>
      <c r="P69" s="40"/>
      <c r="Q69" s="41">
        <v>8.3389000000000005E-2</v>
      </c>
      <c r="R69" s="41">
        <v>4.0049999999999999E-3</v>
      </c>
      <c r="S69" s="43">
        <v>2.4066000000000001E-2</v>
      </c>
      <c r="T69" s="49">
        <f t="shared" ref="T69:T77" si="16">5.0973%</f>
        <v>5.0972999999999997E-2</v>
      </c>
      <c r="U69" s="41">
        <v>-4.2000000000000002E-4</v>
      </c>
      <c r="V69" s="41">
        <v>8.9400000000000005E-4</v>
      </c>
      <c r="W69" s="41">
        <v>1.3858000000000001E-2</v>
      </c>
      <c r="X69" s="40">
        <v>2.3349999999999998E-3</v>
      </c>
      <c r="Y69" s="40"/>
      <c r="Z69" s="40"/>
      <c r="AA69" s="40"/>
      <c r="AB69" s="40"/>
      <c r="AC69" s="44"/>
    </row>
    <row r="70" spans="2:29" x14ac:dyDescent="0.35">
      <c r="B70" s="30">
        <f t="shared" si="13"/>
        <v>2015</v>
      </c>
      <c r="C70" s="30">
        <f t="shared" si="14"/>
        <v>8</v>
      </c>
      <c r="D70" s="31">
        <f t="shared" si="12"/>
        <v>42217</v>
      </c>
      <c r="E70" s="38">
        <v>15.76</v>
      </c>
      <c r="F70" s="39">
        <f t="shared" si="15"/>
        <v>8.9010000000000006E-2</v>
      </c>
      <c r="G70" s="39">
        <f>0.1036-0.00128</f>
        <v>0.10231999999999999</v>
      </c>
      <c r="H70" s="57">
        <v>0</v>
      </c>
      <c r="I70" s="38">
        <v>1.2</v>
      </c>
      <c r="J70" s="42">
        <v>4.0000000000000001E-3</v>
      </c>
      <c r="K70" s="42">
        <v>8.4100000000000008E-3</v>
      </c>
      <c r="L70" s="41">
        <v>5.0000000000000002E-5</v>
      </c>
      <c r="M70" s="40">
        <v>-1.0399999999999999E-4</v>
      </c>
      <c r="N70" s="40">
        <v>4.0000000000000001E-3</v>
      </c>
      <c r="O70" s="40">
        <v>3.0000000000000001E-3</v>
      </c>
      <c r="P70" s="40"/>
      <c r="Q70" s="41">
        <v>8.4088999999999997E-2</v>
      </c>
      <c r="R70" s="41">
        <v>4.6719999999999999E-3</v>
      </c>
      <c r="S70" s="43">
        <v>2.4066000000000001E-2</v>
      </c>
      <c r="T70" s="49">
        <f t="shared" si="16"/>
        <v>5.0972999999999997E-2</v>
      </c>
      <c r="U70" s="41">
        <v>-6.3999999999999997E-5</v>
      </c>
      <c r="V70" s="41">
        <v>-1.0706E-2</v>
      </c>
      <c r="W70" s="41">
        <v>1.4520999999999999E-2</v>
      </c>
      <c r="X70" s="40">
        <v>2.3349999999999998E-3</v>
      </c>
      <c r="Y70" s="40"/>
      <c r="Z70" s="40"/>
      <c r="AA70" s="40"/>
      <c r="AB70" s="40"/>
      <c r="AC70" s="44"/>
    </row>
    <row r="71" spans="2:29" x14ac:dyDescent="0.35">
      <c r="B71" s="30">
        <f t="shared" si="13"/>
        <v>2015</v>
      </c>
      <c r="C71" s="30">
        <f t="shared" si="14"/>
        <v>9</v>
      </c>
      <c r="D71" s="31">
        <f t="shared" si="12"/>
        <v>42248</v>
      </c>
      <c r="E71" s="38">
        <v>15.76</v>
      </c>
      <c r="F71" s="39">
        <f t="shared" si="15"/>
        <v>8.9010000000000006E-2</v>
      </c>
      <c r="G71" s="39">
        <f>0.1036-0.00128</f>
        <v>0.10231999999999999</v>
      </c>
      <c r="H71" s="57"/>
      <c r="I71" s="38">
        <v>1.2</v>
      </c>
      <c r="J71" s="42">
        <v>4.0000000000000001E-3</v>
      </c>
      <c r="K71" s="42">
        <v>1.0120000000000001E-2</v>
      </c>
      <c r="L71" s="41">
        <v>6.7000000000000002E-5</v>
      </c>
      <c r="M71" s="40">
        <v>-1.0399999999999999E-4</v>
      </c>
      <c r="N71" s="40">
        <v>4.0000000000000001E-3</v>
      </c>
      <c r="O71" s="40">
        <v>3.0000000000000001E-3</v>
      </c>
      <c r="P71" s="40"/>
      <c r="Q71" s="41">
        <v>8.5597999999999994E-2</v>
      </c>
      <c r="R71" s="41">
        <v>5.2459999999999998E-3</v>
      </c>
      <c r="S71" s="43">
        <v>2.4066000000000001E-2</v>
      </c>
      <c r="T71" s="49">
        <f t="shared" si="16"/>
        <v>5.0972999999999997E-2</v>
      </c>
      <c r="U71" s="41">
        <v>-1.4E-3</v>
      </c>
      <c r="V71" s="41">
        <v>-9.4059999999999994E-3</v>
      </c>
      <c r="W71" s="41">
        <v>8.3840000000000008E-3</v>
      </c>
      <c r="X71" s="40">
        <v>2.3349999999999998E-3</v>
      </c>
      <c r="Y71" s="40"/>
      <c r="Z71" s="40"/>
      <c r="AA71" s="40"/>
      <c r="AB71" s="40"/>
      <c r="AC71" s="44"/>
    </row>
    <row r="72" spans="2:29" x14ac:dyDescent="0.35">
      <c r="B72" s="30">
        <f t="shared" si="13"/>
        <v>2015</v>
      </c>
      <c r="C72" s="30">
        <f t="shared" si="14"/>
        <v>10</v>
      </c>
      <c r="D72" s="31">
        <f t="shared" si="12"/>
        <v>42278</v>
      </c>
      <c r="E72" s="38">
        <v>15.76</v>
      </c>
      <c r="F72" s="39">
        <f t="shared" si="15"/>
        <v>8.9010000000000006E-2</v>
      </c>
      <c r="G72" s="39">
        <f t="shared" ref="G72:G79" si="17">0.09017-0.00116</f>
        <v>8.9010000000000006E-2</v>
      </c>
      <c r="H72" s="57"/>
      <c r="I72" s="38">
        <v>1.2</v>
      </c>
      <c r="J72" s="42">
        <v>4.0000000000000001E-3</v>
      </c>
      <c r="K72" s="42">
        <v>7.5399999999999998E-3</v>
      </c>
      <c r="L72" s="41">
        <v>9.2E-5</v>
      </c>
      <c r="M72" s="40">
        <v>-1.0399999999999999E-4</v>
      </c>
      <c r="N72" s="40">
        <v>4.0000000000000001E-3</v>
      </c>
      <c r="O72" s="40">
        <v>2.2000000000000001E-3</v>
      </c>
      <c r="P72" s="40"/>
      <c r="Q72" s="41">
        <v>8.0004000000000006E-2</v>
      </c>
      <c r="R72" s="41">
        <v>5.8440000000000002E-3</v>
      </c>
      <c r="S72" s="43">
        <v>2.4066000000000001E-2</v>
      </c>
      <c r="T72" s="49">
        <f t="shared" si="16"/>
        <v>5.0972999999999997E-2</v>
      </c>
      <c r="U72" s="41">
        <v>-1.815E-3</v>
      </c>
      <c r="V72" s="41">
        <v>-9.1990000000000006E-3</v>
      </c>
      <c r="W72" s="41">
        <v>9.5569999999999995E-3</v>
      </c>
      <c r="X72" s="40">
        <v>2.3349999999999998E-3</v>
      </c>
      <c r="Y72" s="40"/>
      <c r="Z72" s="40"/>
      <c r="AA72" s="40"/>
      <c r="AB72" s="40"/>
      <c r="AC72" s="44"/>
    </row>
    <row r="73" spans="2:29" x14ac:dyDescent="0.35">
      <c r="B73" s="30">
        <f t="shared" si="13"/>
        <v>2015</v>
      </c>
      <c r="C73" s="30">
        <f t="shared" si="14"/>
        <v>11</v>
      </c>
      <c r="D73" s="31">
        <f t="shared" si="12"/>
        <v>42309</v>
      </c>
      <c r="E73" s="38">
        <v>15.76</v>
      </c>
      <c r="F73" s="39">
        <f t="shared" si="15"/>
        <v>8.9010000000000006E-2</v>
      </c>
      <c r="G73" s="39">
        <f t="shared" si="17"/>
        <v>8.9010000000000006E-2</v>
      </c>
      <c r="H73" s="57"/>
      <c r="I73" s="38">
        <v>1.2</v>
      </c>
      <c r="J73" s="42">
        <v>4.0000000000000001E-3</v>
      </c>
      <c r="K73" s="42">
        <v>1.1169999999999999E-2</v>
      </c>
      <c r="L73" s="41">
        <v>6.9999999999999994E-5</v>
      </c>
      <c r="M73" s="40">
        <v>-1.0399999999999999E-4</v>
      </c>
      <c r="N73" s="40">
        <v>4.0000000000000001E-3</v>
      </c>
      <c r="O73" s="40">
        <v>2.2000000000000001E-3</v>
      </c>
      <c r="P73" s="40"/>
      <c r="Q73" s="41">
        <v>5.6686E-2</v>
      </c>
      <c r="R73" s="41">
        <v>5.4749999999999998E-3</v>
      </c>
      <c r="S73" s="43">
        <v>2.4066000000000001E-2</v>
      </c>
      <c r="T73" s="49">
        <f t="shared" si="16"/>
        <v>5.0972999999999997E-2</v>
      </c>
      <c r="U73" s="41">
        <v>2.6849999999999999E-3</v>
      </c>
      <c r="V73" s="41">
        <v>3.8769999999999998E-3</v>
      </c>
      <c r="W73" s="41">
        <v>1.2248E-2</v>
      </c>
      <c r="X73" s="40">
        <v>2.3349999999999998E-3</v>
      </c>
      <c r="Y73" s="40"/>
      <c r="Z73" s="40"/>
      <c r="AA73" s="40"/>
      <c r="AB73" s="40"/>
      <c r="AC73" s="44"/>
    </row>
    <row r="74" spans="2:29" x14ac:dyDescent="0.35">
      <c r="B74" s="30">
        <f t="shared" si="13"/>
        <v>2015</v>
      </c>
      <c r="C74" s="30">
        <f t="shared" si="14"/>
        <v>12</v>
      </c>
      <c r="D74" s="31">
        <f t="shared" si="12"/>
        <v>42339</v>
      </c>
      <c r="E74" s="38">
        <v>15.76</v>
      </c>
      <c r="F74" s="39">
        <f t="shared" si="15"/>
        <v>8.9010000000000006E-2</v>
      </c>
      <c r="G74" s="39">
        <f t="shared" si="17"/>
        <v>8.9010000000000006E-2</v>
      </c>
      <c r="H74" s="57"/>
      <c r="I74" s="38">
        <v>1.2</v>
      </c>
      <c r="J74" s="42">
        <v>4.0000000000000001E-3</v>
      </c>
      <c r="K74" s="42">
        <v>9.9500000000000005E-3</v>
      </c>
      <c r="L74" s="41">
        <v>4.8000000000000001E-5</v>
      </c>
      <c r="M74" s="40">
        <v>-1.0399999999999999E-4</v>
      </c>
      <c r="N74" s="40">
        <v>4.0000000000000001E-3</v>
      </c>
      <c r="O74" s="40">
        <v>2.2000000000000001E-3</v>
      </c>
      <c r="P74" s="40"/>
      <c r="Q74" s="41">
        <v>5.3976999999999997E-2</v>
      </c>
      <c r="R74" s="41">
        <v>4.2249999999999996E-3</v>
      </c>
      <c r="S74" s="43">
        <v>2.4066000000000001E-2</v>
      </c>
      <c r="T74" s="49">
        <f t="shared" si="16"/>
        <v>5.0972999999999997E-2</v>
      </c>
      <c r="U74" s="41">
        <v>8.4390000000000003E-3</v>
      </c>
      <c r="V74" s="41">
        <v>-1.0487E-2</v>
      </c>
      <c r="W74" s="41">
        <v>1.3176999999999999E-2</v>
      </c>
      <c r="X74" s="40">
        <v>2.3349999999999998E-3</v>
      </c>
      <c r="Y74" s="40"/>
      <c r="Z74" s="40"/>
      <c r="AA74" s="40"/>
      <c r="AB74" s="40"/>
      <c r="AC74" s="44"/>
    </row>
    <row r="75" spans="2:29" x14ac:dyDescent="0.35">
      <c r="B75" s="30">
        <f t="shared" si="13"/>
        <v>2016</v>
      </c>
      <c r="C75" s="30">
        <f t="shared" si="14"/>
        <v>1</v>
      </c>
      <c r="D75" s="31">
        <f t="shared" si="12"/>
        <v>42370</v>
      </c>
      <c r="E75" s="38">
        <v>15.76</v>
      </c>
      <c r="F75" s="39">
        <f t="shared" si="15"/>
        <v>8.9010000000000006E-2</v>
      </c>
      <c r="G75" s="39">
        <f t="shared" si="17"/>
        <v>8.9010000000000006E-2</v>
      </c>
      <c r="H75" s="57"/>
      <c r="I75" s="38">
        <v>1.2</v>
      </c>
      <c r="J75" s="42">
        <v>4.0000000000000001E-3</v>
      </c>
      <c r="K75" s="42">
        <v>9.5499999999999995E-3</v>
      </c>
      <c r="L75" s="41">
        <v>1.44E-4</v>
      </c>
      <c r="M75" s="41">
        <v>-1.2E-4</v>
      </c>
      <c r="N75" s="41">
        <v>3.8E-3</v>
      </c>
      <c r="O75" s="40">
        <v>2.2000000000000001E-3</v>
      </c>
      <c r="P75" s="40"/>
      <c r="Q75" s="41">
        <v>7.0134000000000002E-2</v>
      </c>
      <c r="R75" s="41">
        <v>4.176E-3</v>
      </c>
      <c r="S75" s="43">
        <v>2.4066000000000001E-2</v>
      </c>
      <c r="T75" s="49">
        <f t="shared" si="16"/>
        <v>5.0972999999999997E-2</v>
      </c>
      <c r="U75" s="41">
        <v>1.0838E-2</v>
      </c>
      <c r="V75" s="41">
        <v>-3.7880000000000001E-3</v>
      </c>
      <c r="W75" s="41">
        <v>1.1724999999999999E-2</v>
      </c>
      <c r="X75" s="40">
        <v>2.3349999999999998E-3</v>
      </c>
      <c r="Y75" s="40"/>
      <c r="Z75" s="40"/>
      <c r="AA75" s="40"/>
      <c r="AB75" s="40"/>
      <c r="AC75" s="44"/>
    </row>
    <row r="76" spans="2:29" x14ac:dyDescent="0.35">
      <c r="B76" s="30">
        <f t="shared" si="13"/>
        <v>2016</v>
      </c>
      <c r="C76" s="30">
        <f t="shared" si="14"/>
        <v>2</v>
      </c>
      <c r="D76" s="31">
        <f t="shared" si="12"/>
        <v>42401</v>
      </c>
      <c r="E76" s="38">
        <v>15.76</v>
      </c>
      <c r="F76" s="39">
        <f t="shared" si="15"/>
        <v>8.9010000000000006E-2</v>
      </c>
      <c r="G76" s="39">
        <f t="shared" si="17"/>
        <v>8.9010000000000006E-2</v>
      </c>
      <c r="H76" s="57"/>
      <c r="I76" s="38">
        <v>1.2</v>
      </c>
      <c r="J76" s="42">
        <v>5.2700000000000004E-3</v>
      </c>
      <c r="K76" s="42">
        <v>6.96E-3</v>
      </c>
      <c r="L76" s="41">
        <v>2.1600000000000002E-4</v>
      </c>
      <c r="M76" s="40">
        <v>-1.2E-4</v>
      </c>
      <c r="N76" s="40">
        <v>3.8E-3</v>
      </c>
      <c r="O76" s="40">
        <v>2.2000000000000001E-3</v>
      </c>
      <c r="P76" s="40"/>
      <c r="Q76" s="41">
        <v>6.3496999999999998E-2</v>
      </c>
      <c r="R76" s="41">
        <v>4.4320000000000002E-3</v>
      </c>
      <c r="S76" s="43">
        <v>2.4066000000000001E-2</v>
      </c>
      <c r="T76" s="49">
        <f t="shared" si="16"/>
        <v>5.0972999999999997E-2</v>
      </c>
      <c r="U76" s="41">
        <v>2.1840000000000002E-3</v>
      </c>
      <c r="V76" s="41">
        <v>-8.5369999999999994E-3</v>
      </c>
      <c r="W76" s="41">
        <v>1.6475E-2</v>
      </c>
      <c r="X76" s="40">
        <v>2.3349999999999998E-3</v>
      </c>
      <c r="Y76" s="40"/>
      <c r="Z76" s="40"/>
      <c r="AA76" s="40"/>
      <c r="AB76" s="40"/>
      <c r="AC76" s="44"/>
    </row>
    <row r="77" spans="2:29" x14ac:dyDescent="0.35">
      <c r="B77" s="30">
        <f t="shared" si="13"/>
        <v>2016</v>
      </c>
      <c r="C77" s="30">
        <f t="shared" si="14"/>
        <v>3</v>
      </c>
      <c r="D77" s="31">
        <f t="shared" si="12"/>
        <v>42430</v>
      </c>
      <c r="E77" s="38">
        <v>15.76</v>
      </c>
      <c r="F77" s="39">
        <f t="shared" si="15"/>
        <v>8.9010000000000006E-2</v>
      </c>
      <c r="G77" s="39">
        <f t="shared" si="17"/>
        <v>8.9010000000000006E-2</v>
      </c>
      <c r="H77" s="57"/>
      <c r="I77" s="38">
        <v>1.2</v>
      </c>
      <c r="J77" s="42">
        <v>5.2700000000000004E-3</v>
      </c>
      <c r="K77" s="42">
        <v>1.7420000000000001E-2</v>
      </c>
      <c r="L77" s="41">
        <v>1.55E-4</v>
      </c>
      <c r="M77" s="40">
        <v>-1.2E-4</v>
      </c>
      <c r="N77" s="41">
        <v>6.1999999999999998E-3</v>
      </c>
      <c r="O77" s="57">
        <v>0</v>
      </c>
      <c r="P77" s="57"/>
      <c r="Q77" s="41">
        <v>5.4301000000000002E-2</v>
      </c>
      <c r="R77" s="41">
        <v>4.8339999999999998E-3</v>
      </c>
      <c r="S77" s="43">
        <v>2.4066000000000001E-2</v>
      </c>
      <c r="T77" s="49">
        <f t="shared" si="16"/>
        <v>5.0972999999999997E-2</v>
      </c>
      <c r="U77" s="41">
        <v>7.8080000000000007E-3</v>
      </c>
      <c r="V77" s="41">
        <v>-3.715E-3</v>
      </c>
      <c r="W77" s="41">
        <v>2.4014999999999998E-2</v>
      </c>
      <c r="X77" s="40">
        <v>2.3349999999999998E-3</v>
      </c>
      <c r="Y77" s="40"/>
      <c r="Z77" s="40"/>
      <c r="AA77" s="40"/>
      <c r="AB77" s="40"/>
      <c r="AC77" s="44"/>
    </row>
    <row r="78" spans="2:29" x14ac:dyDescent="0.35">
      <c r="B78" s="30">
        <f t="shared" si="13"/>
        <v>2016</v>
      </c>
      <c r="C78" s="30">
        <f t="shared" si="14"/>
        <v>4</v>
      </c>
      <c r="D78" s="31">
        <f t="shared" si="12"/>
        <v>42461</v>
      </c>
      <c r="E78" s="38">
        <v>15.76</v>
      </c>
      <c r="F78" s="39">
        <f t="shared" si="15"/>
        <v>8.9010000000000006E-2</v>
      </c>
      <c r="G78" s="39">
        <f t="shared" si="17"/>
        <v>8.9010000000000006E-2</v>
      </c>
      <c r="H78" s="57"/>
      <c r="I78" s="38">
        <v>1.2</v>
      </c>
      <c r="J78" s="42">
        <v>5.2700000000000004E-3</v>
      </c>
      <c r="K78" s="42">
        <v>1.482E-2</v>
      </c>
      <c r="L78" s="41">
        <v>1.7799999999999999E-4</v>
      </c>
      <c r="M78" s="40">
        <v>-1.2E-4</v>
      </c>
      <c r="N78" s="41">
        <v>6.1999999999999998E-3</v>
      </c>
      <c r="O78" s="57">
        <v>0</v>
      </c>
      <c r="P78" s="57"/>
      <c r="Q78" s="41">
        <v>6.2185999999999998E-2</v>
      </c>
      <c r="R78" s="41">
        <v>5.8979999999999996E-3</v>
      </c>
      <c r="S78" s="43">
        <v>2.4066000000000001E-2</v>
      </c>
      <c r="T78" s="49">
        <v>5.1073E-2</v>
      </c>
      <c r="U78" s="41">
        <v>-1.97E-3</v>
      </c>
      <c r="V78" s="41">
        <v>1.7349999999999998E-3</v>
      </c>
      <c r="W78" s="41">
        <v>2.0944000000000004E-2</v>
      </c>
      <c r="X78" s="40">
        <v>2.3349999999999998E-3</v>
      </c>
      <c r="Y78" s="40"/>
      <c r="Z78" s="40"/>
      <c r="AA78" s="40"/>
      <c r="AB78" s="40"/>
      <c r="AC78" s="44"/>
    </row>
    <row r="79" spans="2:29" x14ac:dyDescent="0.35">
      <c r="B79" s="30">
        <f t="shared" si="13"/>
        <v>2016</v>
      </c>
      <c r="C79" s="30">
        <f t="shared" si="14"/>
        <v>5</v>
      </c>
      <c r="D79" s="31">
        <f t="shared" si="12"/>
        <v>42491</v>
      </c>
      <c r="E79" s="38">
        <v>15.76</v>
      </c>
      <c r="F79" s="39">
        <f t="shared" si="15"/>
        <v>8.9010000000000006E-2</v>
      </c>
      <c r="G79" s="39">
        <f t="shared" si="17"/>
        <v>8.9010000000000006E-2</v>
      </c>
      <c r="H79" s="57"/>
      <c r="I79" s="38">
        <v>1.2</v>
      </c>
      <c r="J79" s="39">
        <v>5.2700000000000004E-3</v>
      </c>
      <c r="K79" s="42">
        <v>1.0699999999999999E-2</v>
      </c>
      <c r="L79" s="41">
        <v>1.34E-4</v>
      </c>
      <c r="M79" s="40">
        <v>-1.2E-4</v>
      </c>
      <c r="N79" s="41">
        <v>6.1999999999999998E-3</v>
      </c>
      <c r="O79" s="57">
        <v>0</v>
      </c>
      <c r="P79" s="57"/>
      <c r="Q79" s="41">
        <v>6.7198999999999995E-2</v>
      </c>
      <c r="R79" s="41">
        <v>5.1279999999999997E-3</v>
      </c>
      <c r="S79" s="43">
        <v>2.4066000000000001E-2</v>
      </c>
      <c r="T79" s="49">
        <v>5.1073E-2</v>
      </c>
      <c r="U79" s="41">
        <v>2.1350000000000002E-3</v>
      </c>
      <c r="V79" s="41">
        <f>+-0.014972</f>
        <v>-1.4971999999999999E-2</v>
      </c>
      <c r="W79" s="41">
        <v>1.0357E-2</v>
      </c>
      <c r="X79" s="40">
        <v>2.3349999999999998E-3</v>
      </c>
      <c r="Y79" s="40"/>
      <c r="Z79" s="40"/>
      <c r="AA79" s="40"/>
      <c r="AB79" s="40"/>
      <c r="AC79" s="44"/>
    </row>
    <row r="80" spans="2:29" x14ac:dyDescent="0.35">
      <c r="B80" s="30">
        <f t="shared" si="13"/>
        <v>2016</v>
      </c>
      <c r="C80" s="30">
        <f t="shared" si="14"/>
        <v>6</v>
      </c>
      <c r="D80" s="31">
        <f t="shared" si="12"/>
        <v>42522</v>
      </c>
      <c r="E80" s="38">
        <v>15.76</v>
      </c>
      <c r="F80" s="39">
        <f t="shared" si="15"/>
        <v>8.9010000000000006E-2</v>
      </c>
      <c r="G80" s="42">
        <f>0.1036-0.00128</f>
        <v>0.10231999999999999</v>
      </c>
      <c r="H80" s="57"/>
      <c r="I80" s="38">
        <v>1.2</v>
      </c>
      <c r="J80" s="39">
        <v>5.2700000000000004E-3</v>
      </c>
      <c r="K80" s="42">
        <v>1.163E-2</v>
      </c>
      <c r="L80" s="41">
        <v>7.3999999999999996E-5</v>
      </c>
      <c r="M80" s="40">
        <v>-1.2E-4</v>
      </c>
      <c r="N80" s="40">
        <v>6.1999999999999998E-3</v>
      </c>
      <c r="O80" s="57">
        <v>0</v>
      </c>
      <c r="P80" s="57"/>
      <c r="Q80" s="41">
        <v>6.9626999999999994E-2</v>
      </c>
      <c r="R80" s="41">
        <v>4.6480000000000002E-3</v>
      </c>
      <c r="S80" s="43">
        <v>2.4066000000000001E-2</v>
      </c>
      <c r="T80" s="46">
        <f>T79+-0.000382</f>
        <v>5.0691E-2</v>
      </c>
      <c r="U80" s="41">
        <v>5.8699999999999996E-4</v>
      </c>
      <c r="V80" s="41">
        <v>1.32E-3</v>
      </c>
      <c r="W80" s="41">
        <v>1.5719E-2</v>
      </c>
      <c r="X80" s="40">
        <v>2.3349999999999998E-3</v>
      </c>
      <c r="Y80" s="40"/>
      <c r="Z80" s="40"/>
      <c r="AA80" s="40"/>
      <c r="AB80" s="40"/>
      <c r="AC80" s="44"/>
    </row>
    <row r="81" spans="2:29" x14ac:dyDescent="0.35">
      <c r="B81" s="30">
        <f t="shared" si="13"/>
        <v>2016</v>
      </c>
      <c r="C81" s="30">
        <f t="shared" si="14"/>
        <v>7</v>
      </c>
      <c r="D81" s="31">
        <f t="shared" si="12"/>
        <v>42552</v>
      </c>
      <c r="E81" s="38">
        <v>15.76</v>
      </c>
      <c r="F81" s="39">
        <f t="shared" si="15"/>
        <v>8.9010000000000006E-2</v>
      </c>
      <c r="G81" s="39">
        <f>0.1036-0.00128</f>
        <v>0.10231999999999999</v>
      </c>
      <c r="H81" s="57"/>
      <c r="I81" s="38">
        <v>1.2</v>
      </c>
      <c r="J81" s="39">
        <v>5.2700000000000004E-3</v>
      </c>
      <c r="K81" s="42">
        <v>9.9399999999999992E-3</v>
      </c>
      <c r="L81" s="41">
        <v>5.8999999999999998E-5</v>
      </c>
      <c r="M81" s="40">
        <v>-1.2E-4</v>
      </c>
      <c r="N81" s="40">
        <v>6.1999999999999998E-3</v>
      </c>
      <c r="O81" s="57">
        <v>0</v>
      </c>
      <c r="P81" s="57"/>
      <c r="Q81" s="41">
        <v>8.0902000000000002E-2</v>
      </c>
      <c r="R81" s="41">
        <v>4.3779999999999999E-3</v>
      </c>
      <c r="S81" s="43">
        <v>2.4066000000000001E-2</v>
      </c>
      <c r="T81" s="58">
        <f>T79</f>
        <v>5.1073E-2</v>
      </c>
      <c r="U81" s="41">
        <v>2.3519999999999999E-3</v>
      </c>
      <c r="V81" s="41">
        <v>-5.4169999999999999E-3</v>
      </c>
      <c r="W81" s="41">
        <v>5.5820000000000002E-3</v>
      </c>
      <c r="X81" s="41">
        <v>1.258E-3</v>
      </c>
      <c r="Y81" s="41"/>
      <c r="Z81" s="41"/>
      <c r="AA81" s="41"/>
      <c r="AB81" s="41"/>
      <c r="AC81" s="44"/>
    </row>
    <row r="82" spans="2:29" x14ac:dyDescent="0.35">
      <c r="B82" s="30">
        <f t="shared" si="13"/>
        <v>2016</v>
      </c>
      <c r="C82" s="30">
        <f t="shared" si="14"/>
        <v>8</v>
      </c>
      <c r="D82" s="31">
        <f t="shared" si="12"/>
        <v>42583</v>
      </c>
      <c r="E82" s="38">
        <v>15.76</v>
      </c>
      <c r="F82" s="39">
        <f t="shared" si="15"/>
        <v>8.9010000000000006E-2</v>
      </c>
      <c r="G82" s="39">
        <f>0.1036-0.00128</f>
        <v>0.10231999999999999</v>
      </c>
      <c r="H82" s="57"/>
      <c r="I82" s="38">
        <v>1.2</v>
      </c>
      <c r="J82" s="42">
        <v>7.5199999999999998E-3</v>
      </c>
      <c r="K82" s="42">
        <v>9.0200000000000002E-3</v>
      </c>
      <c r="L82" s="41">
        <v>1.07E-4</v>
      </c>
      <c r="M82" s="40">
        <v>-1.2E-4</v>
      </c>
      <c r="N82" s="40">
        <v>6.1999999999999998E-3</v>
      </c>
      <c r="O82" s="57">
        <v>0</v>
      </c>
      <c r="P82" s="57"/>
      <c r="Q82" s="41">
        <v>8.1569000000000003E-2</v>
      </c>
      <c r="R82" s="41">
        <v>4.666E-3</v>
      </c>
      <c r="S82" s="43">
        <v>2.4066000000000001E-2</v>
      </c>
      <c r="T82" s="58">
        <f>T79</f>
        <v>5.1073E-2</v>
      </c>
      <c r="U82" s="41">
        <v>-2.281E-3</v>
      </c>
      <c r="V82" s="41">
        <v>-1.3391E-2</v>
      </c>
      <c r="W82" s="41">
        <v>9.1280000000000007E-3</v>
      </c>
      <c r="X82" s="40">
        <v>1.258E-3</v>
      </c>
      <c r="Y82" s="40"/>
      <c r="Z82" s="40"/>
      <c r="AA82" s="40"/>
      <c r="AB82" s="40"/>
      <c r="AC82" s="44"/>
    </row>
    <row r="83" spans="2:29" x14ac:dyDescent="0.35">
      <c r="B83" s="30">
        <f t="shared" si="13"/>
        <v>2016</v>
      </c>
      <c r="C83" s="30">
        <f t="shared" si="14"/>
        <v>9</v>
      </c>
      <c r="D83" s="31">
        <v>42614</v>
      </c>
      <c r="E83" s="38">
        <v>15.76</v>
      </c>
      <c r="F83" s="39">
        <v>8.9010000000000006E-2</v>
      </c>
      <c r="G83" s="39">
        <v>0.10231999999999999</v>
      </c>
      <c r="H83" s="57">
        <v>0</v>
      </c>
      <c r="I83" s="38">
        <v>1.2</v>
      </c>
      <c r="J83" s="39">
        <v>7.5199999999999998E-3</v>
      </c>
      <c r="K83" s="42">
        <v>1.0829999999999999E-2</v>
      </c>
      <c r="L83" s="41">
        <v>1.05E-4</v>
      </c>
      <c r="M83" s="40">
        <v>-1.2E-4</v>
      </c>
      <c r="N83" s="40">
        <v>6.1999999999999998E-3</v>
      </c>
      <c r="O83" s="57">
        <v>0</v>
      </c>
      <c r="P83" s="57"/>
      <c r="Q83" s="41">
        <v>7.0784E-2</v>
      </c>
      <c r="R83" s="41">
        <v>5.3249999999999999E-3</v>
      </c>
      <c r="S83" s="43">
        <v>2.4066000000000001E-2</v>
      </c>
      <c r="T83" s="58">
        <v>5.1073E-2</v>
      </c>
      <c r="U83" s="41">
        <v>-9.0499999999999999E-4</v>
      </c>
      <c r="V83" s="41">
        <v>-6.6369999999999997E-3</v>
      </c>
      <c r="W83" s="41">
        <v>8.1700000000000002E-3</v>
      </c>
      <c r="X83" s="40">
        <v>1.258E-3</v>
      </c>
      <c r="Y83" s="40"/>
      <c r="Z83" s="40"/>
      <c r="AA83" s="40"/>
      <c r="AB83" s="40"/>
      <c r="AC83" s="44"/>
    </row>
    <row r="84" spans="2:29" x14ac:dyDescent="0.35">
      <c r="B84" s="30">
        <f t="shared" si="13"/>
        <v>2016</v>
      </c>
      <c r="C84" s="30">
        <f t="shared" si="14"/>
        <v>10</v>
      </c>
      <c r="D84" s="31">
        <f t="shared" ref="D84:D115" si="18">+DATE(YEAR(D83),MONTH(D83)+1,1)</f>
        <v>42644</v>
      </c>
      <c r="E84" s="38">
        <v>15.76</v>
      </c>
      <c r="F84" s="39">
        <v>8.9010000000000006E-2</v>
      </c>
      <c r="G84" s="39">
        <f>0.09017-0.00116</f>
        <v>8.9010000000000006E-2</v>
      </c>
      <c r="H84" s="57">
        <v>0</v>
      </c>
      <c r="I84" s="38">
        <v>1.2</v>
      </c>
      <c r="J84" s="39">
        <v>7.5199999999999998E-3</v>
      </c>
      <c r="K84" s="42">
        <v>1.042E-2</v>
      </c>
      <c r="L84" s="41">
        <v>6.4999999999999994E-5</v>
      </c>
      <c r="M84" s="40">
        <v>-1.2E-4</v>
      </c>
      <c r="N84" s="40">
        <v>6.1999999999999998E-3</v>
      </c>
      <c r="O84" s="57">
        <v>0</v>
      </c>
      <c r="P84" s="57"/>
      <c r="Q84" s="41">
        <v>6.3924999999999996E-2</v>
      </c>
      <c r="R84" s="41">
        <v>5.8919999999999997E-3</v>
      </c>
      <c r="S84" s="43">
        <v>2.4066000000000001E-2</v>
      </c>
      <c r="T84" s="58">
        <v>5.1073E-2</v>
      </c>
      <c r="U84" s="41">
        <v>1.542E-3</v>
      </c>
      <c r="V84" s="41">
        <v>-8.1449999999999995E-3</v>
      </c>
      <c r="W84" s="41">
        <v>1.4955E-2</v>
      </c>
      <c r="X84" s="40">
        <v>1.258E-3</v>
      </c>
      <c r="Y84" s="40"/>
      <c r="Z84" s="40"/>
      <c r="AA84" s="40"/>
      <c r="AB84" s="40"/>
      <c r="AC84" s="44"/>
    </row>
    <row r="85" spans="2:29" x14ac:dyDescent="0.35">
      <c r="B85" s="30">
        <f t="shared" si="13"/>
        <v>2016</v>
      </c>
      <c r="C85" s="30">
        <f t="shared" si="14"/>
        <v>11</v>
      </c>
      <c r="D85" s="31">
        <f t="shared" si="18"/>
        <v>42675</v>
      </c>
      <c r="E85" s="38">
        <v>15.76</v>
      </c>
      <c r="F85" s="39">
        <v>8.9010000000000006E-2</v>
      </c>
      <c r="G85" s="39">
        <f>0.09017-0.00116</f>
        <v>8.9010000000000006E-2</v>
      </c>
      <c r="H85" s="57">
        <v>0</v>
      </c>
      <c r="I85" s="38">
        <v>1.2</v>
      </c>
      <c r="J85" s="39">
        <v>7.5199999999999998E-3</v>
      </c>
      <c r="K85" s="42">
        <v>1.4659999999999999E-2</v>
      </c>
      <c r="L85" s="41">
        <v>8.2999999999999998E-5</v>
      </c>
      <c r="M85" s="40">
        <v>-1.2E-4</v>
      </c>
      <c r="N85" s="40">
        <v>6.1999999999999998E-3</v>
      </c>
      <c r="O85" s="57">
        <v>0</v>
      </c>
      <c r="P85" s="57"/>
      <c r="Q85" s="41">
        <v>4.7875000000000001E-2</v>
      </c>
      <c r="R85" s="41">
        <v>5.4489999999999999E-3</v>
      </c>
      <c r="S85" s="43">
        <v>2.4066000000000001E-2</v>
      </c>
      <c r="T85" s="58">
        <v>5.1073E-2</v>
      </c>
      <c r="U85" s="41">
        <v>4.0569999999999998E-3</v>
      </c>
      <c r="V85" s="41">
        <v>-3.7390000000000001E-3</v>
      </c>
      <c r="W85" s="41">
        <v>1.8825999999999999E-2</v>
      </c>
      <c r="X85" s="40">
        <v>1.258E-3</v>
      </c>
      <c r="Y85" s="40"/>
      <c r="Z85" s="40"/>
      <c r="AA85" s="40"/>
      <c r="AB85" s="40"/>
      <c r="AC85" s="44"/>
    </row>
    <row r="86" spans="2:29" x14ac:dyDescent="0.35">
      <c r="B86" s="30">
        <f t="shared" si="13"/>
        <v>2016</v>
      </c>
      <c r="C86" s="30">
        <f t="shared" si="14"/>
        <v>12</v>
      </c>
      <c r="D86" s="31">
        <f t="shared" si="18"/>
        <v>42705</v>
      </c>
      <c r="E86" s="38">
        <v>15.76</v>
      </c>
      <c r="F86" s="39">
        <v>8.9010000000000006E-2</v>
      </c>
      <c r="G86" s="39">
        <f>0.09017-0.00116</f>
        <v>8.9010000000000006E-2</v>
      </c>
      <c r="H86" s="57">
        <v>0</v>
      </c>
      <c r="I86" s="38">
        <v>1.2</v>
      </c>
      <c r="J86" s="39">
        <v>7.5199999999999998E-3</v>
      </c>
      <c r="K86" s="41">
        <v>1.2200000000000001E-2</v>
      </c>
      <c r="L86" s="41">
        <v>1.16E-4</v>
      </c>
      <c r="M86" s="40">
        <v>-1.2E-4</v>
      </c>
      <c r="N86" s="40">
        <v>6.1999999999999998E-3</v>
      </c>
      <c r="O86" s="57">
        <v>0</v>
      </c>
      <c r="P86" s="57"/>
      <c r="Q86" s="41">
        <v>6.9762000000000005E-2</v>
      </c>
      <c r="R86" s="41">
        <v>4.254E-3</v>
      </c>
      <c r="S86" s="43">
        <v>2.4066000000000001E-2</v>
      </c>
      <c r="T86" s="58">
        <v>5.1073E-2</v>
      </c>
      <c r="U86" s="41">
        <v>9.9649999999999999E-3</v>
      </c>
      <c r="V86" s="41">
        <v>-6.202E-3</v>
      </c>
      <c r="W86" s="41">
        <v>9.4299999999999991E-3</v>
      </c>
      <c r="X86" s="40">
        <v>1.258E-3</v>
      </c>
      <c r="Y86" s="40"/>
      <c r="Z86" s="40"/>
      <c r="AA86" s="40"/>
      <c r="AB86" s="40"/>
      <c r="AC86" s="44"/>
    </row>
    <row r="87" spans="2:29" x14ac:dyDescent="0.35">
      <c r="B87" s="30">
        <f t="shared" si="13"/>
        <v>2017</v>
      </c>
      <c r="C87" s="30">
        <f t="shared" si="14"/>
        <v>1</v>
      </c>
      <c r="D87" s="31">
        <f t="shared" si="18"/>
        <v>42736</v>
      </c>
      <c r="E87" s="38">
        <v>15.76</v>
      </c>
      <c r="F87" s="39">
        <v>8.9010000000000006E-2</v>
      </c>
      <c r="G87" s="39">
        <f>0.09017-0.00116</f>
        <v>8.9010000000000006E-2</v>
      </c>
      <c r="H87" s="57">
        <v>0</v>
      </c>
      <c r="I87" s="38">
        <v>1.2</v>
      </c>
      <c r="J87" s="39">
        <v>7.5199999999999998E-3</v>
      </c>
      <c r="K87" s="41">
        <v>7.2300000000000003E-3</v>
      </c>
      <c r="L87" s="41">
        <v>1.8599999999999999E-4</v>
      </c>
      <c r="M87" s="41">
        <v>-7.8999999999999996E-5</v>
      </c>
      <c r="N87" s="59">
        <f t="shared" ref="N87:N95" si="19">0.0019+0.0048</f>
        <v>6.6999999999999994E-3</v>
      </c>
      <c r="O87" s="57">
        <v>0</v>
      </c>
      <c r="P87" s="57"/>
      <c r="Q87" s="41">
        <v>6.4454999999999998E-2</v>
      </c>
      <c r="R87" s="41">
        <v>4.1999999999999997E-3</v>
      </c>
      <c r="S87" s="43">
        <v>2.4066000000000001E-2</v>
      </c>
      <c r="T87" s="58">
        <v>5.1073E-2</v>
      </c>
      <c r="U87" s="41">
        <v>5.927E-3</v>
      </c>
      <c r="V87" s="41">
        <v>-1.493E-3</v>
      </c>
      <c r="W87" s="41">
        <v>-7.6579999999999999E-3</v>
      </c>
      <c r="X87" s="40">
        <v>1.258E-3</v>
      </c>
      <c r="Y87" s="40"/>
      <c r="Z87" s="40"/>
      <c r="AA87" s="40"/>
      <c r="AB87" s="40"/>
      <c r="AC87" s="44"/>
    </row>
    <row r="88" spans="2:29" x14ac:dyDescent="0.35">
      <c r="B88" s="30">
        <f t="shared" si="13"/>
        <v>2017</v>
      </c>
      <c r="C88" s="30">
        <f t="shared" si="14"/>
        <v>2</v>
      </c>
      <c r="D88" s="31">
        <f t="shared" si="18"/>
        <v>42767</v>
      </c>
      <c r="E88" s="38">
        <v>15.76</v>
      </c>
      <c r="F88" s="42">
        <v>9.6269999999999994E-2</v>
      </c>
      <c r="G88" s="42">
        <v>9.6269999999999994E-2</v>
      </c>
      <c r="H88" s="41">
        <v>6.7100000000000005E-4</v>
      </c>
      <c r="I88" s="38">
        <v>1.2</v>
      </c>
      <c r="J88" s="42">
        <v>1.6800000000000001E-3</v>
      </c>
      <c r="K88" s="41">
        <v>1.1039999999999999E-2</v>
      </c>
      <c r="L88" s="41">
        <v>1.84E-4</v>
      </c>
      <c r="M88" s="40">
        <v>-7.8999999999999996E-5</v>
      </c>
      <c r="N88" s="60">
        <f t="shared" si="19"/>
        <v>6.6999999999999994E-3</v>
      </c>
      <c r="O88" s="57">
        <v>0</v>
      </c>
      <c r="P88" s="57"/>
      <c r="Q88" s="41">
        <v>5.2235999999999998E-2</v>
      </c>
      <c r="R88" s="41">
        <v>3.8930000000000002E-3</v>
      </c>
      <c r="S88" s="43">
        <v>2.4066000000000001E-2</v>
      </c>
      <c r="T88" s="58">
        <v>5.1073E-2</v>
      </c>
      <c r="U88" s="41">
        <v>1.6469000000000001E-2</v>
      </c>
      <c r="V88" s="41">
        <v>-5.0639999999999999E-3</v>
      </c>
      <c r="W88" s="41">
        <v>2.0227999999999999E-2</v>
      </c>
      <c r="X88" s="40">
        <v>1.258E-3</v>
      </c>
      <c r="Y88" s="40"/>
      <c r="Z88" s="40"/>
      <c r="AA88" s="40"/>
      <c r="AB88" s="40"/>
      <c r="AC88" s="44"/>
    </row>
    <row r="89" spans="2:29" x14ac:dyDescent="0.35">
      <c r="B89" s="30">
        <f t="shared" si="13"/>
        <v>2017</v>
      </c>
      <c r="C89" s="30">
        <f t="shared" si="14"/>
        <v>3</v>
      </c>
      <c r="D89" s="31">
        <f t="shared" si="18"/>
        <v>42795</v>
      </c>
      <c r="E89" s="38">
        <v>15.76</v>
      </c>
      <c r="F89" s="39">
        <v>9.6269999999999994E-2</v>
      </c>
      <c r="G89" s="39">
        <v>9.6269999999999994E-2</v>
      </c>
      <c r="H89" s="40">
        <v>6.7100000000000005E-4</v>
      </c>
      <c r="I89" s="38">
        <v>1.2</v>
      </c>
      <c r="J89" s="39">
        <v>1.6800000000000001E-3</v>
      </c>
      <c r="K89" s="41">
        <v>1.405E-2</v>
      </c>
      <c r="L89" s="41">
        <v>1.0900000000000001E-4</v>
      </c>
      <c r="M89" s="40">
        <v>-7.8999999999999996E-5</v>
      </c>
      <c r="N89" s="60">
        <f t="shared" si="19"/>
        <v>6.6999999999999994E-3</v>
      </c>
      <c r="O89" s="57">
        <v>0</v>
      </c>
      <c r="P89" s="57"/>
      <c r="Q89" s="41">
        <v>5.9171000000000001E-2</v>
      </c>
      <c r="R89" s="41">
        <v>3.954E-3</v>
      </c>
      <c r="S89" s="43">
        <v>2.4066000000000001E-2</v>
      </c>
      <c r="T89" s="58">
        <v>5.1073E-2</v>
      </c>
      <c r="U89" s="41">
        <v>6.0499999999999996E-4</v>
      </c>
      <c r="V89" s="41">
        <v>-3.5769999999999999E-3</v>
      </c>
      <c r="W89" s="41">
        <v>2.2492000000000002E-2</v>
      </c>
      <c r="X89" s="40">
        <v>1.258E-3</v>
      </c>
      <c r="Y89" s="40"/>
      <c r="Z89" s="40"/>
      <c r="AA89" s="40"/>
      <c r="AB89" s="40"/>
      <c r="AC89" s="44"/>
    </row>
    <row r="90" spans="2:29" x14ac:dyDescent="0.35">
      <c r="B90" s="30">
        <f t="shared" si="13"/>
        <v>2017</v>
      </c>
      <c r="C90" s="30">
        <f t="shared" si="14"/>
        <v>4</v>
      </c>
      <c r="D90" s="31">
        <f t="shared" si="18"/>
        <v>42826</v>
      </c>
      <c r="E90" s="38">
        <v>15.76</v>
      </c>
      <c r="F90" s="39">
        <v>9.6269999999999994E-2</v>
      </c>
      <c r="G90" s="39">
        <v>9.6269999999999994E-2</v>
      </c>
      <c r="H90" s="40">
        <v>6.7100000000000005E-4</v>
      </c>
      <c r="I90" s="38">
        <v>1.2</v>
      </c>
      <c r="J90" s="39">
        <v>1.6800000000000001E-3</v>
      </c>
      <c r="K90" s="41">
        <v>1.2070000000000001E-2</v>
      </c>
      <c r="L90" s="41">
        <v>1.3899999999999999E-4</v>
      </c>
      <c r="M90" s="40">
        <v>-7.8999999999999996E-5</v>
      </c>
      <c r="N90" s="60">
        <f t="shared" si="19"/>
        <v>6.6999999999999994E-3</v>
      </c>
      <c r="O90" s="57">
        <v>0</v>
      </c>
      <c r="P90" s="57"/>
      <c r="Q90" s="41">
        <v>5.4820000000000001E-2</v>
      </c>
      <c r="R90" s="41">
        <v>3.4220000000000001E-3</v>
      </c>
      <c r="S90" s="43">
        <v>2.4066000000000001E-2</v>
      </c>
      <c r="T90" s="58">
        <v>5.0516999999999999E-2</v>
      </c>
      <c r="U90" s="41">
        <v>-1.55E-4</v>
      </c>
      <c r="V90" s="41">
        <v>-7.3980000000000001E-3</v>
      </c>
      <c r="W90" s="41">
        <v>1.7446E-2</v>
      </c>
      <c r="X90" s="40">
        <v>1.258E-3</v>
      </c>
      <c r="Y90" s="41">
        <v>0</v>
      </c>
      <c r="Z90" s="41">
        <f t="shared" ref="Z90:Z95" si="20">0.000041+0.003231</f>
        <v>3.2719999999999997E-3</v>
      </c>
      <c r="AA90" s="41"/>
      <c r="AB90" s="41"/>
      <c r="AC90" s="44"/>
    </row>
    <row r="91" spans="2:29" x14ac:dyDescent="0.35">
      <c r="B91" s="30">
        <f t="shared" si="13"/>
        <v>2017</v>
      </c>
      <c r="C91" s="30">
        <f t="shared" si="14"/>
        <v>5</v>
      </c>
      <c r="D91" s="31">
        <f t="shared" si="18"/>
        <v>42856</v>
      </c>
      <c r="E91" s="38">
        <v>15.76</v>
      </c>
      <c r="F91" s="39">
        <v>9.6269999999999994E-2</v>
      </c>
      <c r="G91" s="39">
        <v>9.6269999999999994E-2</v>
      </c>
      <c r="H91" s="40">
        <v>6.7100000000000005E-4</v>
      </c>
      <c r="I91" s="38">
        <v>1.2</v>
      </c>
      <c r="J91" s="39">
        <v>1.6800000000000001E-3</v>
      </c>
      <c r="K91" s="41">
        <v>3.47E-3</v>
      </c>
      <c r="L91" s="41">
        <v>1.21E-4</v>
      </c>
      <c r="M91" s="40">
        <v>-7.8999999999999996E-5</v>
      </c>
      <c r="N91" s="60">
        <f t="shared" si="19"/>
        <v>6.6999999999999994E-3</v>
      </c>
      <c r="O91" s="57">
        <v>0</v>
      </c>
      <c r="P91" s="57"/>
      <c r="Q91" s="41">
        <v>8.0496999999999999E-2</v>
      </c>
      <c r="R91" s="41">
        <v>4.3639999999999998E-3</v>
      </c>
      <c r="S91" s="43">
        <v>2.4066000000000001E-2</v>
      </c>
      <c r="T91" s="58">
        <v>5.0516999999999999E-2</v>
      </c>
      <c r="U91" s="41">
        <v>6.0689999999999997E-3</v>
      </c>
      <c r="V91" s="41">
        <v>-1.5219999999999999E-3</v>
      </c>
      <c r="W91" s="41">
        <v>1.5899E-2</v>
      </c>
      <c r="X91" s="40">
        <v>1.258E-3</v>
      </c>
      <c r="Y91" s="40">
        <v>0</v>
      </c>
      <c r="Z91" s="40">
        <f t="shared" si="20"/>
        <v>3.2719999999999997E-3</v>
      </c>
      <c r="AA91" s="40"/>
      <c r="AB91" s="40"/>
      <c r="AC91" s="44"/>
    </row>
    <row r="92" spans="2:29" x14ac:dyDescent="0.35">
      <c r="B92" s="30">
        <f t="shared" si="13"/>
        <v>2017</v>
      </c>
      <c r="C92" s="30">
        <f t="shared" si="14"/>
        <v>6</v>
      </c>
      <c r="D92" s="31">
        <f t="shared" si="18"/>
        <v>42887</v>
      </c>
      <c r="E92" s="38">
        <v>15.76</v>
      </c>
      <c r="F92" s="39">
        <v>9.6269999999999994E-2</v>
      </c>
      <c r="G92" s="42">
        <v>0.11067</v>
      </c>
      <c r="H92" s="40">
        <v>6.7100000000000005E-4</v>
      </c>
      <c r="I92" s="38">
        <v>1.2</v>
      </c>
      <c r="J92" s="39">
        <v>1.6800000000000001E-3</v>
      </c>
      <c r="K92" s="41">
        <v>6.1599999999999997E-3</v>
      </c>
      <c r="L92" s="41">
        <v>1.5E-5</v>
      </c>
      <c r="M92" s="40">
        <v>-7.8999999999999996E-5</v>
      </c>
      <c r="N92" s="60">
        <f t="shared" si="19"/>
        <v>6.6999999999999994E-3</v>
      </c>
      <c r="O92" s="57">
        <v>0</v>
      </c>
      <c r="P92" s="57"/>
      <c r="Q92" s="41">
        <v>7.9344999999999999E-2</v>
      </c>
      <c r="R92" s="41">
        <v>3.8779999999999999E-3</v>
      </c>
      <c r="S92" s="43">
        <v>2.4066000000000001E-2</v>
      </c>
      <c r="T92" s="58">
        <f>5.0517%-0.2592%</f>
        <v>4.7925000000000009E-2</v>
      </c>
      <c r="U92" s="41">
        <v>2.6489999999999999E-3</v>
      </c>
      <c r="V92" s="41">
        <v>-1.9910000000000001E-3</v>
      </c>
      <c r="W92" s="41">
        <v>1.0965000000000001E-2</v>
      </c>
      <c r="X92" s="40">
        <v>1.258E-3</v>
      </c>
      <c r="Y92" s="40">
        <v>0</v>
      </c>
      <c r="Z92" s="40">
        <f t="shared" si="20"/>
        <v>3.2719999999999997E-3</v>
      </c>
      <c r="AA92" s="40"/>
      <c r="AB92" s="40"/>
      <c r="AC92" s="44"/>
    </row>
    <row r="93" spans="2:29" x14ac:dyDescent="0.35">
      <c r="B93" s="30">
        <f t="shared" si="13"/>
        <v>2017</v>
      </c>
      <c r="C93" s="30">
        <f t="shared" si="14"/>
        <v>7</v>
      </c>
      <c r="D93" s="31">
        <f t="shared" si="18"/>
        <v>42917</v>
      </c>
      <c r="E93" s="38">
        <v>15.76</v>
      </c>
      <c r="F93" s="39">
        <v>9.6269999999999994E-2</v>
      </c>
      <c r="G93" s="39">
        <v>0.11067</v>
      </c>
      <c r="H93" s="40">
        <v>6.7100000000000005E-4</v>
      </c>
      <c r="I93" s="38">
        <v>1.2</v>
      </c>
      <c r="J93" s="39">
        <v>1.6800000000000001E-3</v>
      </c>
      <c r="K93" s="41">
        <v>5.2399999999999999E-3</v>
      </c>
      <c r="L93" s="41">
        <v>4.0000000000000003E-5</v>
      </c>
      <c r="M93" s="40">
        <v>-7.8999999999999996E-5</v>
      </c>
      <c r="N93" s="60">
        <f t="shared" si="19"/>
        <v>6.6999999999999994E-3</v>
      </c>
      <c r="O93" s="57">
        <v>0</v>
      </c>
      <c r="P93" s="57"/>
      <c r="Q93" s="61">
        <v>8.2488000000000006E-2</v>
      </c>
      <c r="R93" s="41">
        <v>3.7950000000000002E-3</v>
      </c>
      <c r="S93" s="43">
        <v>2.4066000000000001E-2</v>
      </c>
      <c r="T93" s="58">
        <v>5.0516999999999999E-2</v>
      </c>
      <c r="U93" s="41">
        <v>1.7750000000000001E-3</v>
      </c>
      <c r="V93" s="41">
        <v>-8.097E-3</v>
      </c>
      <c r="W93" s="41">
        <v>5.2820000000000002E-3</v>
      </c>
      <c r="X93" s="41">
        <v>1.1850000000000001E-3</v>
      </c>
      <c r="Y93" s="40">
        <v>0</v>
      </c>
      <c r="Z93" s="40">
        <f t="shared" si="20"/>
        <v>3.2719999999999997E-3</v>
      </c>
      <c r="AA93" s="40"/>
      <c r="AB93" s="40"/>
      <c r="AC93" s="44"/>
    </row>
    <row r="94" spans="2:29" x14ac:dyDescent="0.35">
      <c r="B94" s="30">
        <f t="shared" si="13"/>
        <v>2017</v>
      </c>
      <c r="C94" s="30">
        <f t="shared" si="14"/>
        <v>8</v>
      </c>
      <c r="D94" s="31">
        <f t="shared" si="18"/>
        <v>42948</v>
      </c>
      <c r="E94" s="38">
        <v>15.76</v>
      </c>
      <c r="F94" s="39">
        <v>9.6269999999999994E-2</v>
      </c>
      <c r="G94" s="39">
        <v>0.11067</v>
      </c>
      <c r="H94" s="40">
        <v>6.7100000000000005E-4</v>
      </c>
      <c r="I94" s="38">
        <v>1.2</v>
      </c>
      <c r="J94" s="42">
        <v>3.3500000000000001E-3</v>
      </c>
      <c r="K94" s="41">
        <v>5.4299999999999999E-3</v>
      </c>
      <c r="L94" s="41">
        <v>4.8999999999999998E-5</v>
      </c>
      <c r="M94" s="40">
        <v>-7.8999999999999996E-5</v>
      </c>
      <c r="N94" s="60">
        <f t="shared" si="19"/>
        <v>6.6999999999999994E-3</v>
      </c>
      <c r="O94" s="57">
        <v>0</v>
      </c>
      <c r="P94" s="57"/>
      <c r="Q94" s="61">
        <v>7.6877000000000001E-2</v>
      </c>
      <c r="R94" s="41">
        <v>4.0629999999999998E-3</v>
      </c>
      <c r="S94" s="43">
        <v>2.4066000000000001E-2</v>
      </c>
      <c r="T94" s="58">
        <v>5.0516999999999999E-2</v>
      </c>
      <c r="U94" s="41">
        <v>2.4190000000000001E-3</v>
      </c>
      <c r="V94" s="41">
        <v>-1.1750999999999999E-2</v>
      </c>
      <c r="W94" s="41">
        <v>6.3930000000000002E-3</v>
      </c>
      <c r="X94" s="40">
        <v>1.1850000000000001E-3</v>
      </c>
      <c r="Y94" s="40">
        <v>0</v>
      </c>
      <c r="Z94" s="40">
        <f t="shared" si="20"/>
        <v>3.2719999999999997E-3</v>
      </c>
      <c r="AA94" s="40"/>
      <c r="AB94" s="40"/>
      <c r="AC94" s="44"/>
    </row>
    <row r="95" spans="2:29" x14ac:dyDescent="0.35">
      <c r="B95" s="30">
        <f t="shared" si="13"/>
        <v>2017</v>
      </c>
      <c r="C95" s="30">
        <f t="shared" si="14"/>
        <v>9</v>
      </c>
      <c r="D95" s="31">
        <f t="shared" si="18"/>
        <v>42979</v>
      </c>
      <c r="E95" s="38">
        <v>15.76</v>
      </c>
      <c r="F95" s="39">
        <v>9.6269999999999994E-2</v>
      </c>
      <c r="G95" s="39">
        <v>0.11067</v>
      </c>
      <c r="H95" s="40">
        <v>6.7100000000000005E-4</v>
      </c>
      <c r="I95" s="38">
        <v>1.2</v>
      </c>
      <c r="J95" s="39">
        <v>3.3500000000000001E-3</v>
      </c>
      <c r="K95" s="41">
        <v>6.5900000000000004E-3</v>
      </c>
      <c r="L95" s="41">
        <v>6.0000000000000002E-5</v>
      </c>
      <c r="M95" s="40">
        <v>-7.8999999999999996E-5</v>
      </c>
      <c r="N95" s="60">
        <f t="shared" si="19"/>
        <v>6.6999999999999994E-3</v>
      </c>
      <c r="O95" s="57">
        <v>0</v>
      </c>
      <c r="P95" s="57"/>
      <c r="Q95" s="61">
        <v>7.3622999999999994E-2</v>
      </c>
      <c r="R95" s="41">
        <v>4.4980000000000003E-3</v>
      </c>
      <c r="S95" s="43">
        <v>2.4066000000000001E-2</v>
      </c>
      <c r="T95" s="58">
        <v>5.0516999999999999E-2</v>
      </c>
      <c r="U95" s="41">
        <v>2.7000000000000001E-3</v>
      </c>
      <c r="V95" s="41">
        <v>-1.2829999999999999E-2</v>
      </c>
      <c r="W95" s="41">
        <v>1.5217E-2</v>
      </c>
      <c r="X95" s="40">
        <v>1.1850000000000001E-3</v>
      </c>
      <c r="Y95" s="40">
        <v>0</v>
      </c>
      <c r="Z95" s="40">
        <f t="shared" si="20"/>
        <v>3.2719999999999997E-3</v>
      </c>
      <c r="AA95" s="40"/>
      <c r="AB95" s="40"/>
      <c r="AC95" s="44"/>
    </row>
    <row r="96" spans="2:29" x14ac:dyDescent="0.35">
      <c r="B96" s="30">
        <f t="shared" si="13"/>
        <v>2017</v>
      </c>
      <c r="C96" s="30">
        <f t="shared" si="14"/>
        <v>10</v>
      </c>
      <c r="D96" s="31">
        <f t="shared" si="18"/>
        <v>43009</v>
      </c>
      <c r="E96" s="38">
        <v>15.76</v>
      </c>
      <c r="F96" s="39">
        <v>9.6269999999999994E-2</v>
      </c>
      <c r="G96" s="42">
        <v>9.6269999999999994E-2</v>
      </c>
      <c r="H96" s="40">
        <v>6.7100000000000005E-4</v>
      </c>
      <c r="I96" s="38">
        <v>1.2</v>
      </c>
      <c r="J96" s="39">
        <v>3.3500000000000001E-3</v>
      </c>
      <c r="K96" s="41">
        <v>5.8500000000000002E-3</v>
      </c>
      <c r="L96" s="41">
        <v>6.0999999999999999E-5</v>
      </c>
      <c r="M96" s="40">
        <v>-7.8999999999999996E-5</v>
      </c>
      <c r="N96" s="60">
        <v>6.7000000000000002E-3</v>
      </c>
      <c r="O96" s="57">
        <v>0</v>
      </c>
      <c r="P96" s="57"/>
      <c r="Q96" s="61">
        <v>7.5721999999999998E-2</v>
      </c>
      <c r="R96" s="41">
        <v>4.398E-3</v>
      </c>
      <c r="S96" s="43">
        <v>2.4066000000000001E-2</v>
      </c>
      <c r="T96" s="58">
        <v>5.0516999999999999E-2</v>
      </c>
      <c r="U96" s="41">
        <v>3.9039999999999999E-3</v>
      </c>
      <c r="V96" s="41">
        <v>-1.3148E-2</v>
      </c>
      <c r="W96" s="41">
        <v>1.4765E-2</v>
      </c>
      <c r="X96" s="40">
        <v>1.1850000000000001E-3</v>
      </c>
      <c r="Y96" s="40">
        <v>0</v>
      </c>
      <c r="Z96" s="40">
        <v>3.2720000000000002E-3</v>
      </c>
      <c r="AA96" s="40"/>
      <c r="AB96" s="40"/>
      <c r="AC96" s="44"/>
    </row>
    <row r="97" spans="2:29" x14ac:dyDescent="0.35">
      <c r="B97" s="30">
        <f t="shared" si="13"/>
        <v>2017</v>
      </c>
      <c r="C97" s="30">
        <f t="shared" si="14"/>
        <v>11</v>
      </c>
      <c r="D97" s="31">
        <f t="shared" si="18"/>
        <v>43040</v>
      </c>
      <c r="E97" s="38">
        <v>15.76</v>
      </c>
      <c r="F97" s="39">
        <v>9.6269999999999994E-2</v>
      </c>
      <c r="G97" s="39">
        <v>9.6269999999999994E-2</v>
      </c>
      <c r="H97" s="40">
        <v>6.7100000000000005E-4</v>
      </c>
      <c r="I97" s="38">
        <v>1.2</v>
      </c>
      <c r="J97" s="39">
        <v>3.3500000000000001E-3</v>
      </c>
      <c r="K97" s="41">
        <v>1.091E-2</v>
      </c>
      <c r="L97" s="41">
        <v>7.2000000000000002E-5</v>
      </c>
      <c r="M97" s="40">
        <v>-7.8999999999999996E-5</v>
      </c>
      <c r="N97" s="60">
        <v>6.7000000000000002E-3</v>
      </c>
      <c r="O97" s="57"/>
      <c r="P97" s="57"/>
      <c r="Q97" s="61">
        <v>4.7704999999999997E-2</v>
      </c>
      <c r="R97" s="41">
        <v>4.0169999999999997E-3</v>
      </c>
      <c r="S97" s="43">
        <v>2.4066000000000001E-2</v>
      </c>
      <c r="T97" s="58">
        <v>5.0516999999999999E-2</v>
      </c>
      <c r="U97" s="41">
        <v>1.529E-3</v>
      </c>
      <c r="V97" s="41">
        <v>-1.094E-2</v>
      </c>
      <c r="W97" s="41">
        <v>1.7125000000000001E-2</v>
      </c>
      <c r="X97" s="40">
        <v>1.1850000000000001E-3</v>
      </c>
      <c r="Y97" s="40">
        <v>0</v>
      </c>
      <c r="Z97" s="40">
        <v>3.2720000000000002E-3</v>
      </c>
      <c r="AA97" s="40"/>
      <c r="AB97" s="40"/>
      <c r="AC97" s="44"/>
    </row>
    <row r="98" spans="2:29" x14ac:dyDescent="0.35">
      <c r="B98" s="30">
        <f t="shared" si="13"/>
        <v>2017</v>
      </c>
      <c r="C98" s="30">
        <f t="shared" si="14"/>
        <v>12</v>
      </c>
      <c r="D98" s="31">
        <f t="shared" si="18"/>
        <v>43070</v>
      </c>
      <c r="E98" s="38">
        <v>15.76</v>
      </c>
      <c r="F98" s="39">
        <v>9.6269999999999994E-2</v>
      </c>
      <c r="G98" s="39">
        <v>9.6269999999999994E-2</v>
      </c>
      <c r="H98" s="40">
        <v>6.7100000000000005E-4</v>
      </c>
      <c r="I98" s="38">
        <v>1.2</v>
      </c>
      <c r="J98" s="39">
        <v>3.3500000000000001E-3</v>
      </c>
      <c r="K98" s="41">
        <f>0.84/100</f>
        <v>8.3999999999999995E-3</v>
      </c>
      <c r="L98" s="41">
        <v>7.4999999999999993E-5</v>
      </c>
      <c r="M98" s="40">
        <v>-7.8999999999999996E-5</v>
      </c>
      <c r="N98" s="60">
        <v>6.7000000000000002E-3</v>
      </c>
      <c r="O98" s="57"/>
      <c r="P98" s="57"/>
      <c r="Q98" s="61">
        <v>6.9903000000000007E-2</v>
      </c>
      <c r="R98" s="41">
        <v>4.0559999999999997E-3</v>
      </c>
      <c r="S98" s="43">
        <v>2.4066000000000001E-2</v>
      </c>
      <c r="T98" s="58">
        <v>5.0516999999999999E-2</v>
      </c>
      <c r="U98" s="41">
        <v>2.8050000000000002E-3</v>
      </c>
      <c r="V98" s="41">
        <f>+-0.1599/100</f>
        <v>-1.5989999999999999E-3</v>
      </c>
      <c r="W98" s="41">
        <f>0.572/100</f>
        <v>5.7199999999999994E-3</v>
      </c>
      <c r="X98" s="41">
        <f>0.2003/100</f>
        <v>2.003E-3</v>
      </c>
      <c r="Y98" s="40">
        <v>0</v>
      </c>
      <c r="Z98" s="40">
        <v>3.2720000000000002E-3</v>
      </c>
      <c r="AA98" s="40"/>
      <c r="AB98" s="40"/>
      <c r="AC98" s="44"/>
    </row>
    <row r="99" spans="2:29" x14ac:dyDescent="0.35">
      <c r="B99" s="30">
        <f t="shared" ref="B99:B130" si="21">YEAR(D99)</f>
        <v>2018</v>
      </c>
      <c r="C99" s="30">
        <f t="shared" ref="C99:C130" si="22">MONTH(D99)</f>
        <v>1</v>
      </c>
      <c r="D99" s="31">
        <f t="shared" si="18"/>
        <v>43101</v>
      </c>
      <c r="E99" s="38">
        <v>15.76</v>
      </c>
      <c r="F99" s="42">
        <v>0.10221</v>
      </c>
      <c r="G99" s="42">
        <v>0.10221</v>
      </c>
      <c r="H99" s="41">
        <v>0</v>
      </c>
      <c r="I99" s="38">
        <v>1.2</v>
      </c>
      <c r="J99" s="39">
        <v>3.3500000000000001E-3</v>
      </c>
      <c r="K99" s="41">
        <v>5.1399999999999996E-3</v>
      </c>
      <c r="L99" s="41">
        <v>8.0000000000000007E-5</v>
      </c>
      <c r="M99" s="41">
        <v>-6.9999999999999999E-6</v>
      </c>
      <c r="N99" s="59">
        <v>6.7999999999999996E-3</v>
      </c>
      <c r="O99" s="57"/>
      <c r="P99" s="57"/>
      <c r="Q99" s="61">
        <v>0.12045500000000001</v>
      </c>
      <c r="R99" s="41">
        <v>4.0070000000000001E-3</v>
      </c>
      <c r="S99" s="43">
        <v>2.4066000000000001E-2</v>
      </c>
      <c r="T99" s="58">
        <v>5.0516999999999999E-2</v>
      </c>
      <c r="U99" s="41">
        <v>2.1640000000000001E-3</v>
      </c>
      <c r="V99" s="41">
        <v>-2.3314000000000001E-2</v>
      </c>
      <c r="W99" s="41">
        <v>-1.7694000000000001E-2</v>
      </c>
      <c r="X99" s="41">
        <v>0</v>
      </c>
      <c r="Y99" s="40">
        <v>0</v>
      </c>
      <c r="Z99" s="40">
        <v>3.2720000000000002E-3</v>
      </c>
      <c r="AA99" s="40"/>
      <c r="AB99" s="40"/>
      <c r="AC99" s="44"/>
    </row>
    <row r="100" spans="2:29" x14ac:dyDescent="0.35">
      <c r="B100" s="30">
        <f t="shared" si="21"/>
        <v>2018</v>
      </c>
      <c r="C100" s="30">
        <f t="shared" si="22"/>
        <v>2</v>
      </c>
      <c r="D100" s="31">
        <f t="shared" si="18"/>
        <v>43132</v>
      </c>
      <c r="E100" s="38">
        <v>15.76</v>
      </c>
      <c r="F100" s="39">
        <v>0.10221</v>
      </c>
      <c r="G100" s="39">
        <v>0.10221</v>
      </c>
      <c r="H100" s="40">
        <v>0</v>
      </c>
      <c r="I100" s="38">
        <v>1.2</v>
      </c>
      <c r="J100" s="42">
        <v>5.9199999999999999E-3</v>
      </c>
      <c r="K100" s="41">
        <v>5.6499999999999996E-3</v>
      </c>
      <c r="L100" s="41">
        <v>8.7000000000000001E-5</v>
      </c>
      <c r="M100" s="40">
        <v>-6.9999999999999999E-6</v>
      </c>
      <c r="N100" s="60">
        <v>6.7999999999999996E-3</v>
      </c>
      <c r="O100" s="57"/>
      <c r="P100" s="57"/>
      <c r="Q100" s="61">
        <v>5.2739000000000001E-2</v>
      </c>
      <c r="R100" s="41">
        <v>3.898E-3</v>
      </c>
      <c r="S100" s="43">
        <v>2.4066000000000001E-2</v>
      </c>
      <c r="T100" s="58">
        <v>5.0516999999999999E-2</v>
      </c>
      <c r="U100" s="41">
        <v>-8.7500000000000002E-4</v>
      </c>
      <c r="V100" s="41">
        <v>3.6180999999999998E-2</v>
      </c>
      <c r="W100" s="41">
        <v>-2.4358999999999999E-2</v>
      </c>
      <c r="X100" s="40">
        <v>0</v>
      </c>
      <c r="Y100" s="40">
        <v>0</v>
      </c>
      <c r="Z100" s="40">
        <v>3.2720000000000002E-3</v>
      </c>
      <c r="AA100" s="40"/>
      <c r="AB100" s="40"/>
      <c r="AC100" s="44"/>
    </row>
    <row r="101" spans="2:29" x14ac:dyDescent="0.35">
      <c r="B101" s="30">
        <f t="shared" si="21"/>
        <v>2018</v>
      </c>
      <c r="C101" s="30">
        <f t="shared" si="22"/>
        <v>3</v>
      </c>
      <c r="D101" s="31">
        <f t="shared" si="18"/>
        <v>43160</v>
      </c>
      <c r="E101" s="38">
        <v>15.76</v>
      </c>
      <c r="F101" s="39">
        <v>0.10221</v>
      </c>
      <c r="G101" s="39">
        <v>0.10221</v>
      </c>
      <c r="H101" s="41">
        <v>4.2499999999999998E-4</v>
      </c>
      <c r="I101" s="38">
        <v>1.2</v>
      </c>
      <c r="J101" s="39">
        <v>5.9199999999999999E-3</v>
      </c>
      <c r="K101" s="41">
        <v>8.94E-3</v>
      </c>
      <c r="L101" s="41">
        <v>2.8E-5</v>
      </c>
      <c r="M101" s="40">
        <v>-6.9999999999999999E-6</v>
      </c>
      <c r="N101" s="60">
        <v>6.7999999999999996E-3</v>
      </c>
      <c r="O101" s="57"/>
      <c r="P101" s="57"/>
      <c r="Q101" s="61">
        <v>5.0159000000000002E-2</v>
      </c>
      <c r="R101" s="41">
        <v>5.1370000000000001E-3</v>
      </c>
      <c r="S101" s="43">
        <v>2.4066000000000001E-2</v>
      </c>
      <c r="T101" s="58">
        <v>5.0516999999999999E-2</v>
      </c>
      <c r="U101" s="41">
        <v>5.0489999999999997E-3</v>
      </c>
      <c r="V101" s="41">
        <v>-2.9989999999999999E-3</v>
      </c>
      <c r="W101" s="41">
        <v>2.5770999999999999E-2</v>
      </c>
      <c r="X101" s="40">
        <v>0</v>
      </c>
      <c r="Y101" s="40">
        <v>0</v>
      </c>
      <c r="Z101" s="40">
        <v>3.2720000000000002E-3</v>
      </c>
      <c r="AA101" s="40"/>
      <c r="AB101" s="40"/>
      <c r="AC101" s="44"/>
    </row>
    <row r="102" spans="2:29" x14ac:dyDescent="0.35">
      <c r="B102" s="30">
        <f t="shared" si="21"/>
        <v>2018</v>
      </c>
      <c r="C102" s="30">
        <f t="shared" si="22"/>
        <v>4</v>
      </c>
      <c r="D102" s="31">
        <f t="shared" si="18"/>
        <v>43191</v>
      </c>
      <c r="E102" s="38">
        <v>15.76</v>
      </c>
      <c r="F102" s="39">
        <v>0.10221</v>
      </c>
      <c r="G102" s="39">
        <v>0.10221</v>
      </c>
      <c r="H102" s="41">
        <v>0</v>
      </c>
      <c r="I102" s="38">
        <v>1.2</v>
      </c>
      <c r="J102" s="39">
        <v>5.9199999999999999E-3</v>
      </c>
      <c r="K102" s="41">
        <v>1.102E-2</v>
      </c>
      <c r="L102" s="41">
        <v>-1.9000000000000001E-5</v>
      </c>
      <c r="M102" s="40">
        <v>-6.9999999999999999E-6</v>
      </c>
      <c r="N102" s="60">
        <v>6.7999999999999996E-3</v>
      </c>
      <c r="O102" s="57"/>
      <c r="P102" s="57"/>
      <c r="Q102" s="61">
        <v>5.3288000000000002E-2</v>
      </c>
      <c r="R102" s="41">
        <v>6.5240000000000003E-3</v>
      </c>
      <c r="S102" s="43">
        <v>2.4066000000000001E-2</v>
      </c>
      <c r="T102" s="46">
        <v>4.9891999999999999E-2</v>
      </c>
      <c r="U102" s="41">
        <v>-1.222E-3</v>
      </c>
      <c r="V102" s="41">
        <v>-2.6319999999999998E-3</v>
      </c>
      <c r="W102" s="41">
        <v>2.5222000000000001E-2</v>
      </c>
      <c r="X102" s="40">
        <v>0</v>
      </c>
      <c r="Y102" s="40">
        <v>0</v>
      </c>
      <c r="Z102" s="40">
        <v>3.8070000000000001E-3</v>
      </c>
      <c r="AA102" s="40"/>
      <c r="AB102" s="40"/>
      <c r="AC102" s="44"/>
    </row>
    <row r="103" spans="2:29" x14ac:dyDescent="0.35">
      <c r="B103" s="30">
        <f t="shared" si="21"/>
        <v>2018</v>
      </c>
      <c r="C103" s="30">
        <f t="shared" si="22"/>
        <v>5</v>
      </c>
      <c r="D103" s="31">
        <f t="shared" si="18"/>
        <v>43221</v>
      </c>
      <c r="E103" s="38">
        <v>15.76</v>
      </c>
      <c r="F103" s="39">
        <v>0.10221</v>
      </c>
      <c r="G103" s="39">
        <v>0.10221</v>
      </c>
      <c r="H103" s="40">
        <v>0</v>
      </c>
      <c r="I103" s="38">
        <v>1.2</v>
      </c>
      <c r="J103" s="39">
        <v>5.9199999999999999E-3</v>
      </c>
      <c r="K103" s="41">
        <v>4.9100000000000003E-3</v>
      </c>
      <c r="L103" s="41">
        <v>1.1400000000000001E-4</v>
      </c>
      <c r="M103" s="40">
        <v>-6.9999999999999999E-6</v>
      </c>
      <c r="N103" s="60">
        <v>6.7999999999999996E-3</v>
      </c>
      <c r="O103" s="57"/>
      <c r="P103" s="57"/>
      <c r="Q103" s="61">
        <v>8.1305000000000002E-2</v>
      </c>
      <c r="R103" s="41">
        <v>4.0249999999999999E-3</v>
      </c>
      <c r="S103" s="43">
        <v>2.4066000000000001E-2</v>
      </c>
      <c r="T103" s="43">
        <v>4.9891999999999999E-2</v>
      </c>
      <c r="U103" s="41">
        <v>-3.1510000000000002E-3</v>
      </c>
      <c r="V103" s="41">
        <v>6.0800000000000003E-4</v>
      </c>
      <c r="W103" s="41">
        <v>1.3719E-2</v>
      </c>
      <c r="X103" s="40">
        <v>0</v>
      </c>
      <c r="Y103" s="40">
        <v>0</v>
      </c>
      <c r="Z103" s="40">
        <v>3.8070000000000001E-3</v>
      </c>
      <c r="AA103" s="40"/>
      <c r="AB103" s="40"/>
      <c r="AC103" s="44"/>
    </row>
    <row r="104" spans="2:29" x14ac:dyDescent="0.35">
      <c r="B104" s="30">
        <f t="shared" si="21"/>
        <v>2018</v>
      </c>
      <c r="C104" s="30">
        <f t="shared" si="22"/>
        <v>6</v>
      </c>
      <c r="D104" s="31">
        <f t="shared" si="18"/>
        <v>43252</v>
      </c>
      <c r="E104" s="38">
        <v>15.76</v>
      </c>
      <c r="F104" s="39">
        <v>0.10221</v>
      </c>
      <c r="G104" s="41">
        <v>0.11749</v>
      </c>
      <c r="H104" s="40">
        <v>0</v>
      </c>
      <c r="I104" s="38">
        <v>1.2</v>
      </c>
      <c r="J104" s="39">
        <v>5.9199999999999999E-3</v>
      </c>
      <c r="K104" s="41">
        <v>6.3299999999999997E-3</v>
      </c>
      <c r="L104" s="41">
        <v>3.6000000000000001E-5</v>
      </c>
      <c r="M104" s="40">
        <v>-6.9999999999999999E-6</v>
      </c>
      <c r="N104" s="60">
        <v>6.7999999999999996E-3</v>
      </c>
      <c r="O104" s="57"/>
      <c r="P104" s="57"/>
      <c r="Q104" s="61">
        <v>8.5657999999999998E-2</v>
      </c>
      <c r="R104" s="41">
        <v>4.2399999999999998E-3</v>
      </c>
      <c r="S104" s="43">
        <v>2.4066000000000001E-2</v>
      </c>
      <c r="T104" s="43">
        <v>4.9891999999999999E-2</v>
      </c>
      <c r="U104" s="41">
        <v>3.0370000000000002E-3</v>
      </c>
      <c r="V104" s="41">
        <v>-1.802E-3</v>
      </c>
      <c r="W104" s="41">
        <v>8.0680000000000005E-3</v>
      </c>
      <c r="X104" s="40">
        <v>0</v>
      </c>
      <c r="Y104" s="40">
        <v>0</v>
      </c>
      <c r="Z104" s="40">
        <v>3.8070000000000001E-3</v>
      </c>
      <c r="AA104" s="41">
        <v>1.5E-3</v>
      </c>
      <c r="AB104" s="41"/>
      <c r="AC104" s="44"/>
    </row>
    <row r="105" spans="2:29" x14ac:dyDescent="0.35">
      <c r="B105" s="30">
        <f t="shared" si="21"/>
        <v>2018</v>
      </c>
      <c r="C105" s="30">
        <f t="shared" si="22"/>
        <v>7</v>
      </c>
      <c r="D105" s="31">
        <f t="shared" si="18"/>
        <v>43282</v>
      </c>
      <c r="E105" s="38">
        <v>15.76</v>
      </c>
      <c r="F105" s="39">
        <v>0.10221</v>
      </c>
      <c r="G105" s="40">
        <v>0.11749</v>
      </c>
      <c r="H105" s="40">
        <v>0</v>
      </c>
      <c r="I105" s="38">
        <v>1.2</v>
      </c>
      <c r="J105" s="39">
        <v>5.9199999999999999E-3</v>
      </c>
      <c r="K105" s="41">
        <v>5.1799999999999997E-3</v>
      </c>
      <c r="L105" s="41">
        <v>5.0000000000000004E-6</v>
      </c>
      <c r="M105" s="40">
        <v>-6.9999999999999999E-6</v>
      </c>
      <c r="N105" s="60">
        <v>6.7999999999999996E-3</v>
      </c>
      <c r="O105" s="57"/>
      <c r="P105" s="57"/>
      <c r="Q105" s="61">
        <v>9.3205999999999997E-2</v>
      </c>
      <c r="R105" s="41">
        <v>4.1460000000000004E-3</v>
      </c>
      <c r="S105" s="43">
        <v>2.4066000000000001E-2</v>
      </c>
      <c r="T105" s="43">
        <v>4.9891999999999999E-2</v>
      </c>
      <c r="U105" s="41">
        <v>2.9250000000000001E-3</v>
      </c>
      <c r="V105" s="41">
        <v>-4.6E-5</v>
      </c>
      <c r="W105" s="41">
        <v>-3.2400000000000001E-4</v>
      </c>
      <c r="X105" s="40">
        <v>0</v>
      </c>
      <c r="Y105" s="40">
        <v>0</v>
      </c>
      <c r="Z105" s="40">
        <v>3.8070000000000001E-3</v>
      </c>
      <c r="AA105" s="40">
        <v>1.5E-3</v>
      </c>
      <c r="AB105" s="40"/>
      <c r="AC105" s="44"/>
    </row>
    <row r="106" spans="2:29" x14ac:dyDescent="0.35">
      <c r="B106" s="30">
        <f t="shared" si="21"/>
        <v>2018</v>
      </c>
      <c r="C106" s="30">
        <f t="shared" si="22"/>
        <v>8</v>
      </c>
      <c r="D106" s="31">
        <f t="shared" si="18"/>
        <v>43313</v>
      </c>
      <c r="E106" s="38">
        <v>15.76</v>
      </c>
      <c r="F106" s="39">
        <v>0.10221</v>
      </c>
      <c r="G106" s="40">
        <v>0.11749</v>
      </c>
      <c r="H106" s="40">
        <v>0</v>
      </c>
      <c r="I106" s="38">
        <v>1.2</v>
      </c>
      <c r="J106" s="42">
        <v>6.45E-3</v>
      </c>
      <c r="K106" s="41">
        <v>5.1399999999999996E-3</v>
      </c>
      <c r="L106" s="41">
        <v>6.9999999999999994E-5</v>
      </c>
      <c r="M106" s="40">
        <v>-6.9999999999999999E-6</v>
      </c>
      <c r="N106" s="60">
        <v>6.7999999999999996E-3</v>
      </c>
      <c r="O106" s="57"/>
      <c r="P106" s="57"/>
      <c r="Q106" s="61">
        <v>9.5276E-2</v>
      </c>
      <c r="R106" s="41">
        <v>4.3379999999999998E-3</v>
      </c>
      <c r="S106" s="43">
        <v>2.4066000000000001E-2</v>
      </c>
      <c r="T106" s="43">
        <v>4.9891999999999999E-2</v>
      </c>
      <c r="U106" s="41">
        <v>1.751E-3</v>
      </c>
      <c r="V106" s="41">
        <v>-3.4907000000000001E-2</v>
      </c>
      <c r="W106" s="41">
        <v>6.2779999999999997E-3</v>
      </c>
      <c r="X106" s="40">
        <v>0</v>
      </c>
      <c r="Y106" s="40">
        <v>0</v>
      </c>
      <c r="Z106" s="40">
        <v>3.8070000000000001E-3</v>
      </c>
      <c r="AA106" s="40">
        <v>1.5E-3</v>
      </c>
      <c r="AB106" s="40"/>
      <c r="AC106" s="44"/>
    </row>
    <row r="107" spans="2:29" x14ac:dyDescent="0.35">
      <c r="B107" s="30">
        <f t="shared" si="21"/>
        <v>2018</v>
      </c>
      <c r="C107" s="30">
        <f t="shared" si="22"/>
        <v>9</v>
      </c>
      <c r="D107" s="31">
        <f t="shared" si="18"/>
        <v>43344</v>
      </c>
      <c r="E107" s="38">
        <v>15.76</v>
      </c>
      <c r="F107" s="39">
        <v>0.10221</v>
      </c>
      <c r="G107" s="40">
        <v>0.11749</v>
      </c>
      <c r="H107" s="40">
        <v>0</v>
      </c>
      <c r="I107" s="38">
        <v>1.2</v>
      </c>
      <c r="J107" s="39">
        <v>6.45E-3</v>
      </c>
      <c r="K107" s="41">
        <v>8.3999999999999995E-3</v>
      </c>
      <c r="L107" s="41">
        <v>8.7000000000000001E-5</v>
      </c>
      <c r="M107" s="40">
        <v>-6.9999999999999999E-6</v>
      </c>
      <c r="N107" s="60">
        <v>6.7999999999999996E-3</v>
      </c>
      <c r="O107" s="57"/>
      <c r="P107" s="57"/>
      <c r="Q107" s="61">
        <v>9.0418999999999999E-2</v>
      </c>
      <c r="R107" s="41">
        <v>4.9890000000000004E-3</v>
      </c>
      <c r="S107" s="43">
        <v>2.4066000000000001E-2</v>
      </c>
      <c r="T107" s="43">
        <v>4.9891999999999999E-2</v>
      </c>
      <c r="U107" s="41">
        <v>5.7799999999999995E-4</v>
      </c>
      <c r="V107" s="41">
        <v>-2.0049999999999998E-3</v>
      </c>
      <c r="W107" s="41">
        <v>-3.9680000000000002E-3</v>
      </c>
      <c r="X107" s="40">
        <v>0</v>
      </c>
      <c r="Y107" s="40">
        <v>0</v>
      </c>
      <c r="Z107" s="40">
        <v>3.8070000000000001E-3</v>
      </c>
      <c r="AA107" s="40">
        <v>1.5E-3</v>
      </c>
      <c r="AB107" s="40"/>
      <c r="AC107" s="44"/>
    </row>
    <row r="108" spans="2:29" x14ac:dyDescent="0.35">
      <c r="B108" s="30">
        <f t="shared" si="21"/>
        <v>2018</v>
      </c>
      <c r="C108" s="30">
        <f t="shared" si="22"/>
        <v>10</v>
      </c>
      <c r="D108" s="31">
        <f t="shared" si="18"/>
        <v>43374</v>
      </c>
      <c r="E108" s="38">
        <v>15.76</v>
      </c>
      <c r="F108" s="39">
        <v>0.10221</v>
      </c>
      <c r="G108" s="40">
        <v>0.10221</v>
      </c>
      <c r="H108" s="40">
        <v>0</v>
      </c>
      <c r="I108" s="38">
        <v>1.2</v>
      </c>
      <c r="J108" s="39">
        <v>6.45E-3</v>
      </c>
      <c r="K108" s="41">
        <v>6.4099999999999999E-3</v>
      </c>
      <c r="L108" s="41">
        <v>6.2000000000000003E-5</v>
      </c>
      <c r="M108" s="40">
        <v>-6.9999999999999999E-6</v>
      </c>
      <c r="N108" s="60">
        <v>6.7999999999999996E-3</v>
      </c>
      <c r="O108" s="57"/>
      <c r="P108" s="57"/>
      <c r="Q108" s="61">
        <v>8.9620000000000005E-2</v>
      </c>
      <c r="R108" s="41">
        <v>4.908E-3</v>
      </c>
      <c r="S108" s="43">
        <v>2.4066000000000001E-2</v>
      </c>
      <c r="T108" s="43">
        <v>4.9891999999999999E-2</v>
      </c>
      <c r="U108" s="41">
        <v>-7.3700000000000002E-4</v>
      </c>
      <c r="V108" s="41">
        <v>-4.2009999999999999E-3</v>
      </c>
      <c r="W108" s="41">
        <v>5.5160000000000001E-3</v>
      </c>
      <c r="X108" s="40">
        <v>0</v>
      </c>
      <c r="Y108" s="40">
        <v>0</v>
      </c>
      <c r="Z108" s="40">
        <v>3.8070000000000001E-3</v>
      </c>
      <c r="AA108" s="40">
        <v>1.5E-3</v>
      </c>
      <c r="AB108" s="40"/>
      <c r="AC108" s="44"/>
    </row>
    <row r="109" spans="2:29" x14ac:dyDescent="0.35">
      <c r="B109" s="30">
        <f t="shared" si="21"/>
        <v>2018</v>
      </c>
      <c r="C109" s="30">
        <f t="shared" si="22"/>
        <v>11</v>
      </c>
      <c r="D109" s="31">
        <f t="shared" si="18"/>
        <v>43405</v>
      </c>
      <c r="E109" s="38">
        <v>15.76</v>
      </c>
      <c r="F109" s="39">
        <v>0.10221</v>
      </c>
      <c r="G109" s="40">
        <v>0.10221</v>
      </c>
      <c r="H109" s="40">
        <v>0</v>
      </c>
      <c r="I109" s="38">
        <v>1.2</v>
      </c>
      <c r="J109" s="42">
        <v>-7.7999999999999999E-4</v>
      </c>
      <c r="K109" s="41">
        <v>1.272E-2</v>
      </c>
      <c r="L109" s="41">
        <v>5.8999999999999998E-5</v>
      </c>
      <c r="M109" s="40">
        <v>-6.9999999999999999E-6</v>
      </c>
      <c r="N109" s="60">
        <v>6.7999999999999996E-3</v>
      </c>
      <c r="O109" s="57"/>
      <c r="P109" s="57"/>
      <c r="Q109" s="61">
        <v>6.2331999999999999E-2</v>
      </c>
      <c r="R109" s="41">
        <v>4.7140000000000003E-3</v>
      </c>
      <c r="S109" s="43">
        <v>2.4066000000000001E-2</v>
      </c>
      <c r="T109" s="43">
        <v>4.9891999999999999E-2</v>
      </c>
      <c r="U109" s="41">
        <v>4.1199999999999999E-4</v>
      </c>
      <c r="V109" s="41">
        <v>-9.1380000000000003E-3</v>
      </c>
      <c r="W109" s="41">
        <v>8.7189999999999993E-3</v>
      </c>
      <c r="X109" s="40">
        <v>0</v>
      </c>
      <c r="Y109" s="40">
        <v>0</v>
      </c>
      <c r="Z109" s="40">
        <v>3.8070000000000001E-3</v>
      </c>
      <c r="AA109" s="40">
        <v>1.5E-3</v>
      </c>
      <c r="AB109" s="40"/>
      <c r="AC109" s="44"/>
    </row>
    <row r="110" spans="2:29" x14ac:dyDescent="0.35">
      <c r="B110" s="30">
        <f t="shared" si="21"/>
        <v>2018</v>
      </c>
      <c r="C110" s="30">
        <f t="shared" si="22"/>
        <v>12</v>
      </c>
      <c r="D110" s="31">
        <f t="shared" si="18"/>
        <v>43435</v>
      </c>
      <c r="E110" s="38">
        <v>15.76</v>
      </c>
      <c r="F110" s="39">
        <v>0.10221</v>
      </c>
      <c r="G110" s="40">
        <v>0.10221</v>
      </c>
      <c r="H110" s="40">
        <v>0</v>
      </c>
      <c r="I110" s="38">
        <v>1.2</v>
      </c>
      <c r="J110" s="39">
        <v>-7.7999999999999999E-4</v>
      </c>
      <c r="K110" s="41">
        <v>1.0359999999999999E-2</v>
      </c>
      <c r="L110" s="41">
        <v>4.1999999999999998E-5</v>
      </c>
      <c r="M110" s="40">
        <v>-6.9999999999999999E-6</v>
      </c>
      <c r="N110" s="60">
        <v>6.7999999999999996E-3</v>
      </c>
      <c r="O110" s="57"/>
      <c r="P110" s="57"/>
      <c r="Q110" s="61">
        <v>6.3325999999999993E-2</v>
      </c>
      <c r="R110" s="41">
        <v>4.28E-3</v>
      </c>
      <c r="S110" s="43">
        <v>2.4066000000000001E-2</v>
      </c>
      <c r="T110" s="43">
        <v>4.9891999999999999E-2</v>
      </c>
      <c r="U110" s="41">
        <v>-3.4120000000000001E-3</v>
      </c>
      <c r="V110" s="41">
        <v>-7.0419999999999996E-3</v>
      </c>
      <c r="W110" s="41">
        <v>1.426E-3</v>
      </c>
      <c r="X110" s="40">
        <v>0</v>
      </c>
      <c r="Y110" s="40">
        <v>0</v>
      </c>
      <c r="Z110" s="40">
        <v>3.8070000000000001E-3</v>
      </c>
      <c r="AA110" s="40">
        <v>1.5E-3</v>
      </c>
      <c r="AB110" s="40"/>
      <c r="AC110" s="44"/>
    </row>
    <row r="111" spans="2:29" x14ac:dyDescent="0.35">
      <c r="B111" s="30">
        <f t="shared" si="21"/>
        <v>2019</v>
      </c>
      <c r="C111" s="30">
        <f t="shared" si="22"/>
        <v>1</v>
      </c>
      <c r="D111" s="31">
        <f t="shared" si="18"/>
        <v>43466</v>
      </c>
      <c r="E111" s="38">
        <v>15.76</v>
      </c>
      <c r="F111" s="42">
        <v>0.10817</v>
      </c>
      <c r="G111" s="41">
        <v>0.10817</v>
      </c>
      <c r="H111" s="40">
        <v>0</v>
      </c>
      <c r="I111" s="38">
        <v>1.2</v>
      </c>
      <c r="J111" s="39">
        <v>-7.7999999999999999E-4</v>
      </c>
      <c r="K111" s="41">
        <v>7.3000000000000001E-3</v>
      </c>
      <c r="L111" s="41">
        <v>6.9999999999999994E-5</v>
      </c>
      <c r="M111" s="41">
        <v>0</v>
      </c>
      <c r="N111" s="60">
        <v>6.7999999999999996E-3</v>
      </c>
      <c r="O111" s="57"/>
      <c r="P111" s="57"/>
      <c r="Q111" s="61">
        <v>7.4443999999999996E-2</v>
      </c>
      <c r="R111" s="41">
        <v>3.9560000000000003E-3</v>
      </c>
      <c r="S111" s="43">
        <v>2.4066000000000001E-2</v>
      </c>
      <c r="T111" s="43">
        <v>4.9891999999999999E-2</v>
      </c>
      <c r="U111" s="41">
        <v>4.4000000000000002E-4</v>
      </c>
      <c r="V111" s="41">
        <v>-4.444E-3</v>
      </c>
      <c r="W111" s="41">
        <v>9.2079999999999992E-3</v>
      </c>
      <c r="X111" s="40">
        <v>0</v>
      </c>
      <c r="Y111" s="40">
        <v>0</v>
      </c>
      <c r="Z111" s="40">
        <v>3.8070000000000001E-3</v>
      </c>
      <c r="AA111" s="40">
        <v>1.5E-3</v>
      </c>
      <c r="AB111" s="41">
        <v>-7.4999999999999997E-3</v>
      </c>
      <c r="AC111" s="44"/>
    </row>
    <row r="112" spans="2:29" x14ac:dyDescent="0.35">
      <c r="B112" s="30">
        <f t="shared" si="21"/>
        <v>2019</v>
      </c>
      <c r="C112" s="30">
        <f t="shared" si="22"/>
        <v>2</v>
      </c>
      <c r="D112" s="31">
        <f t="shared" si="18"/>
        <v>43497</v>
      </c>
      <c r="E112" s="38">
        <v>15.76</v>
      </c>
      <c r="F112" s="39">
        <v>0.10817</v>
      </c>
      <c r="G112" s="40">
        <v>0.10817</v>
      </c>
      <c r="H112" s="40">
        <v>0</v>
      </c>
      <c r="I112" s="38">
        <v>1.2</v>
      </c>
      <c r="J112" s="42">
        <v>-8.9999999999999998E-4</v>
      </c>
      <c r="K112" s="41">
        <v>9.3299999999999998E-3</v>
      </c>
      <c r="L112" s="41">
        <v>6.7999999999999999E-5</v>
      </c>
      <c r="M112" s="41">
        <v>0</v>
      </c>
      <c r="N112" s="60">
        <v>6.7999999999999996E-3</v>
      </c>
      <c r="O112" s="57"/>
      <c r="P112" s="57"/>
      <c r="Q112" s="61">
        <v>5.6105000000000002E-2</v>
      </c>
      <c r="R112" s="41">
        <v>4.0559999999999997E-3</v>
      </c>
      <c r="S112" s="43">
        <v>2.4066000000000001E-2</v>
      </c>
      <c r="T112" s="43">
        <v>4.9891999999999999E-2</v>
      </c>
      <c r="U112" s="41">
        <v>-1.7799999999999999E-3</v>
      </c>
      <c r="V112" s="41">
        <v>-9.2929999999999992E-3</v>
      </c>
      <c r="W112" s="41">
        <v>1.3044E-2</v>
      </c>
      <c r="X112" s="40">
        <v>0</v>
      </c>
      <c r="Y112" s="40">
        <v>0</v>
      </c>
      <c r="Z112" s="40">
        <v>3.8070000000000001E-3</v>
      </c>
      <c r="AA112" s="40">
        <v>1.5E-3</v>
      </c>
      <c r="AB112" s="40">
        <v>-7.4999999999999997E-3</v>
      </c>
      <c r="AC112" s="44"/>
    </row>
    <row r="113" spans="2:29" x14ac:dyDescent="0.35">
      <c r="B113" s="30">
        <f t="shared" si="21"/>
        <v>2019</v>
      </c>
      <c r="C113" s="30">
        <f t="shared" si="22"/>
        <v>3</v>
      </c>
      <c r="D113" s="31">
        <f t="shared" si="18"/>
        <v>43525</v>
      </c>
      <c r="E113" s="38">
        <v>15.76</v>
      </c>
      <c r="F113" s="39">
        <v>0.10817</v>
      </c>
      <c r="G113" s="40">
        <v>0.10817</v>
      </c>
      <c r="H113" s="40">
        <v>0</v>
      </c>
      <c r="I113" s="38">
        <v>1.2</v>
      </c>
      <c r="J113" s="39">
        <v>-8.9999999999999998E-4</v>
      </c>
      <c r="K113" s="41">
        <v>1.204E-2</v>
      </c>
      <c r="L113" s="41">
        <v>4.6999999999999997E-5</v>
      </c>
      <c r="M113" s="41">
        <v>0</v>
      </c>
      <c r="N113" s="60">
        <v>6.7999999999999996E-3</v>
      </c>
      <c r="O113" s="57"/>
      <c r="P113" s="57"/>
      <c r="Q113" s="61">
        <v>5.7331E-2</v>
      </c>
      <c r="R113" s="41">
        <v>4.3740000000000003E-3</v>
      </c>
      <c r="S113" s="43">
        <v>2.4066000000000001E-2</v>
      </c>
      <c r="T113" s="43">
        <v>4.9891999999999999E-2</v>
      </c>
      <c r="U113" s="41">
        <v>-1.1100000000000001E-3</v>
      </c>
      <c r="V113" s="41">
        <v>-9.9209999999999993E-3</v>
      </c>
      <c r="W113" s="41">
        <v>2.0591000000000002E-2</v>
      </c>
      <c r="X113" s="40">
        <v>0</v>
      </c>
      <c r="Y113" s="40">
        <v>0</v>
      </c>
      <c r="Z113" s="40">
        <v>3.8070000000000001E-3</v>
      </c>
      <c r="AA113" s="40">
        <v>1.5E-3</v>
      </c>
      <c r="AB113" s="40">
        <v>-7.4999999999999997E-3</v>
      </c>
      <c r="AC113" s="44"/>
    </row>
    <row r="114" spans="2:29" x14ac:dyDescent="0.35">
      <c r="B114" s="30">
        <f t="shared" si="21"/>
        <v>2019</v>
      </c>
      <c r="C114" s="30">
        <f t="shared" si="22"/>
        <v>4</v>
      </c>
      <c r="D114" s="31">
        <f t="shared" si="18"/>
        <v>43556</v>
      </c>
      <c r="E114" s="38">
        <v>15.76</v>
      </c>
      <c r="F114" s="39">
        <v>0.10817</v>
      </c>
      <c r="G114" s="40">
        <v>0.10817</v>
      </c>
      <c r="H114" s="40">
        <v>0</v>
      </c>
      <c r="I114" s="38">
        <v>1.2</v>
      </c>
      <c r="J114" s="39">
        <v>-8.9999999999999998E-4</v>
      </c>
      <c r="K114" s="41">
        <v>1.3350000000000001E-2</v>
      </c>
      <c r="L114" s="41">
        <v>-1.8E-5</v>
      </c>
      <c r="M114" s="41">
        <v>0</v>
      </c>
      <c r="N114" s="60">
        <v>6.7999999999999996E-3</v>
      </c>
      <c r="O114" s="57"/>
      <c r="P114" s="57"/>
      <c r="Q114" s="61">
        <v>5.1485999999999997E-2</v>
      </c>
      <c r="R114" s="41">
        <v>2.0249999999999999E-3</v>
      </c>
      <c r="S114" s="43">
        <v>2.4066000000000001E-2</v>
      </c>
      <c r="T114" s="62">
        <f>4.9089%</f>
        <v>4.9089000000000001E-2</v>
      </c>
      <c r="U114" s="41">
        <v>-5.8320000000000004E-3</v>
      </c>
      <c r="V114" s="41">
        <v>-6.96E-3</v>
      </c>
      <c r="W114" s="41">
        <v>2.6273000000000001E-2</v>
      </c>
      <c r="X114" s="40">
        <v>0</v>
      </c>
      <c r="Y114" s="40">
        <v>0</v>
      </c>
      <c r="Z114" s="41">
        <v>3.4220000000000001E-3</v>
      </c>
      <c r="AA114" s="40">
        <v>1.5E-3</v>
      </c>
      <c r="AB114" s="40">
        <v>-7.4999999999999997E-3</v>
      </c>
      <c r="AC114" s="44"/>
    </row>
    <row r="115" spans="2:29" x14ac:dyDescent="0.35">
      <c r="B115" s="30">
        <f t="shared" si="21"/>
        <v>2019</v>
      </c>
      <c r="C115" s="30">
        <f t="shared" si="22"/>
        <v>5</v>
      </c>
      <c r="D115" s="31">
        <f t="shared" si="18"/>
        <v>43586</v>
      </c>
      <c r="E115" s="38">
        <v>15.76</v>
      </c>
      <c r="F115" s="39">
        <v>0.10817</v>
      </c>
      <c r="G115" s="40">
        <v>0.10817</v>
      </c>
      <c r="H115" s="40">
        <v>0</v>
      </c>
      <c r="I115" s="38">
        <v>1.2</v>
      </c>
      <c r="J115" s="39">
        <v>-8.9999999999999998E-4</v>
      </c>
      <c r="K115" s="41">
        <v>5.0299999999999997E-3</v>
      </c>
      <c r="L115" s="41">
        <v>7.3999999999999996E-5</v>
      </c>
      <c r="M115" s="40">
        <v>0</v>
      </c>
      <c r="N115" s="60">
        <v>6.7999999999999996E-3</v>
      </c>
      <c r="O115" s="57"/>
      <c r="P115" s="57"/>
      <c r="Q115" s="61">
        <v>7.0291000000000006E-2</v>
      </c>
      <c r="R115" s="41">
        <v>4.6480000000000002E-3</v>
      </c>
      <c r="S115" s="43">
        <v>2.4066000000000001E-2</v>
      </c>
      <c r="T115" s="63">
        <f>4.9089%</f>
        <v>4.9089000000000001E-2</v>
      </c>
      <c r="U115" s="41">
        <v>-2.0890000000000001E-3</v>
      </c>
      <c r="V115" s="41">
        <v>-6.7669999999999996E-3</v>
      </c>
      <c r="W115" s="41">
        <v>1.2558E-2</v>
      </c>
      <c r="X115" s="40">
        <v>0</v>
      </c>
      <c r="Y115" s="40">
        <v>0</v>
      </c>
      <c r="Z115" s="40">
        <v>3.4220000000000001E-3</v>
      </c>
      <c r="AA115" s="41">
        <v>1.1000000000000001E-3</v>
      </c>
      <c r="AB115" s="40">
        <v>-7.4999999999999997E-3</v>
      </c>
      <c r="AC115" s="44"/>
    </row>
    <row r="116" spans="2:29" x14ac:dyDescent="0.35">
      <c r="B116" s="30">
        <f t="shared" si="21"/>
        <v>2019</v>
      </c>
      <c r="C116" s="30">
        <f t="shared" si="22"/>
        <v>6</v>
      </c>
      <c r="D116" s="31">
        <f t="shared" ref="D116:D140" si="23">+DATE(YEAR(D115),MONTH(D115)+1,1)</f>
        <v>43617</v>
      </c>
      <c r="E116" s="38">
        <v>15.76</v>
      </c>
      <c r="F116" s="39">
        <v>0.10817</v>
      </c>
      <c r="G116" s="41">
        <v>0.12434000000000001</v>
      </c>
      <c r="H116" s="40">
        <v>0</v>
      </c>
      <c r="I116" s="38">
        <v>1.2</v>
      </c>
      <c r="J116" s="42">
        <v>4.8599999999999997E-3</v>
      </c>
      <c r="K116" s="41">
        <v>6.8799999999999998E-3</v>
      </c>
      <c r="L116" s="41">
        <v>2.4000000000000001E-5</v>
      </c>
      <c r="M116" s="40">
        <v>0</v>
      </c>
      <c r="N116" s="60">
        <v>6.7999999999999996E-3</v>
      </c>
      <c r="O116" s="57"/>
      <c r="P116" s="57"/>
      <c r="Q116" s="61">
        <v>7.0679000000000006E-2</v>
      </c>
      <c r="R116" s="41">
        <v>4.0850000000000001E-3</v>
      </c>
      <c r="S116" s="43">
        <v>2.4066000000000001E-2</v>
      </c>
      <c r="T116" s="62">
        <v>4.9035000000000002E-2</v>
      </c>
      <c r="U116" s="41">
        <v>1.884E-3</v>
      </c>
      <c r="V116" s="41">
        <v>5.4070000000000003E-3</v>
      </c>
      <c r="W116" s="41">
        <v>1.0312999999999999E-2</v>
      </c>
      <c r="X116" s="40">
        <v>0</v>
      </c>
      <c r="Y116" s="40">
        <v>0</v>
      </c>
      <c r="Z116" s="40">
        <v>3.4220000000000001E-3</v>
      </c>
      <c r="AA116" s="40">
        <v>1.1000000000000001E-3</v>
      </c>
      <c r="AB116" s="40">
        <v>-7.4999999999999997E-3</v>
      </c>
      <c r="AC116" s="44"/>
    </row>
    <row r="117" spans="2:29" x14ac:dyDescent="0.35">
      <c r="B117" s="30">
        <f t="shared" si="21"/>
        <v>2019</v>
      </c>
      <c r="C117" s="30">
        <f t="shared" si="22"/>
        <v>7</v>
      </c>
      <c r="D117" s="31">
        <f t="shared" si="23"/>
        <v>43647</v>
      </c>
      <c r="E117" s="38">
        <v>15.76</v>
      </c>
      <c r="F117" s="39">
        <v>0.10817</v>
      </c>
      <c r="G117" s="40">
        <v>0.12434000000000001</v>
      </c>
      <c r="H117" s="40">
        <v>0</v>
      </c>
      <c r="I117" s="38">
        <v>1.2</v>
      </c>
      <c r="J117" s="39">
        <v>4.8599999999999997E-3</v>
      </c>
      <c r="K117" s="41">
        <v>4.8700000000000002E-3</v>
      </c>
      <c r="L117" s="41">
        <v>2.1999999999999999E-5</v>
      </c>
      <c r="M117" s="40">
        <v>0</v>
      </c>
      <c r="N117" s="60">
        <v>6.7999999999999996E-3</v>
      </c>
      <c r="O117" s="57"/>
      <c r="P117" s="57"/>
      <c r="Q117" s="61">
        <v>8.0113000000000004E-2</v>
      </c>
      <c r="R117" s="41">
        <v>4.0540000000000003E-3</v>
      </c>
      <c r="S117" s="43">
        <v>2.4066000000000001E-2</v>
      </c>
      <c r="T117" s="62">
        <v>4.9089000000000001E-2</v>
      </c>
      <c r="U117" s="41">
        <v>1.126E-3</v>
      </c>
      <c r="V117" s="41">
        <v>-1.338E-3</v>
      </c>
      <c r="W117" s="41">
        <v>5.091E-3</v>
      </c>
      <c r="X117" s="40">
        <v>0</v>
      </c>
      <c r="Y117" s="40">
        <v>0</v>
      </c>
      <c r="Z117" s="40">
        <v>3.4220000000000001E-3</v>
      </c>
      <c r="AA117" s="40">
        <v>1.1000000000000001E-3</v>
      </c>
      <c r="AB117" s="40">
        <v>-7.4999999999999997E-3</v>
      </c>
      <c r="AC117" s="44"/>
    </row>
    <row r="118" spans="2:29" x14ac:dyDescent="0.35">
      <c r="B118" s="30">
        <f t="shared" si="21"/>
        <v>2019</v>
      </c>
      <c r="C118" s="30">
        <f t="shared" si="22"/>
        <v>8</v>
      </c>
      <c r="D118" s="31">
        <f t="shared" si="23"/>
        <v>43678</v>
      </c>
      <c r="E118" s="38">
        <v>15.76</v>
      </c>
      <c r="F118" s="39">
        <v>0.10817</v>
      </c>
      <c r="G118" s="40">
        <v>0.12434000000000001</v>
      </c>
      <c r="H118" s="40">
        <v>0</v>
      </c>
      <c r="I118" s="38">
        <v>1.2</v>
      </c>
      <c r="J118" s="41">
        <v>9.8899999999999995E-3</v>
      </c>
      <c r="K118" s="41">
        <v>5.2100000000000002E-3</v>
      </c>
      <c r="L118" s="41">
        <v>5.8999999999999998E-5</v>
      </c>
      <c r="M118" s="40">
        <v>0</v>
      </c>
      <c r="N118" s="60">
        <v>6.7999999999999996E-3</v>
      </c>
      <c r="O118" s="57"/>
      <c r="P118" s="57"/>
      <c r="Q118" s="41">
        <v>7.4048000000000003E-2</v>
      </c>
      <c r="R118" s="41">
        <v>4.3350000000000003E-3</v>
      </c>
      <c r="S118" s="43">
        <v>2.4066000000000001E-2</v>
      </c>
      <c r="T118" s="63">
        <v>4.9089000000000001E-2</v>
      </c>
      <c r="U118" s="41">
        <v>7.9699999999999997E-4</v>
      </c>
      <c r="V118" s="41">
        <v>-1.26E-2</v>
      </c>
      <c r="W118" s="41">
        <v>1.58E-3</v>
      </c>
      <c r="X118" s="40">
        <v>0</v>
      </c>
      <c r="Y118" s="40">
        <v>0</v>
      </c>
      <c r="Z118" s="40">
        <v>3.4220000000000001E-3</v>
      </c>
      <c r="AA118" s="40">
        <v>1.1000000000000001E-3</v>
      </c>
      <c r="AB118" s="40">
        <v>-7.4999999999999997E-3</v>
      </c>
      <c r="AC118" s="44"/>
    </row>
    <row r="119" spans="2:29" x14ac:dyDescent="0.35">
      <c r="B119" s="30">
        <f t="shared" si="21"/>
        <v>2019</v>
      </c>
      <c r="C119" s="30">
        <f t="shared" si="22"/>
        <v>9</v>
      </c>
      <c r="D119" s="31">
        <f t="shared" si="23"/>
        <v>43709</v>
      </c>
      <c r="E119" s="38">
        <v>15.76</v>
      </c>
      <c r="F119" s="39">
        <v>0.10817</v>
      </c>
      <c r="G119" s="40">
        <v>0.12434000000000001</v>
      </c>
      <c r="H119" s="40">
        <v>0</v>
      </c>
      <c r="I119" s="38">
        <v>1.2</v>
      </c>
      <c r="J119" s="40">
        <v>9.8899999999999995E-3</v>
      </c>
      <c r="K119" s="41">
        <v>5.9800000000000001E-3</v>
      </c>
      <c r="L119" s="41">
        <v>6.4999999999999994E-5</v>
      </c>
      <c r="M119" s="40">
        <v>0</v>
      </c>
      <c r="N119" s="60">
        <v>6.7999999999999996E-3</v>
      </c>
      <c r="O119" s="57"/>
      <c r="P119" s="57"/>
      <c r="Q119" s="41">
        <v>6.7737000000000006E-2</v>
      </c>
      <c r="R119" s="41">
        <v>5.0150000000000004E-3</v>
      </c>
      <c r="S119" s="43">
        <v>2.4066000000000001E-2</v>
      </c>
      <c r="T119" s="63">
        <v>4.9089000000000001E-2</v>
      </c>
      <c r="U119" s="41">
        <v>1.407E-3</v>
      </c>
      <c r="V119" s="41">
        <v>-2.0170000000000001E-3</v>
      </c>
      <c r="W119" s="41">
        <v>7.1659999999999996E-3</v>
      </c>
      <c r="X119" s="40">
        <v>0</v>
      </c>
      <c r="Y119" s="40">
        <v>0</v>
      </c>
      <c r="Z119" s="40">
        <v>3.4220000000000001E-3</v>
      </c>
      <c r="AA119" s="40">
        <v>1.1000000000000001E-3</v>
      </c>
      <c r="AB119" s="40">
        <v>-7.4999999999999997E-3</v>
      </c>
      <c r="AC119" s="44"/>
    </row>
    <row r="120" spans="2:29" x14ac:dyDescent="0.35">
      <c r="B120" s="30">
        <f t="shared" si="21"/>
        <v>2019</v>
      </c>
      <c r="C120" s="30">
        <f t="shared" si="22"/>
        <v>10</v>
      </c>
      <c r="D120" s="31">
        <f t="shared" si="23"/>
        <v>43739</v>
      </c>
      <c r="E120" s="38">
        <v>15.76</v>
      </c>
      <c r="F120" s="39">
        <v>0.10817</v>
      </c>
      <c r="G120" s="42">
        <v>0.10817</v>
      </c>
      <c r="H120" s="40">
        <v>0</v>
      </c>
      <c r="I120" s="38">
        <v>1.2</v>
      </c>
      <c r="J120" s="40">
        <v>9.8899999999999995E-3</v>
      </c>
      <c r="K120" s="41">
        <v>4.7600000000000003E-3</v>
      </c>
      <c r="L120" s="41">
        <v>4.8000000000000001E-5</v>
      </c>
      <c r="M120" s="40">
        <v>0</v>
      </c>
      <c r="N120" s="60">
        <v>6.7999999999999996E-3</v>
      </c>
      <c r="O120" s="57"/>
      <c r="P120" s="57"/>
      <c r="Q120" s="41">
        <v>6.5698999999999994E-2</v>
      </c>
      <c r="R120" s="41">
        <v>5.1110000000000001E-3</v>
      </c>
      <c r="S120" s="43">
        <v>2.4066000000000001E-2</v>
      </c>
      <c r="T120" s="63">
        <v>4.9089000000000001E-2</v>
      </c>
      <c r="U120" s="41">
        <v>3.336E-3</v>
      </c>
      <c r="V120" s="41">
        <v>-9.8309999999999995E-3</v>
      </c>
      <c r="W120" s="41">
        <v>9.6159999999999995E-3</v>
      </c>
      <c r="X120" s="40">
        <v>0</v>
      </c>
      <c r="Y120" s="40">
        <v>0</v>
      </c>
      <c r="Z120" s="40">
        <v>3.4220000000000001E-3</v>
      </c>
      <c r="AA120" s="40">
        <v>1.1000000000000001E-3</v>
      </c>
      <c r="AB120" s="40">
        <v>-7.4999999999999997E-3</v>
      </c>
      <c r="AC120" s="44"/>
    </row>
    <row r="121" spans="2:29" x14ac:dyDescent="0.35">
      <c r="B121" s="30">
        <f t="shared" si="21"/>
        <v>2019</v>
      </c>
      <c r="C121" s="30">
        <f t="shared" si="22"/>
        <v>11</v>
      </c>
      <c r="D121" s="31">
        <f t="shared" si="23"/>
        <v>43770</v>
      </c>
      <c r="E121" s="38">
        <v>15.76</v>
      </c>
      <c r="F121" s="39">
        <v>0.10817</v>
      </c>
      <c r="G121" s="39">
        <v>0.10817</v>
      </c>
      <c r="H121" s="40">
        <v>0</v>
      </c>
      <c r="I121" s="38">
        <v>1.2</v>
      </c>
      <c r="J121" s="40">
        <v>9.8899999999999995E-3</v>
      </c>
      <c r="K121" s="41">
        <v>1.125E-2</v>
      </c>
      <c r="L121" s="41">
        <v>5.5999999999999999E-5</v>
      </c>
      <c r="M121" s="40">
        <v>0</v>
      </c>
      <c r="N121" s="60">
        <v>6.7999999999999996E-3</v>
      </c>
      <c r="O121" s="57"/>
      <c r="P121" s="57"/>
      <c r="Q121" s="41">
        <v>4.6455000000000003E-2</v>
      </c>
      <c r="R121" s="41">
        <v>4.4359999999999998E-3</v>
      </c>
      <c r="S121" s="43">
        <v>2.4066000000000001E-2</v>
      </c>
      <c r="T121" s="63">
        <v>4.9089000000000001E-2</v>
      </c>
      <c r="U121" s="41">
        <v>2.6640000000000001E-3</v>
      </c>
      <c r="V121" s="41">
        <v>1.2149999999999999E-3</v>
      </c>
      <c r="W121" s="41">
        <v>1.7815000000000001E-2</v>
      </c>
      <c r="X121" s="40">
        <v>0</v>
      </c>
      <c r="Y121" s="40">
        <v>0</v>
      </c>
      <c r="Z121" s="40">
        <v>3.4220000000000001E-3</v>
      </c>
      <c r="AA121" s="40">
        <v>1.1000000000000001E-3</v>
      </c>
      <c r="AB121" s="40">
        <v>-7.4999999999999997E-3</v>
      </c>
      <c r="AC121" s="44"/>
    </row>
    <row r="122" spans="2:29" x14ac:dyDescent="0.35">
      <c r="B122" s="30">
        <f t="shared" si="21"/>
        <v>2019</v>
      </c>
      <c r="C122" s="30">
        <f t="shared" si="22"/>
        <v>12</v>
      </c>
      <c r="D122" s="31">
        <f t="shared" si="23"/>
        <v>43800</v>
      </c>
      <c r="E122" s="38">
        <v>15.76</v>
      </c>
      <c r="F122" s="39">
        <v>0.10817</v>
      </c>
      <c r="G122" s="39">
        <v>0.10817</v>
      </c>
      <c r="H122" s="40">
        <v>0</v>
      </c>
      <c r="I122" s="38">
        <v>1.2</v>
      </c>
      <c r="J122" s="40">
        <v>9.8899999999999995E-3</v>
      </c>
      <c r="K122" s="41">
        <f>0.936/100</f>
        <v>9.3600000000000003E-3</v>
      </c>
      <c r="L122" s="41">
        <v>5.8999999999999998E-5</v>
      </c>
      <c r="M122" s="40">
        <v>0</v>
      </c>
      <c r="N122" s="60">
        <v>6.7999999999999996E-3</v>
      </c>
      <c r="O122" s="57"/>
      <c r="P122" s="57"/>
      <c r="Q122" s="41">
        <v>4.9214000000000001E-2</v>
      </c>
      <c r="R122" s="41">
        <f>0.399/100</f>
        <v>3.9900000000000005E-3</v>
      </c>
      <c r="S122" s="43">
        <v>2.4066000000000001E-2</v>
      </c>
      <c r="T122" s="63">
        <v>4.9089000000000001E-2</v>
      </c>
      <c r="U122" s="41">
        <v>2.1849999999999999E-3</v>
      </c>
      <c r="V122" s="41">
        <v>-4.0379999999999999E-3</v>
      </c>
      <c r="W122" s="41">
        <v>1.1573999999999999E-2</v>
      </c>
      <c r="X122" s="40">
        <v>0</v>
      </c>
      <c r="Y122" s="40">
        <v>0</v>
      </c>
      <c r="Z122" s="40">
        <v>3.4220000000000001E-3</v>
      </c>
      <c r="AA122" s="40">
        <v>1.1000000000000001E-3</v>
      </c>
      <c r="AB122" s="40">
        <v>-7.4999999999999997E-3</v>
      </c>
      <c r="AC122" s="44"/>
    </row>
    <row r="123" spans="2:29" x14ac:dyDescent="0.35">
      <c r="B123" s="30">
        <f t="shared" si="21"/>
        <v>2020</v>
      </c>
      <c r="C123" s="30">
        <f t="shared" si="22"/>
        <v>1</v>
      </c>
      <c r="D123" s="31">
        <f t="shared" si="23"/>
        <v>43831</v>
      </c>
      <c r="E123" s="38">
        <v>15.76</v>
      </c>
      <c r="F123" s="39">
        <v>0.10817</v>
      </c>
      <c r="G123" s="39">
        <v>0.10817</v>
      </c>
      <c r="H123" s="40">
        <v>0</v>
      </c>
      <c r="I123" s="38">
        <v>1.2</v>
      </c>
      <c r="J123" s="40">
        <v>9.8899999999999995E-3</v>
      </c>
      <c r="K123" s="41">
        <v>8.7899999999999992E-3</v>
      </c>
      <c r="L123" s="41">
        <v>9.5000000000000005E-5</v>
      </c>
      <c r="M123" s="41">
        <v>9.9999999999999995E-7</v>
      </c>
      <c r="N123" s="59">
        <v>5.0000000000000001E-3</v>
      </c>
      <c r="O123" s="57"/>
      <c r="P123" s="57"/>
      <c r="Q123" s="41">
        <v>4.5340999999999999E-2</v>
      </c>
      <c r="R123" s="41">
        <v>4.0829999999999998E-3</v>
      </c>
      <c r="S123" s="43">
        <v>2.4066000000000001E-2</v>
      </c>
      <c r="T123" s="63">
        <v>4.9089000000000001E-2</v>
      </c>
      <c r="U123" s="41">
        <v>3.421E-3</v>
      </c>
      <c r="V123" s="41">
        <v>-3.21E-4</v>
      </c>
      <c r="W123" s="41">
        <v>1.712E-2</v>
      </c>
      <c r="X123" s="40">
        <v>0</v>
      </c>
      <c r="Y123" s="40">
        <v>0</v>
      </c>
      <c r="Z123" s="40">
        <v>3.4220000000000001E-3</v>
      </c>
      <c r="AA123" s="40">
        <v>1.1000000000000001E-3</v>
      </c>
      <c r="AB123" s="40">
        <v>0</v>
      </c>
      <c r="AC123" s="44"/>
    </row>
    <row r="124" spans="2:29" x14ac:dyDescent="0.35">
      <c r="B124" s="30">
        <f t="shared" si="21"/>
        <v>2020</v>
      </c>
      <c r="C124" s="30">
        <f t="shared" si="22"/>
        <v>2</v>
      </c>
      <c r="D124" s="31">
        <f t="shared" si="23"/>
        <v>43862</v>
      </c>
      <c r="E124" s="45">
        <v>16</v>
      </c>
      <c r="F124" s="42">
        <v>0.11125</v>
      </c>
      <c r="G124" s="42">
        <v>0.11125</v>
      </c>
      <c r="H124" s="41">
        <v>-6.3299999999999999E-4</v>
      </c>
      <c r="I124" s="45">
        <v>1.28</v>
      </c>
      <c r="J124" s="41">
        <v>7.5300000000000002E-3</v>
      </c>
      <c r="K124" s="41">
        <v>1.0200000000000001E-2</v>
      </c>
      <c r="L124" s="41">
        <v>8.0000000000000007E-5</v>
      </c>
      <c r="M124" s="41">
        <v>9.9999999999999995E-7</v>
      </c>
      <c r="N124" s="60">
        <v>5.0000000000000001E-3</v>
      </c>
      <c r="O124" s="57"/>
      <c r="P124" s="57"/>
      <c r="Q124" s="41">
        <v>4.1394E-2</v>
      </c>
      <c r="R124" s="41">
        <v>3.7209999999999999E-3</v>
      </c>
      <c r="S124" s="43">
        <v>2.4066000000000001E-2</v>
      </c>
      <c r="T124" s="63">
        <v>4.9089000000000001E-2</v>
      </c>
      <c r="U124" s="41">
        <v>2.6870000000000002E-3</v>
      </c>
      <c r="V124" s="41">
        <v>-2.977E-3</v>
      </c>
      <c r="W124" s="41">
        <v>2.6335000000000001E-2</v>
      </c>
      <c r="X124" s="40">
        <v>0</v>
      </c>
      <c r="Y124" s="40">
        <v>0</v>
      </c>
      <c r="Z124" s="40">
        <v>3.4220000000000001E-3</v>
      </c>
      <c r="AA124" s="40">
        <v>1.1000000000000001E-3</v>
      </c>
      <c r="AB124" s="40">
        <v>0</v>
      </c>
      <c r="AC124" s="44"/>
    </row>
    <row r="125" spans="2:29" x14ac:dyDescent="0.35">
      <c r="B125" s="30">
        <f t="shared" si="21"/>
        <v>2020</v>
      </c>
      <c r="C125" s="30">
        <f t="shared" si="22"/>
        <v>3</v>
      </c>
      <c r="D125" s="31">
        <f t="shared" si="23"/>
        <v>43891</v>
      </c>
      <c r="E125" s="38">
        <v>16</v>
      </c>
      <c r="F125" s="39">
        <v>0.11125</v>
      </c>
      <c r="G125" s="39">
        <v>0.11125</v>
      </c>
      <c r="H125" s="40">
        <v>-6.3299999999999999E-4</v>
      </c>
      <c r="I125" s="38">
        <v>1.28</v>
      </c>
      <c r="J125" s="40">
        <v>7.5300000000000002E-3</v>
      </c>
      <c r="K125" s="41">
        <v>1.1730000000000001E-2</v>
      </c>
      <c r="L125" s="41">
        <v>5.3000000000000001E-5</v>
      </c>
      <c r="M125" s="40">
        <v>9.9999999999999995E-7</v>
      </c>
      <c r="N125" s="60">
        <v>5.0000000000000001E-3</v>
      </c>
      <c r="O125" s="57"/>
      <c r="P125" s="57"/>
      <c r="Q125" s="41">
        <v>3.5852000000000002E-2</v>
      </c>
      <c r="R125" s="41">
        <v>3.6099999999999999E-3</v>
      </c>
      <c r="S125" s="43">
        <v>2.4066000000000001E-2</v>
      </c>
      <c r="T125" s="63">
        <v>4.9089000000000001E-2</v>
      </c>
      <c r="U125" s="41">
        <v>-5.53E-4</v>
      </c>
      <c r="V125" s="41">
        <v>-2.748E-3</v>
      </c>
      <c r="W125" s="41">
        <v>2.376E-2</v>
      </c>
      <c r="X125" s="40">
        <v>0</v>
      </c>
      <c r="Y125" s="40">
        <v>0</v>
      </c>
      <c r="Z125" s="40">
        <v>3.4220000000000001E-3</v>
      </c>
      <c r="AA125" s="40">
        <v>1.1000000000000001E-3</v>
      </c>
      <c r="AB125" s="40">
        <v>0</v>
      </c>
      <c r="AC125" s="44"/>
    </row>
    <row r="126" spans="2:29" x14ac:dyDescent="0.35">
      <c r="B126" s="30">
        <f t="shared" si="21"/>
        <v>2020</v>
      </c>
      <c r="C126" s="30">
        <f t="shared" si="22"/>
        <v>4</v>
      </c>
      <c r="D126" s="31">
        <f t="shared" si="23"/>
        <v>43922</v>
      </c>
      <c r="E126" s="38">
        <v>16</v>
      </c>
      <c r="F126" s="39">
        <v>0.11125</v>
      </c>
      <c r="G126" s="39">
        <v>0.11125</v>
      </c>
      <c r="H126" s="40">
        <v>-6.3299999999999999E-4</v>
      </c>
      <c r="I126" s="38">
        <v>1.28</v>
      </c>
      <c r="J126" s="40">
        <v>7.5300000000000002E-3</v>
      </c>
      <c r="K126" s="41">
        <v>1.1560000000000001E-2</v>
      </c>
      <c r="L126" s="41">
        <v>6.0999999999999999E-5</v>
      </c>
      <c r="M126" s="40">
        <v>9.9999999999999995E-7</v>
      </c>
      <c r="N126" s="60">
        <v>5.0000000000000001E-3</v>
      </c>
      <c r="O126" s="57"/>
      <c r="P126" s="57"/>
      <c r="Q126" s="41">
        <v>3.4659000000000002E-2</v>
      </c>
      <c r="R126" s="41">
        <v>6.3480000000000003E-3</v>
      </c>
      <c r="S126" s="43">
        <v>2.4066000000000001E-2</v>
      </c>
      <c r="T126" s="62">
        <v>5.0505000000000001E-2</v>
      </c>
      <c r="U126" s="41">
        <v>-6.3709999999999999E-3</v>
      </c>
      <c r="V126" s="41">
        <v>-3.2520000000000001E-3</v>
      </c>
      <c r="W126" s="41">
        <v>2.4566999999999999E-2</v>
      </c>
      <c r="X126" s="40">
        <v>0</v>
      </c>
      <c r="Y126" s="40">
        <v>0</v>
      </c>
      <c r="Z126" s="41">
        <v>4.627E-3</v>
      </c>
      <c r="AA126" s="40">
        <v>1.1000000000000001E-3</v>
      </c>
      <c r="AB126" s="40">
        <v>0</v>
      </c>
      <c r="AC126" s="44"/>
    </row>
    <row r="127" spans="2:29" x14ac:dyDescent="0.35">
      <c r="B127" s="30">
        <f t="shared" si="21"/>
        <v>2020</v>
      </c>
      <c r="C127" s="30">
        <f t="shared" si="22"/>
        <v>5</v>
      </c>
      <c r="D127" s="31">
        <f t="shared" si="23"/>
        <v>43952</v>
      </c>
      <c r="E127" s="38">
        <v>16</v>
      </c>
      <c r="F127" s="39">
        <v>0.11125</v>
      </c>
      <c r="G127" s="39">
        <v>0.11125</v>
      </c>
      <c r="H127" s="40">
        <v>-6.3299999999999999E-4</v>
      </c>
      <c r="I127" s="38">
        <v>1.28</v>
      </c>
      <c r="J127" s="40">
        <v>7.5300000000000002E-3</v>
      </c>
      <c r="K127" s="41">
        <v>6.2399999999999999E-3</v>
      </c>
      <c r="L127" s="41">
        <v>3.1999999999999999E-5</v>
      </c>
      <c r="M127" s="40">
        <v>9.9999999999999995E-7</v>
      </c>
      <c r="N127" s="60">
        <v>5.0000000000000001E-3</v>
      </c>
      <c r="O127" s="57"/>
      <c r="P127" s="57"/>
      <c r="Q127" s="41">
        <v>9.3167E-2</v>
      </c>
      <c r="R127" s="41">
        <v>4.0400000000000002E-3</v>
      </c>
      <c r="S127" s="43">
        <v>2.4066000000000001E-2</v>
      </c>
      <c r="T127" s="63">
        <v>5.0505000000000001E-2</v>
      </c>
      <c r="U127" s="41">
        <v>-2.3440000000000002E-3</v>
      </c>
      <c r="V127" s="41">
        <v>-4.1330000000000004E-3</v>
      </c>
      <c r="W127" s="41">
        <v>5.0470000000000003E-3</v>
      </c>
      <c r="X127" s="40">
        <v>0</v>
      </c>
      <c r="Y127" s="40">
        <v>0</v>
      </c>
      <c r="Z127" s="40">
        <v>4.627E-3</v>
      </c>
      <c r="AA127" s="40">
        <v>1.1000000000000001E-3</v>
      </c>
      <c r="AB127" s="40">
        <v>0</v>
      </c>
      <c r="AC127" s="44"/>
    </row>
    <row r="128" spans="2:29" x14ac:dyDescent="0.35">
      <c r="B128" s="30">
        <f t="shared" si="21"/>
        <v>2020</v>
      </c>
      <c r="C128" s="30">
        <f t="shared" si="22"/>
        <v>6</v>
      </c>
      <c r="D128" s="31">
        <f t="shared" si="23"/>
        <v>43983</v>
      </c>
      <c r="E128" s="38">
        <v>16</v>
      </c>
      <c r="F128" s="39">
        <v>0.11125</v>
      </c>
      <c r="G128" s="42">
        <v>0.12787999999999999</v>
      </c>
      <c r="H128" s="40">
        <v>-6.3299999999999999E-4</v>
      </c>
      <c r="I128" s="38">
        <v>1.28</v>
      </c>
      <c r="J128" s="40">
        <v>7.5300000000000002E-3</v>
      </c>
      <c r="K128" s="41">
        <v>6.43E-3</v>
      </c>
      <c r="L128" s="41">
        <v>-1.9999999999999999E-6</v>
      </c>
      <c r="M128" s="40">
        <v>9.9999999999999995E-7</v>
      </c>
      <c r="N128" s="60">
        <v>5.0000000000000001E-3</v>
      </c>
      <c r="O128" s="57"/>
      <c r="P128" s="57"/>
      <c r="Q128" s="41">
        <v>9.5603999999999995E-2</v>
      </c>
      <c r="R128" s="41">
        <v>3.62E-3</v>
      </c>
      <c r="S128" s="43">
        <v>2.4066000000000001E-2</v>
      </c>
      <c r="T128" s="63">
        <v>5.0505000000000001E-2</v>
      </c>
      <c r="U128" s="41">
        <v>-6.2699999999999995E-4</v>
      </c>
      <c r="V128" s="41">
        <v>1.3165E-2</v>
      </c>
      <c r="W128" s="41">
        <v>5.731E-3</v>
      </c>
      <c r="X128" s="40">
        <v>0</v>
      </c>
      <c r="Y128" s="40">
        <v>0</v>
      </c>
      <c r="Z128" s="40">
        <v>4.627E-3</v>
      </c>
      <c r="AA128" s="40">
        <v>1.1000000000000001E-3</v>
      </c>
      <c r="AB128" s="40">
        <v>0</v>
      </c>
      <c r="AC128" s="44"/>
    </row>
    <row r="129" spans="2:29" x14ac:dyDescent="0.35">
      <c r="B129" s="30">
        <f t="shared" si="21"/>
        <v>2020</v>
      </c>
      <c r="C129" s="30">
        <f t="shared" si="22"/>
        <v>7</v>
      </c>
      <c r="D129" s="31">
        <f t="shared" si="23"/>
        <v>44013</v>
      </c>
      <c r="E129" s="38">
        <v>16</v>
      </c>
      <c r="F129" s="39">
        <v>0.11125</v>
      </c>
      <c r="G129" s="39">
        <v>0.12787999999999999</v>
      </c>
      <c r="H129" s="40">
        <v>-6.3299999999999999E-4</v>
      </c>
      <c r="I129" s="38">
        <v>1.28</v>
      </c>
      <c r="J129" s="40">
        <v>7.5300000000000002E-3</v>
      </c>
      <c r="K129" s="41">
        <v>4.8300000000000001E-3</v>
      </c>
      <c r="L129" s="41">
        <v>7.9999999999999996E-6</v>
      </c>
      <c r="M129" s="40">
        <v>9.9999999999999995E-7</v>
      </c>
      <c r="N129" s="60">
        <v>5.0000000000000001E-3</v>
      </c>
      <c r="O129" s="57"/>
      <c r="P129" s="57"/>
      <c r="Q129" s="41">
        <v>0.101219</v>
      </c>
      <c r="R129" s="41">
        <v>3.6879999999999999E-3</v>
      </c>
      <c r="S129" s="43">
        <v>2.4066000000000001E-2</v>
      </c>
      <c r="T129" s="63">
        <v>5.0505000000000001E-2</v>
      </c>
      <c r="U129" s="41">
        <v>5.5000000000000003E-4</v>
      </c>
      <c r="V129" s="41">
        <v>-9.2409999999999992E-3</v>
      </c>
      <c r="W129" s="41">
        <v>-1.6310000000000001E-3</v>
      </c>
      <c r="X129" s="40">
        <v>0</v>
      </c>
      <c r="Y129" s="40">
        <v>0</v>
      </c>
      <c r="Z129" s="40">
        <v>4.627E-3</v>
      </c>
      <c r="AA129" s="40">
        <v>1.1000000000000001E-3</v>
      </c>
      <c r="AB129" s="40">
        <v>0</v>
      </c>
      <c r="AC129" s="44"/>
    </row>
    <row r="130" spans="2:29" x14ac:dyDescent="0.35">
      <c r="B130" s="30">
        <f t="shared" si="21"/>
        <v>2020</v>
      </c>
      <c r="C130" s="30">
        <f t="shared" si="22"/>
        <v>8</v>
      </c>
      <c r="D130" s="31">
        <f t="shared" si="23"/>
        <v>44044</v>
      </c>
      <c r="E130" s="38">
        <v>16</v>
      </c>
      <c r="F130" s="39">
        <v>0.11125</v>
      </c>
      <c r="G130" s="39">
        <v>0.12787999999999999</v>
      </c>
      <c r="H130" s="40">
        <v>-6.3299999999999999E-4</v>
      </c>
      <c r="I130" s="38">
        <v>1.28</v>
      </c>
      <c r="J130" s="41">
        <v>1.9599999999999999E-3</v>
      </c>
      <c r="K130" s="41">
        <v>4.2500000000000003E-3</v>
      </c>
      <c r="L130" s="41">
        <v>2.5000000000000001E-5</v>
      </c>
      <c r="M130" s="40">
        <v>9.9999999999999995E-7</v>
      </c>
      <c r="N130" s="60">
        <v>5.0000000000000001E-3</v>
      </c>
      <c r="O130" s="57"/>
      <c r="P130" s="57"/>
      <c r="Q130" s="41">
        <v>9.8321000000000006E-2</v>
      </c>
      <c r="R130" s="41">
        <v>4.0629999999999998E-3</v>
      </c>
      <c r="S130" s="43">
        <v>2.4066000000000001E-2</v>
      </c>
      <c r="T130" s="63">
        <v>5.0505000000000001E-2</v>
      </c>
      <c r="U130" s="41">
        <v>-2.9E-4</v>
      </c>
      <c r="V130" s="41">
        <v>-1.8194999999999999E-2</v>
      </c>
      <c r="W130" s="41">
        <v>6.1700000000000004E-4</v>
      </c>
      <c r="X130" s="40">
        <v>0</v>
      </c>
      <c r="Y130" s="40">
        <v>0</v>
      </c>
      <c r="Z130" s="40">
        <v>4.627E-3</v>
      </c>
      <c r="AA130" s="40">
        <v>1.1000000000000001E-3</v>
      </c>
      <c r="AB130" s="40">
        <v>0</v>
      </c>
      <c r="AC130" s="44"/>
    </row>
    <row r="131" spans="2:29" x14ac:dyDescent="0.35">
      <c r="B131" s="30">
        <f t="shared" ref="B131:B140" si="24">YEAR(D131)</f>
        <v>2020</v>
      </c>
      <c r="C131" s="30">
        <f t="shared" ref="C131:C140" si="25">MONTH(D131)</f>
        <v>9</v>
      </c>
      <c r="D131" s="31">
        <f t="shared" si="23"/>
        <v>44075</v>
      </c>
      <c r="E131" s="38">
        <v>16</v>
      </c>
      <c r="F131" s="39">
        <v>0.11125</v>
      </c>
      <c r="G131" s="39">
        <v>0.12787999999999999</v>
      </c>
      <c r="H131" s="40">
        <v>-6.3299999999999999E-4</v>
      </c>
      <c r="I131" s="38">
        <v>1.28</v>
      </c>
      <c r="J131" s="40">
        <v>1.9599999999999999E-3</v>
      </c>
      <c r="K131" s="41">
        <v>5.1999999999999998E-3</v>
      </c>
      <c r="L131" s="41">
        <v>2.9E-5</v>
      </c>
      <c r="M131" s="40">
        <v>9.9999999999999995E-7</v>
      </c>
      <c r="N131" s="60">
        <v>5.0000000000000001E-3</v>
      </c>
      <c r="O131" s="57"/>
      <c r="P131" s="57"/>
      <c r="Q131" s="41">
        <v>9.3935000000000005E-2</v>
      </c>
      <c r="R131" s="41">
        <v>4.4710000000000001E-3</v>
      </c>
      <c r="S131" s="43">
        <v>2.4066000000000001E-2</v>
      </c>
      <c r="T131" s="63">
        <v>5.0505000000000001E-2</v>
      </c>
      <c r="U131" s="41">
        <v>1.4909999999999999E-3</v>
      </c>
      <c r="V131" s="41">
        <v>-1.8955E-2</v>
      </c>
      <c r="W131" s="41">
        <v>3.19E-4</v>
      </c>
      <c r="X131" s="40">
        <v>0</v>
      </c>
      <c r="Y131" s="40">
        <v>0</v>
      </c>
      <c r="Z131" s="40">
        <v>4.627E-3</v>
      </c>
      <c r="AA131" s="40">
        <v>1.1000000000000001E-3</v>
      </c>
      <c r="AB131" s="40">
        <v>0</v>
      </c>
      <c r="AC131" s="44"/>
    </row>
    <row r="132" spans="2:29" x14ac:dyDescent="0.35">
      <c r="B132" s="30">
        <f t="shared" si="24"/>
        <v>2020</v>
      </c>
      <c r="C132" s="30">
        <f t="shared" si="25"/>
        <v>10</v>
      </c>
      <c r="D132" s="31">
        <f t="shared" si="23"/>
        <v>44105</v>
      </c>
      <c r="E132" s="38">
        <v>16</v>
      </c>
      <c r="F132" s="39">
        <v>0.11125</v>
      </c>
      <c r="G132" s="41">
        <v>0.11125</v>
      </c>
      <c r="H132" s="40">
        <v>-6.3299999999999999E-4</v>
      </c>
      <c r="I132" s="38">
        <v>1.28</v>
      </c>
      <c r="J132" s="40">
        <v>1.9599999999999999E-3</v>
      </c>
      <c r="K132" s="41">
        <v>4.28E-3</v>
      </c>
      <c r="L132" s="41">
        <v>1.8E-5</v>
      </c>
      <c r="M132" s="40">
        <v>9.9999999999999995E-7</v>
      </c>
      <c r="N132" s="60">
        <v>5.0000000000000001E-3</v>
      </c>
      <c r="O132" s="57"/>
      <c r="P132" s="57"/>
      <c r="Q132" s="41">
        <v>9.4106000000000009E-2</v>
      </c>
      <c r="R132" s="41">
        <v>4.4780000000000002E-3</v>
      </c>
      <c r="S132" s="43">
        <v>2.4066000000000001E-2</v>
      </c>
      <c r="T132" s="63">
        <v>5.0505000000000001E-2</v>
      </c>
      <c r="U132" s="41">
        <v>3.5770000000000003E-3</v>
      </c>
      <c r="V132" s="41">
        <v>-9.9979999999999999E-3</v>
      </c>
      <c r="W132" s="41">
        <v>4.0660000000000002E-3</v>
      </c>
      <c r="X132" s="40">
        <v>0</v>
      </c>
      <c r="Y132" s="40">
        <v>0</v>
      </c>
      <c r="Z132" s="40">
        <v>4.627E-3</v>
      </c>
      <c r="AA132" s="40">
        <v>1.1000000000000001E-3</v>
      </c>
      <c r="AB132" s="40">
        <v>0</v>
      </c>
      <c r="AC132" s="44"/>
    </row>
    <row r="133" spans="2:29" x14ac:dyDescent="0.35">
      <c r="B133" s="30">
        <f t="shared" si="24"/>
        <v>2020</v>
      </c>
      <c r="C133" s="30">
        <f t="shared" si="25"/>
        <v>11</v>
      </c>
      <c r="D133" s="31">
        <f t="shared" si="23"/>
        <v>44136</v>
      </c>
      <c r="E133" s="38">
        <v>16</v>
      </c>
      <c r="F133" s="39">
        <v>0.11125</v>
      </c>
      <c r="G133" s="40">
        <v>0.11125</v>
      </c>
      <c r="H133" s="40">
        <v>-6.3299999999999999E-4</v>
      </c>
      <c r="I133" s="38">
        <v>1.28</v>
      </c>
      <c r="J133" s="40">
        <v>1.9599999999999999E-3</v>
      </c>
      <c r="K133" s="41">
        <v>8.4399999999999996E-3</v>
      </c>
      <c r="L133" s="41">
        <v>3.0000000000000001E-5</v>
      </c>
      <c r="M133" s="40">
        <v>9.9999999999999995E-7</v>
      </c>
      <c r="N133" s="60">
        <v>5.0000000000000001E-3</v>
      </c>
      <c r="O133" s="57"/>
      <c r="P133" s="57"/>
      <c r="Q133" s="41">
        <v>7.3266999999999999E-2</v>
      </c>
      <c r="R133" s="41">
        <v>3.8270000000000001E-3</v>
      </c>
      <c r="S133" s="43">
        <v>2.4066000000000001E-2</v>
      </c>
      <c r="T133" s="63">
        <v>5.0505000000000001E-2</v>
      </c>
      <c r="U133" s="41">
        <v>2.7929999999999999E-3</v>
      </c>
      <c r="V133" s="41">
        <v>1.21E-4</v>
      </c>
      <c r="W133" s="41">
        <v>1.2094000000000001E-2</v>
      </c>
      <c r="X133" s="40">
        <v>0</v>
      </c>
      <c r="Y133" s="40">
        <v>0</v>
      </c>
      <c r="Z133" s="40">
        <v>4.627E-3</v>
      </c>
      <c r="AA133" s="40">
        <v>1.1000000000000001E-3</v>
      </c>
      <c r="AB133" s="40">
        <v>0</v>
      </c>
      <c r="AC133" s="44"/>
    </row>
    <row r="134" spans="2:29" x14ac:dyDescent="0.35">
      <c r="B134" s="30">
        <f t="shared" si="24"/>
        <v>2020</v>
      </c>
      <c r="C134" s="30">
        <f t="shared" si="25"/>
        <v>12</v>
      </c>
      <c r="D134" s="31">
        <f t="shared" si="23"/>
        <v>44166</v>
      </c>
      <c r="E134" s="38">
        <v>16</v>
      </c>
      <c r="F134" s="39">
        <v>0.11125</v>
      </c>
      <c r="G134" s="40">
        <v>0.11125</v>
      </c>
      <c r="H134" s="40">
        <v>-6.3299999999999999E-4</v>
      </c>
      <c r="I134" s="38">
        <v>1.28</v>
      </c>
      <c r="J134" s="40">
        <v>1.9599999999999999E-3</v>
      </c>
      <c r="K134" s="41">
        <v>1.1299999999999999E-2</v>
      </c>
      <c r="L134" s="41">
        <v>2.6999999999999999E-5</v>
      </c>
      <c r="M134" s="40">
        <v>9.9999999999999995E-7</v>
      </c>
      <c r="N134" s="60">
        <v>5.0000000000000001E-3</v>
      </c>
      <c r="O134" s="57"/>
      <c r="P134" s="41">
        <v>1E-4</v>
      </c>
      <c r="Q134" s="41">
        <v>8.5391999999999996E-2</v>
      </c>
      <c r="R134" s="41">
        <v>3.5300000000000002E-3</v>
      </c>
      <c r="S134" s="43">
        <v>2.4066000000000001E-2</v>
      </c>
      <c r="T134" s="63">
        <v>5.0505000000000001E-2</v>
      </c>
      <c r="U134" s="41">
        <v>8.2830000000000004E-3</v>
      </c>
      <c r="V134" s="41">
        <v>-9.3690000000000006E-3</v>
      </c>
      <c r="W134" s="41">
        <v>1.506E-2</v>
      </c>
      <c r="X134" s="40">
        <v>0</v>
      </c>
      <c r="Y134" s="40">
        <v>0</v>
      </c>
      <c r="Z134" s="40">
        <v>4.627E-3</v>
      </c>
      <c r="AA134" s="40">
        <v>1.1000000000000001E-3</v>
      </c>
      <c r="AB134" s="40">
        <v>0</v>
      </c>
      <c r="AC134" s="40">
        <v>0</v>
      </c>
    </row>
    <row r="135" spans="2:29" x14ac:dyDescent="0.35">
      <c r="B135" s="30">
        <f t="shared" si="24"/>
        <v>2021</v>
      </c>
      <c r="C135" s="30">
        <f t="shared" si="25"/>
        <v>1</v>
      </c>
      <c r="D135" s="31">
        <f t="shared" si="23"/>
        <v>44197</v>
      </c>
      <c r="E135" s="45">
        <v>16.5</v>
      </c>
      <c r="F135" s="41">
        <v>0.11976000000000001</v>
      </c>
      <c r="G135" s="41">
        <v>0.11976000000000001</v>
      </c>
      <c r="H135" s="40">
        <v>0</v>
      </c>
      <c r="I135" s="38">
        <v>1.28</v>
      </c>
      <c r="J135" s="40">
        <v>1.9599999999999999E-3</v>
      </c>
      <c r="K135" s="41">
        <v>6.0600000000000003E-3</v>
      </c>
      <c r="L135" s="41">
        <v>5.7000000000000003E-5</v>
      </c>
      <c r="M135" s="41">
        <v>-9.9999999999999995E-7</v>
      </c>
      <c r="N135" s="59">
        <v>5.4000000000000003E-3</v>
      </c>
      <c r="O135" s="57"/>
      <c r="P135" s="41">
        <v>1E-4</v>
      </c>
      <c r="Q135" s="41">
        <f>8.8828/100</f>
        <v>8.882799999999999E-2</v>
      </c>
      <c r="R135" s="41">
        <v>3.862E-3</v>
      </c>
      <c r="S135" s="43">
        <v>2.4066000000000001E-2</v>
      </c>
      <c r="T135" s="43">
        <v>5.0505000000000001E-2</v>
      </c>
      <c r="U135" s="41">
        <v>5.4209999999999996E-3</v>
      </c>
      <c r="V135" s="41">
        <v>-2.104E-3</v>
      </c>
      <c r="W135" s="41">
        <v>1.2990999999999999E-2</v>
      </c>
      <c r="X135" s="40">
        <v>0</v>
      </c>
      <c r="Y135" s="40">
        <v>0</v>
      </c>
      <c r="Z135" s="40">
        <v>4.627E-3</v>
      </c>
      <c r="AA135" s="40">
        <v>1.1000000000000001E-3</v>
      </c>
      <c r="AB135" s="40">
        <v>0</v>
      </c>
      <c r="AC135" s="40">
        <v>0</v>
      </c>
    </row>
    <row r="136" spans="2:29" x14ac:dyDescent="0.35">
      <c r="B136" s="30">
        <f t="shared" si="24"/>
        <v>2021</v>
      </c>
      <c r="C136" s="30">
        <f t="shared" si="25"/>
        <v>2</v>
      </c>
      <c r="D136" s="31">
        <f t="shared" si="23"/>
        <v>44228</v>
      </c>
      <c r="E136" s="38">
        <v>16.5</v>
      </c>
      <c r="F136" s="39">
        <v>0.11976000000000001</v>
      </c>
      <c r="G136" s="40">
        <v>0.11976000000000001</v>
      </c>
      <c r="H136" s="40">
        <v>0</v>
      </c>
      <c r="I136" s="38">
        <v>1.28</v>
      </c>
      <c r="J136" s="41">
        <f>-1.424/100</f>
        <v>-1.4239999999999999E-2</v>
      </c>
      <c r="K136" s="41">
        <f>0.603/100</f>
        <v>6.0299999999999998E-3</v>
      </c>
      <c r="L136" s="41">
        <f>0.0109/100</f>
        <v>1.0899999999999999E-4</v>
      </c>
      <c r="M136" s="40">
        <v>-9.9999999999999995E-7</v>
      </c>
      <c r="N136" s="60">
        <v>5.4000000000000003E-3</v>
      </c>
      <c r="O136" s="57"/>
      <c r="P136" s="40">
        <v>1E-4</v>
      </c>
      <c r="Q136" s="41">
        <f>11.9825/100</f>
        <v>0.119825</v>
      </c>
      <c r="R136" s="41">
        <f>0.4074/100</f>
        <v>4.0739999999999995E-3</v>
      </c>
      <c r="S136" s="43">
        <v>2.4066000000000001E-2</v>
      </c>
      <c r="T136" s="43">
        <v>5.0505000000000001E-2</v>
      </c>
      <c r="U136" s="41">
        <f>0.6651/100</f>
        <v>6.6510000000000007E-3</v>
      </c>
      <c r="V136" s="41">
        <f>0.0029/100</f>
        <v>2.8999999999999997E-5</v>
      </c>
      <c r="W136" s="41">
        <f>0.6266/100</f>
        <v>6.2660000000000007E-3</v>
      </c>
      <c r="X136" s="40">
        <v>0</v>
      </c>
      <c r="Y136" s="40">
        <v>0</v>
      </c>
      <c r="Z136" s="40">
        <v>4.627E-3</v>
      </c>
      <c r="AA136" s="40">
        <v>1.1000000000000001E-3</v>
      </c>
      <c r="AB136" s="40">
        <v>0</v>
      </c>
      <c r="AC136" s="40">
        <v>0</v>
      </c>
    </row>
    <row r="137" spans="2:29" x14ac:dyDescent="0.35">
      <c r="B137" s="30">
        <f t="shared" si="24"/>
        <v>2021</v>
      </c>
      <c r="C137" s="30">
        <f t="shared" si="25"/>
        <v>3</v>
      </c>
      <c r="D137" s="31">
        <f t="shared" si="23"/>
        <v>44256</v>
      </c>
      <c r="E137" s="38">
        <v>16.5</v>
      </c>
      <c r="F137" s="39">
        <v>0.11976000000000001</v>
      </c>
      <c r="G137" s="40">
        <v>0.11976000000000001</v>
      </c>
      <c r="H137" s="41">
        <f>0.0433/100</f>
        <v>4.3300000000000001E-4</v>
      </c>
      <c r="I137" s="38">
        <v>1.28</v>
      </c>
      <c r="J137" s="40">
        <f>-1.424/100</f>
        <v>-1.4239999999999999E-2</v>
      </c>
      <c r="K137" s="41">
        <f>0.624/100</f>
        <v>6.2399999999999999E-3</v>
      </c>
      <c r="L137" s="41">
        <f>0.0066/100</f>
        <v>6.6000000000000005E-5</v>
      </c>
      <c r="M137" s="40">
        <v>-9.9999999999999995E-7</v>
      </c>
      <c r="N137" s="60">
        <v>5.4000000000000003E-3</v>
      </c>
      <c r="O137" s="57"/>
      <c r="P137" s="40">
        <v>1E-4</v>
      </c>
      <c r="Q137" s="41">
        <f>8.225 /100</f>
        <v>8.224999999999999E-2</v>
      </c>
      <c r="R137" s="41">
        <f>0.4237/100</f>
        <v>4.2370000000000003E-3</v>
      </c>
      <c r="S137" s="43">
        <v>2.4066000000000001E-2</v>
      </c>
      <c r="T137" s="43">
        <v>5.0505000000000001E-2</v>
      </c>
      <c r="U137" s="41">
        <f>-0.2135/100</f>
        <v>-2.1349999999999997E-3</v>
      </c>
      <c r="V137" s="41">
        <f>0.3474/100</f>
        <v>3.4739999999999997E-3</v>
      </c>
      <c r="W137" s="41">
        <f>-1.7357/100</f>
        <v>-1.7357000000000001E-2</v>
      </c>
      <c r="X137" s="40">
        <v>0</v>
      </c>
      <c r="Y137" s="40">
        <v>0</v>
      </c>
      <c r="Z137" s="40">
        <v>4.627E-3</v>
      </c>
      <c r="AA137" s="40">
        <v>1.1000000000000001E-3</v>
      </c>
      <c r="AB137" s="40">
        <v>0</v>
      </c>
      <c r="AC137" s="40">
        <v>0</v>
      </c>
    </row>
    <row r="138" spans="2:29" x14ac:dyDescent="0.35">
      <c r="B138" s="30">
        <f t="shared" si="24"/>
        <v>2021</v>
      </c>
      <c r="C138" s="30">
        <f t="shared" si="25"/>
        <v>4</v>
      </c>
      <c r="D138" s="31">
        <f t="shared" si="23"/>
        <v>44287</v>
      </c>
      <c r="E138" s="38">
        <v>16.5</v>
      </c>
      <c r="F138" s="39">
        <v>0.11976000000000001</v>
      </c>
      <c r="G138" s="40">
        <v>0.11976000000000001</v>
      </c>
      <c r="H138" s="41">
        <f>0/100</f>
        <v>0</v>
      </c>
      <c r="I138" s="38">
        <v>1.28</v>
      </c>
      <c r="J138" s="40">
        <f>-1.424/100</f>
        <v>-1.4239999999999999E-2</v>
      </c>
      <c r="K138" s="41">
        <f>0.823/100</f>
        <v>8.2299999999999995E-3</v>
      </c>
      <c r="L138" s="41">
        <f>0.0031/100</f>
        <v>3.1000000000000001E-5</v>
      </c>
      <c r="M138" s="40">
        <v>-9.9999999999999995E-7</v>
      </c>
      <c r="N138" s="60">
        <v>5.4000000000000003E-3</v>
      </c>
      <c r="O138" s="57"/>
      <c r="P138" s="40">
        <v>1E-4</v>
      </c>
      <c r="Q138" s="41">
        <f>7.7039/100</f>
        <v>7.7038999999999996E-2</v>
      </c>
      <c r="R138" s="41">
        <f>0.1681/100</f>
        <v>1.681E-3</v>
      </c>
      <c r="S138" s="43">
        <v>2.4066000000000001E-2</v>
      </c>
      <c r="T138" s="62">
        <v>4.9190999999999999E-2</v>
      </c>
      <c r="U138" s="41">
        <f>0.1902/100</f>
        <v>1.902E-3</v>
      </c>
      <c r="V138" s="41">
        <f>1.2729/100</f>
        <v>1.2728999999999999E-2</v>
      </c>
      <c r="W138" s="41">
        <f>1.6205/100</f>
        <v>1.6205000000000001E-2</v>
      </c>
      <c r="X138" s="40">
        <v>0</v>
      </c>
      <c r="Y138" s="40">
        <v>0</v>
      </c>
      <c r="Z138" s="40">
        <f>0.5389/100</f>
        <v>5.3890000000000006E-3</v>
      </c>
      <c r="AA138" s="40">
        <v>1.1000000000000001E-3</v>
      </c>
      <c r="AB138" s="40">
        <v>0</v>
      </c>
      <c r="AC138" s="40">
        <v>0</v>
      </c>
    </row>
    <row r="139" spans="2:29" x14ac:dyDescent="0.35">
      <c r="B139" s="30">
        <f t="shared" si="24"/>
        <v>2021</v>
      </c>
      <c r="C139" s="30">
        <f t="shared" si="25"/>
        <v>5</v>
      </c>
      <c r="D139" s="31">
        <f t="shared" si="23"/>
        <v>44317</v>
      </c>
      <c r="E139" s="38">
        <v>16.5</v>
      </c>
      <c r="F139" s="39">
        <v>0.11976000000000001</v>
      </c>
      <c r="G139" s="40">
        <v>0.11976000000000001</v>
      </c>
      <c r="H139" s="41">
        <f>0/100</f>
        <v>0</v>
      </c>
      <c r="I139" s="38">
        <v>1.28</v>
      </c>
      <c r="J139" s="40">
        <f>-1.424/100</f>
        <v>-1.4239999999999999E-2</v>
      </c>
      <c r="K139" s="41">
        <f>1.012/100</f>
        <v>1.0120000000000001E-2</v>
      </c>
      <c r="L139" s="41">
        <f>-0.0013/100</f>
        <v>-1.2999999999999999E-5</v>
      </c>
      <c r="M139" s="40">
        <v>-9.9999999999999995E-7</v>
      </c>
      <c r="N139" s="60">
        <v>5.4000000000000003E-3</v>
      </c>
      <c r="O139" s="57"/>
      <c r="P139" s="40">
        <v>1E-4</v>
      </c>
      <c r="Q139" s="41">
        <f>6.7181 /100</f>
        <v>6.7180999999999991E-2</v>
      </c>
      <c r="R139" s="41">
        <f>0.4005/100</f>
        <v>4.0049999999999999E-3</v>
      </c>
      <c r="S139" s="43">
        <v>2.4066000000000001E-2</v>
      </c>
      <c r="T139" s="62">
        <v>4.9190999999999999E-2</v>
      </c>
      <c r="U139" s="41">
        <f>0.1647/100</f>
        <v>1.647E-3</v>
      </c>
      <c r="V139" s="41">
        <f>1.2611/100</f>
        <v>1.2611000000000001E-2</v>
      </c>
      <c r="W139" s="41">
        <f>2.1938/100</f>
        <v>2.1937999999999999E-2</v>
      </c>
      <c r="X139" s="40">
        <v>0</v>
      </c>
      <c r="Y139" s="40">
        <v>0</v>
      </c>
      <c r="Z139" s="40">
        <f>0.5389/100</f>
        <v>5.3890000000000006E-3</v>
      </c>
      <c r="AA139" s="40">
        <v>1.1000000000000001E-3</v>
      </c>
      <c r="AB139" s="40">
        <v>0</v>
      </c>
      <c r="AC139" s="40">
        <v>0</v>
      </c>
    </row>
    <row r="140" spans="2:29" x14ac:dyDescent="0.35">
      <c r="B140" s="30">
        <f t="shared" si="24"/>
        <v>2021</v>
      </c>
      <c r="C140" s="30">
        <f t="shared" si="25"/>
        <v>6</v>
      </c>
      <c r="D140" s="31">
        <f t="shared" si="23"/>
        <v>44348</v>
      </c>
      <c r="E140" s="38">
        <v>16.5</v>
      </c>
      <c r="F140" s="39">
        <v>0.11976000000000001</v>
      </c>
      <c r="G140" s="41">
        <f>13.766/100</f>
        <v>0.13766</v>
      </c>
      <c r="H140" s="41">
        <f>0/100</f>
        <v>0</v>
      </c>
      <c r="I140" s="38">
        <v>1.28</v>
      </c>
      <c r="J140" s="40">
        <f>-1.424/100</f>
        <v>-1.4239999999999999E-2</v>
      </c>
      <c r="K140" s="41">
        <f>1.12/100</f>
        <v>1.1200000000000002E-2</v>
      </c>
      <c r="L140" s="41">
        <f>0.003/100</f>
        <v>3.0000000000000001E-5</v>
      </c>
      <c r="M140" s="40">
        <v>-9.9999999999999995E-7</v>
      </c>
      <c r="N140" s="60">
        <v>5.4000000000000003E-3</v>
      </c>
      <c r="O140" s="57"/>
      <c r="P140" s="40">
        <v>1E-4</v>
      </c>
      <c r="Q140" s="41">
        <f>7.8193 /100</f>
        <v>7.8192999999999999E-2</v>
      </c>
      <c r="R140" s="41">
        <f>0.3583/100</f>
        <v>3.5830000000000002E-3</v>
      </c>
      <c r="S140" s="43">
        <v>2.4066000000000001E-2</v>
      </c>
      <c r="T140" s="62">
        <v>4.9190999999999999E-2</v>
      </c>
      <c r="U140" s="41">
        <f>0.2118/100</f>
        <v>2.1180000000000001E-3</v>
      </c>
      <c r="V140" s="41">
        <f>-1.3399/100</f>
        <v>-1.3399000000000001E-2</v>
      </c>
      <c r="W140" s="41">
        <f>0.7492/100</f>
        <v>7.4919999999999995E-3</v>
      </c>
      <c r="X140" s="40">
        <v>0</v>
      </c>
      <c r="Y140" s="40">
        <v>0</v>
      </c>
      <c r="Z140" s="40">
        <f>0.5389/100</f>
        <v>5.3890000000000006E-3</v>
      </c>
      <c r="AA140" s="40">
        <v>1.1000000000000001E-3</v>
      </c>
      <c r="AB140" s="40">
        <v>0</v>
      </c>
      <c r="AC140" s="40">
        <v>0</v>
      </c>
    </row>
  </sheetData>
  <hyperlinks>
    <hyperlink ref="E135" r:id="rId1" location="page=517" display="https://www.coned.com/_external/cerates/documents/elecPSC10/electric-tariff.pdf - page=517" xr:uid="{CC16174C-3C43-4D3E-A59A-0991F5B54FDA}"/>
    <hyperlink ref="F135" r:id="rId2" location="page=517" display="https://www.coned.com/_external/cerates/documents/elecPSC10/electric-tariff.pdf - page=517" xr:uid="{5A4A1CC2-B0ED-4F3E-ADA7-AC01D22D9A4E}"/>
    <hyperlink ref="G135" r:id="rId3" location="page=517" display="https://www.coned.com/_external/cerates/documents/elecPSC10/electric-tariff.pdf - page=517" xr:uid="{F95ABEFA-C78E-4A6F-915A-E7AC84C8B819}"/>
    <hyperlink ref="H135" r:id="rId4" display="https://www.coned.com/_external/cerates/documents/elecPSC10/StatSDR-10.pdf" xr:uid="{CF38FF27-2F94-448E-A7C8-CC4380C74114}"/>
    <hyperlink ref="I135" r:id="rId5" location="page=153" display="https://www.coned.com/_external/cerates/documents/elecPSC10/electric-tariff.pdf - page=153" xr:uid="{875BBED2-56DF-4405-BAC1-14063313B7BA}"/>
    <hyperlink ref="J135" r:id="rId6" display="https://www.coned.com/_external/cerates/documents/elecPSC10/StatRDM-26.pdf" xr:uid="{BFE4D303-1F5C-462E-A7C3-43CA16A18FA1}"/>
    <hyperlink ref="K135" r:id="rId7" display="https://www.coned.com/_external/cerates/documents/elecPSC10/StatMAC-108.pdf" xr:uid="{7B72B191-2463-4ADC-9680-695A625A6DA6}"/>
    <hyperlink ref="L135" r:id="rId8" display="https://www.coned.com/_external/cerates/documents/elecPSC10/MACAdjCurrentPSCNo10.pdf" xr:uid="{3D07E480-2BFC-4ADF-ABD1-C929181D0541}"/>
    <hyperlink ref="M135" r:id="rId9" display="https://www.coned.com/_external/cerates/documents/elecPSC10/MACAdjCurrentPSCNo10.pdf" xr:uid="{A5176372-25DA-4D4E-93BE-32972AC4E6A2}"/>
    <hyperlink ref="N135" r:id="rId10" display="https://www.coned.com/_external/cerates/documents/elecPSC10/StatSBC-11.pdf" xr:uid="{F03BBC8F-BAE0-43C0-ACCF-CA7EB10D8E94}"/>
    <hyperlink ref="P135" r:id="rId11" display="https://www.coned.com/_external/cerates/documents/elecPSC10/StatVDER-CR-4.pdf" xr:uid="{9060D936-85F3-4F98-9CBE-06637E0787D2}"/>
    <hyperlink ref="Q135" r:id="rId12" display="https://apps.coned.com/CEMyAccount/csol/MSCcc.aspx" xr:uid="{7D212FB7-1095-4C32-908A-D7828DE809BA}"/>
    <hyperlink ref="R135" r:id="rId13" display="https://www.coned.com/_external/cerates/documents/elecPSC10/StatMFC-110.pdf" xr:uid="{07F64E0D-CC2B-4C53-85BB-11702A633C66}"/>
    <hyperlink ref="S135" r:id="rId14" display="https://www.coned.com/_external/cerates/documents/elecPSC10/StatGRT-20.pdf" xr:uid="{C1F85BAC-B03A-4950-9AD5-753D162C23DF}"/>
    <hyperlink ref="T135" r:id="rId15" display="https://www.coned.com/_external/cerates/documents/elecPSC10/StatGRT-20.pdf" xr:uid="{3C589E91-8A96-465E-95E8-DEC2EE7D5684}"/>
    <hyperlink ref="U135" r:id="rId16" display="https://www.coned.com/_external/cerates/documents/elecPSC10/MACAdjCurrentPSCNo10.pdf" xr:uid="{1DCB292E-DE99-4DAC-98FC-C65571BFF526}"/>
    <hyperlink ref="V135" r:id="rId17" display="https://www.coned.com/_external/cerates/documents/elecPSC10/MSCAdjCurrentPSCNo10.pdf" xr:uid="{E01FE8C7-2468-429C-8E46-7D8E126BFE78}"/>
    <hyperlink ref="W135" r:id="rId18" location="page=2" display="https://www.coned.com/_external/cerates/documents/elecPSC10/MSCAdjCurrentPSCNo10.pdf - page=2" xr:uid="{1DADB993-A4EB-4868-ADDA-DF68493901EF}"/>
    <hyperlink ref="Y135" r:id="rId19" display="https://www.coned.com/_external/cerates/documents/elecPSC10/StatCESD-1.pdf" xr:uid="{C01176EB-BC1C-4D15-90A0-DF71AC200FD5}"/>
    <hyperlink ref="Z135" r:id="rId20" display="https://www.coned.com/_external/cerates/documents/elecPSC10/StatCESS-5.pdf" xr:uid="{4801AABA-8C1E-42DF-A350-93FDC7E2F3E0}"/>
    <hyperlink ref="AA135" r:id="rId21" display="https://www.coned.com/_external/cerates/documents/elecPSC10/StatDLM-4.pdf" xr:uid="{2AA0BA4A-B701-47A5-BD74-E80703BDC4DD}"/>
    <hyperlink ref="AC135" r:id="rId22" display="https://www.coned.com/_external/cerates/documents/elecPSC10/StatVDER-CR-4.pdf" xr:uid="{A48D184C-9A1D-4D54-ABF6-123817284C77}"/>
    <hyperlink ref="E136" r:id="rId23" location="page=517" display="https://www.coned.com/_external/cerates/documents/elecPSC10/electric-tariff.pdf - page=517" xr:uid="{579702C6-B7B4-4AAE-8098-A6498C01278C}"/>
    <hyperlink ref="F136" r:id="rId24" location="page=517" display="https://www.coned.com/_external/cerates/documents/elecPSC10/electric-tariff.pdf - page=517" xr:uid="{7BB30B06-A36A-4621-A693-C76750962429}"/>
    <hyperlink ref="G136" r:id="rId25" location="page=517" display="https://www.coned.com/_external/cerates/documents/elecPSC10/electric-tariff.pdf - page=517" xr:uid="{31E7EF94-CBE2-4079-B457-35AAE8996D68}"/>
    <hyperlink ref="H136" r:id="rId26" display="https://www.coned.com/_external/cerates/documents/elecPSC10/StatSDR-10.pdf" xr:uid="{AE92F6BD-99A1-44C1-8CB7-EA23F6780681}"/>
    <hyperlink ref="I136" r:id="rId27" location="page=153" display="https://www.coned.com/_external/cerates/documents/elecPSC10/electric-tariff.pdf - page=153" xr:uid="{D4B074D6-D73D-41DE-8390-CDFE4BD1CEA1}"/>
    <hyperlink ref="J136" r:id="rId28" display="https://www.coned.com/_external/cerates/documents/elecPSC10/StatRDM-27.pdf" xr:uid="{CE6C445F-AE6A-4DED-9328-3620E47809AA}"/>
    <hyperlink ref="K136" r:id="rId29" display="https://www.coned.com/_external/cerates/documents/elecPSC10/StatMAC-109.pdf" xr:uid="{0747ACE0-5B08-44D1-9C55-102D3118915D}"/>
    <hyperlink ref="L136" r:id="rId30" display="https://www.coned.com/_external/cerates/documents/elecPSC10/MACAdjCurrentPSCNo10.pdf" xr:uid="{71FD59BD-4068-4406-823F-F08CA969C765}"/>
    <hyperlink ref="M136" r:id="rId31" display="https://www.coned.com/_external/cerates/documents/elecPSC10/MACAdjCurrentPSCNo10.pdf" xr:uid="{D91EE6D7-459E-40A9-B0BC-9430939D0E5F}"/>
    <hyperlink ref="N136" r:id="rId32" display="https://www.coned.com/_external/cerates/documents/elecPSC10/StatSBC-11.pdf" xr:uid="{FBC8B4B0-859B-4697-B26C-EC84D67B4137}"/>
    <hyperlink ref="P136" r:id="rId33" display="https://www.coned.com/_external/cerates/documents/elecPSC10/StatVDER-CR-4.pdf" xr:uid="{BA2882C2-6D74-427F-AEF9-087CFAAAEB31}"/>
    <hyperlink ref="R136" r:id="rId34" display="https://www.coned.com/_external/cerates/documents/elecPSC10/StatMFC-111.pdf" xr:uid="{F8198B8C-E4B1-4DB8-A77D-3E1E264ECB6B}"/>
    <hyperlink ref="S136" r:id="rId35" display="https://www.coned.com/_external/cerates/documents/elecPSC10/StatGRT-20.pdf" xr:uid="{9D24E630-BD8C-4631-9579-FB542CABD064}"/>
    <hyperlink ref="T136" r:id="rId36" display="https://www.coned.com/_external/cerates/documents/elecPSC10/StatGRT-20.pdf" xr:uid="{ADAA1330-966C-44D6-AD15-33B06C969A12}"/>
    <hyperlink ref="U136" r:id="rId37" display="https://www.coned.com/_external/cerates/documents/elecPSC10/MACAdjCurrentPSCNo10.pdf" xr:uid="{C3C45BF5-C58D-4B01-9983-A07803B72A1C}"/>
    <hyperlink ref="V136" r:id="rId38" display="https://www.coned.com/_external/cerates/documents/elecPSC10/MSCAdjCurrentPSCNo10.pdf" xr:uid="{9B20C3FE-C92C-4145-8407-367EF1AD3F6B}"/>
    <hyperlink ref="W136" r:id="rId39" location="page=2" display="https://www.coned.com/_external/cerates/documents/elecPSC10/MSCAdjCurrentPSCNo10.pdf - page=2" xr:uid="{7AD82FE2-81F4-473E-B6EA-BF9223343EC1}"/>
    <hyperlink ref="Y136" r:id="rId40" display="https://www.coned.com/_external/cerates/documents/elecPSC10/StatCESD-1.pdf" xr:uid="{598D54C0-180E-4B5F-8EF2-C869BAC11BA2}"/>
    <hyperlink ref="Z136" r:id="rId41" display="https://www.coned.com/_external/cerates/documents/elecPSC10/StatCESS-5.pdf" xr:uid="{F4BE520D-F6E6-4270-B774-24AA2D7C040F}"/>
    <hyperlink ref="AA136" r:id="rId42" display="https://www.coned.com/_external/cerates/documents/elecPSC10/StatDLM-4.pdf" xr:uid="{2EB98872-A3D2-4AA1-BDCB-8E33B60E56EC}"/>
    <hyperlink ref="AC136" r:id="rId43" display="https://www.coned.com/_external/cerates/documents/elecPSC10/StatVDER-CR-4.pdf" xr:uid="{7CBCB7AE-C527-4B88-AFC9-5E0CBA8F5E80}"/>
    <hyperlink ref="F137" r:id="rId44" location="page=517" display="https://www.coned.com/_external/cerates/documents/elecPSC10/electric-tariff.pdf - page=517" xr:uid="{81D61E33-7CC5-4D50-BAA1-04EF9F72AC9A}"/>
    <hyperlink ref="G137" r:id="rId45" location="page=517" display="https://www.coned.com/_external/cerates/documents/elecPSC10/electric-tariff.pdf - page=517" xr:uid="{81A06AE6-92DD-46B9-8724-D75CE6F21F96}"/>
    <hyperlink ref="H137" r:id="rId46" display="https://www.coned.com/_external/cerates/documents/elecPSC10/StatSDR-10.pdf" xr:uid="{001D64C1-97A4-4FDA-91BB-FC12165100FD}"/>
    <hyperlink ref="I137" r:id="rId47" location="page=153" display="https://www.coned.com/_external/cerates/documents/elecPSC10/electric-tariff.pdf - page=153" xr:uid="{625500DC-C678-4F58-A28A-59626ECE42C5}"/>
    <hyperlink ref="J137" r:id="rId48" display="https://www.coned.com/_external/cerates/documents/elecPSC10/StatRDM-27.pdf" xr:uid="{F66E0003-3212-409B-B8CA-CF06325BD80A}"/>
    <hyperlink ref="K137" r:id="rId49" display="https://www.coned.com/_external/cerates/documents/elecPSC10/StatMAC-109.pdf" xr:uid="{68610509-29C8-48B2-BCEE-EF70CF6E5D00}"/>
    <hyperlink ref="L137" r:id="rId50" display="https://www.coned.com/_external/cerates/documents/elecPSC10/MACAdjCurrentPSCNo10.pdf" xr:uid="{E09E62E8-A2AA-4A89-B21B-30C8F1E47B32}"/>
    <hyperlink ref="M137" r:id="rId51" display="https://www.coned.com/_external/cerates/documents/elecPSC10/MACAdjCurrentPSCNo10.pdf" xr:uid="{7287B596-37E9-4D8A-A870-A5BED9C80828}"/>
    <hyperlink ref="N137" r:id="rId52" display="https://www.coned.com/_external/cerates/documents/elecPSC10/StatSBC-11.pdf" xr:uid="{644533FC-080D-433A-90D5-1383DF217345}"/>
    <hyperlink ref="P137" r:id="rId53" display="https://www.coned.com/_external/cerates/documents/elecPSC10/StatVDER-CR-4.pdf" xr:uid="{E584FFDC-608B-4766-B541-ACBA015B6B64}"/>
    <hyperlink ref="R137" r:id="rId54" display="https://www.coned.com/_external/cerates/documents/elecPSC10/StatMFC-111.pdf" xr:uid="{A14484BD-4123-4CF7-8561-8E8CB30440F9}"/>
    <hyperlink ref="S137" r:id="rId55" display="https://www.coned.com/_external/cerates/documents/elecPSC10/StatGRT-20.pdf" xr:uid="{353DF146-97B0-410F-A13C-3CBAB439835A}"/>
    <hyperlink ref="T137" r:id="rId56" display="https://www.coned.com/_external/cerates/documents/elecPSC10/StatGRT-20.pdf" xr:uid="{5C24299C-7A3D-4B18-BDC2-21F2E99DA0A8}"/>
    <hyperlink ref="U137" r:id="rId57" display="https://www.coned.com/_external/cerates/documents/elecPSC10/MACAdjCurrentPSCNo10.pdf" xr:uid="{BC36FCA2-444D-42F4-9F1F-76889238ADE4}"/>
    <hyperlink ref="V137" r:id="rId58" display="https://www.coned.com/_external/cerates/documents/elecPSC10/MSCAdjCurrentPSCNo10.pdf" xr:uid="{2E318DC9-1DA2-45BB-A064-760C513DC792}"/>
    <hyperlink ref="W137" r:id="rId59" location="page=2" display="https://www.coned.com/_external/cerates/documents/elecPSC10/MSCAdjCurrentPSCNo10.pdf - page=2" xr:uid="{821C008F-477A-4109-9F4B-0ADB821FF09D}"/>
    <hyperlink ref="Y137" r:id="rId60" display="https://www.coned.com/_external/cerates/documents/elecPSC10/StatCESD-1.pdf" xr:uid="{2FEE28B1-1DEC-46AC-8913-2790C7B81DCB}"/>
    <hyperlink ref="Z137" r:id="rId61" display="https://www.coned.com/_external/cerates/documents/elecPSC10/StatCESS-5.pdf" xr:uid="{E6AAC0B0-E09C-4CBA-94DA-6583EA3154DE}"/>
    <hyperlink ref="AA137" r:id="rId62" display="https://www.coned.com/_external/cerates/documents/elecPSC10/StatDLM-4.pdf" xr:uid="{3D1F4EBB-9226-4C7E-B479-456EF99B2DC7}"/>
    <hyperlink ref="AC137" r:id="rId63" display="https://www.coned.com/_external/cerates/documents/elecPSC10/StatVDER-CR-4.pdf" xr:uid="{66612EB9-C60B-4159-B6AD-68DD53171C98}"/>
    <hyperlink ref="E137" r:id="rId64" location="page=519" display="https://www.coned.com/_external/cerates/documents/elecPSC10/electric-tariff.pdf - page=519" xr:uid="{CA4045A2-CD3C-483A-AA9D-73051CA6984C}"/>
    <hyperlink ref="F138" r:id="rId65" location="page=517" display="https://www.coned.com/_external/cerates/documents/elecPSC10/electric-tariff.pdf - page=517" xr:uid="{98244EC2-71CA-4165-9731-9AA81EDC4051}"/>
    <hyperlink ref="G138" r:id="rId66" location="page=517" display="https://www.coned.com/_external/cerates/documents/elecPSC10/electric-tariff.pdf - page=517" xr:uid="{0EE6748D-C920-48EF-8671-72A36ED3B37A}"/>
    <hyperlink ref="H138" r:id="rId67" display="https://www.coned.com/_external/cerates/documents/elecPSC10/StatSDR-10.pdf" xr:uid="{CE99A2B9-7546-4E19-996A-7B8A2FE08AFC}"/>
    <hyperlink ref="I138" r:id="rId68" location="page=153" display="https://www.coned.com/_external/cerates/documents/elecPSC10/electric-tariff.pdf - page=153" xr:uid="{4774098D-9FA6-4B61-9EB8-109DB7EDA4AC}"/>
    <hyperlink ref="J138" r:id="rId69" display="https://www.coned.com/_external/cerates/documents/elecPSC10/StatRDM-27.pdf" xr:uid="{381B40F7-BC45-4B4B-ACBF-9FF0C89A0976}"/>
    <hyperlink ref="K138" r:id="rId70" display="https://www.coned.com/_external/cerates/documents/elecPSC10/StatMAC-109.pdf" xr:uid="{7A912673-27B7-4261-80EC-8C7022B671BB}"/>
    <hyperlink ref="L138" r:id="rId71" display="https://www.coned.com/_external/cerates/documents/elecPSC10/MACAdjCurrentPSCNo10.pdf" xr:uid="{2CA5E53D-6E30-4A8F-B829-94AF0990449E}"/>
    <hyperlink ref="M138" r:id="rId72" display="https://www.coned.com/_external/cerates/documents/elecPSC10/MACAdjCurrentPSCNo10.pdf" xr:uid="{4492B0AF-4A14-4663-92EF-594EFD45521D}"/>
    <hyperlink ref="N138" r:id="rId73" display="https://www.coned.com/_external/cerates/documents/elecPSC10/StatSBC-11.pdf" xr:uid="{FE05B5DB-2D1C-41C8-A010-9CCF7EF684BA}"/>
    <hyperlink ref="P138" r:id="rId74" display="https://www.coned.com/_external/cerates/documents/elecPSC10/StatVDER-CR-4.pdf" xr:uid="{94604F32-68AF-4B22-870C-C0307BD67773}"/>
    <hyperlink ref="R138" r:id="rId75" display="https://www.coned.com/_external/cerates/documents/elecPSC10/StatMFC-111.pdf" xr:uid="{313FD06F-02DF-4045-B3BD-CB6EDCBF4FC4}"/>
    <hyperlink ref="S138" r:id="rId76" display="https://www.coned.com/_external/cerates/documents/elecPSC10/StatGRT-20.pdf" xr:uid="{B490629B-2BC8-4678-81FF-0D0988720925}"/>
    <hyperlink ref="T138" r:id="rId77" display="https://www.coned.com/_external/cerates/documents/elecPSC10/StatGRT-21.pdf" xr:uid="{77BD17A6-6F8D-4EEA-B5A6-7AFE1D823519}"/>
    <hyperlink ref="U138" r:id="rId78" display="https://www.coned.com/_external/cerates/documents/elecPSC10/MACAdjCurrentPSCNo10.pdf" xr:uid="{B5B7192F-D08C-4BED-B518-16AFD99F04DF}"/>
    <hyperlink ref="V138" r:id="rId79" display="https://www.coned.com/_external/cerates/documents/elecPSC10/MSCAdjCurrentPSCNo10.pdf" xr:uid="{F0BD826E-0FF0-4619-84BD-A559690A5604}"/>
    <hyperlink ref="W138" r:id="rId80" location="page=2" display="https://www.coned.com/_external/cerates/documents/elecPSC10/MSCAdjCurrentPSCNo10.pdf - page=2" xr:uid="{6A44C8AA-285A-4937-96C2-AF3A241DC434}"/>
    <hyperlink ref="Y138" r:id="rId81" display="https://www.coned.com/_external/cerates/documents/elecPSC10/StatCESD-1.pdf" xr:uid="{BDEF4201-EDCD-46EB-A085-C842250188B4}"/>
    <hyperlink ref="Z138" r:id="rId82" display="https://www.coned.com/_external/cerates/documents/elecPSC10/StatCESS-5.pdf" xr:uid="{73F4CDB2-3C79-4304-8B1C-8C16CE024ABE}"/>
    <hyperlink ref="AA138" r:id="rId83" display="https://www.coned.com/_external/cerates/documents/elecPSC10/StatDLM-4.pdf" xr:uid="{1FB42753-1496-42C0-9F4C-7BEAAC625449}"/>
    <hyperlink ref="AC138" r:id="rId84" display="https://www.coned.com/_external/cerates/documents/elecPSC10/StatVDER-CR-4.pdf" xr:uid="{DD0641FF-BC4B-4EB2-9A2A-38B66543F7CC}"/>
    <hyperlink ref="E138" r:id="rId85" location="page=519" display="https://www.coned.com/_external/cerates/documents/elecPSC10/electric-tariff.pdf - page=519" xr:uid="{3301E9D9-7FB7-4AA0-BAE1-4160E4710253}"/>
    <hyperlink ref="F139" r:id="rId86" location="page=517" display="https://www.coned.com/_external/cerates/documents/elecPSC10/electric-tariff.pdf - page=517" xr:uid="{1634FBED-7D2C-44D6-9C2D-86D280154B37}"/>
    <hyperlink ref="G139" r:id="rId87" location="page=517" display="https://www.coned.com/_external/cerates/documents/elecPSC10/electric-tariff.pdf - page=517" xr:uid="{78C71563-E3D3-4783-9DB5-178B8BA57815}"/>
    <hyperlink ref="H139" r:id="rId88" display="https://www.coned.com/_external/cerates/documents/elecPSC10/StatSDR-10.pdf" xr:uid="{292B21BA-DBE4-4755-AD97-95BA59869D0C}"/>
    <hyperlink ref="I139" r:id="rId89" location="page=153" display="https://www.coned.com/_external/cerates/documents/elecPSC10/electric-tariff.pdf - page=153" xr:uid="{787F3F89-4F6C-4E83-9AA6-1E4DEFEAA132}"/>
    <hyperlink ref="J139" r:id="rId90" display="https://www.coned.com/_external/cerates/documents/elecPSC10/StatRDM-27.pdf" xr:uid="{6C97C4AD-BDAB-4266-808A-8E3764A6E4D1}"/>
    <hyperlink ref="K139" r:id="rId91" display="https://www.coned.com/_external/cerates/documents/elecPSC10/StatMAC-109.pdf" xr:uid="{F9CBE182-362D-4DD5-8719-F428BA612F8F}"/>
    <hyperlink ref="L139" r:id="rId92" display="https://www.coned.com/_external/cerates/documents/elecPSC10/MACAdjCurrentPSCNo10.pdf" xr:uid="{52DB3B67-76AA-4992-AA48-5BBD0365B886}"/>
    <hyperlink ref="M139" r:id="rId93" display="https://www.coned.com/_external/cerates/documents/elecPSC10/MACAdjCurrentPSCNo10.pdf" xr:uid="{3CD2C524-313C-4866-9F42-752D0C247A77}"/>
    <hyperlink ref="N139" r:id="rId94" display="https://www.coned.com/_external/cerates/documents/elecPSC10/StatSBC-11.pdf" xr:uid="{A2257F89-8354-4051-9574-BF8D8AF90D1B}"/>
    <hyperlink ref="P139" r:id="rId95" display="https://www.coned.com/_external/cerates/documents/elecPSC10/StatVDER-CR-4.pdf" xr:uid="{148FA108-FCAA-4D07-85D1-7F460F9AE495}"/>
    <hyperlink ref="R139" r:id="rId96" display="https://www.coned.com/_external/cerates/documents/elecPSC10/StatMFC-111.pdf" xr:uid="{9B2B2BEF-A060-4D5B-AD33-F8EE9D888FF7}"/>
    <hyperlink ref="S139" r:id="rId97" display="https://www.coned.com/_external/cerates/documents/elecPSC10/StatGRT-20.pdf" xr:uid="{A65F63D6-AB3E-4E7B-A003-AC115A9F1C23}"/>
    <hyperlink ref="T139" r:id="rId98" display="https://www.coned.com/_external/cerates/documents/elecPSC10/StatGRT-21.pdf" xr:uid="{6F05526A-8542-4C3A-8B2E-46C5808A20B9}"/>
    <hyperlink ref="U139" r:id="rId99" display="https://www.coned.com/_external/cerates/documents/elecPSC10/MACAdjCurrentPSCNo10.pdf" xr:uid="{7F4209F1-F9D3-49E0-AC30-1D2C5FBAEFFD}"/>
    <hyperlink ref="V139" r:id="rId100" display="https://www.coned.com/_external/cerates/documents/elecPSC10/MSCAdjCurrentPSCNo10.pdf" xr:uid="{E6D51067-8F77-4CFA-90C6-9D15B9B05218}"/>
    <hyperlink ref="W139" r:id="rId101" location="page=2" display="https://www.coned.com/_external/cerates/documents/elecPSC10/MSCAdjCurrentPSCNo10.pdf - page=2" xr:uid="{399D43EE-31A2-4257-8728-DC0E65220F87}"/>
    <hyperlink ref="Y139" r:id="rId102" display="https://www.coned.com/_external/cerates/documents/elecPSC10/StatCESD-1.pdf" xr:uid="{03B215AD-EB77-43AA-AB3F-45D0F0714BC9}"/>
    <hyperlink ref="Z139" r:id="rId103" display="https://www.coned.com/_external/cerates/documents/elecPSC10/StatCESS-5.pdf" xr:uid="{2B5B4576-4D7D-40E9-8021-3E2FE3CCA8BA}"/>
    <hyperlink ref="AA139" r:id="rId104" display="https://www.coned.com/_external/cerates/documents/elecPSC10/StatDLM-4.pdf" xr:uid="{40C3597A-DAB8-416D-A435-5950B799ADED}"/>
    <hyperlink ref="AC139" r:id="rId105" display="https://www.coned.com/_external/cerates/documents/elecPSC10/StatVDER-CR-4.pdf" xr:uid="{638F8DB8-A358-4EE0-B968-34461DDBD801}"/>
    <hyperlink ref="E139" r:id="rId106" location="page=519" display="https://www.coned.com/_external/cerates/documents/elecPSC10/electric-tariff.pdf - page=519" xr:uid="{AF5ED930-5593-4303-8DAC-BA656A54F538}"/>
    <hyperlink ref="F140" r:id="rId107" location="page=517" display="https://www.coned.com/_external/cerates/documents/elecPSC10/electric-tariff.pdf - page=517" xr:uid="{8E6441E4-E7A2-40DD-A052-8CAB2C4F9B68}"/>
    <hyperlink ref="G140" r:id="rId108" location="page=517" display="https://www.coned.com/_external/cerates/documents/elecPSC10/electric-tariff.pdf - page=517" xr:uid="{ED1BF150-F111-4EEC-B8A6-307404DE0599}"/>
    <hyperlink ref="H140" r:id="rId109" display="https://www.coned.com/_external/cerates/documents/elecPSC10/StatSDR-10.pdf" xr:uid="{3826BF83-C9C1-4C75-AFB5-8FBE44519D85}"/>
    <hyperlink ref="I140" r:id="rId110" location="page=153" display="https://www.coned.com/_external/cerates/documents/elecPSC10/electric-tariff.pdf - page=153" xr:uid="{A02658CA-F602-4E13-9182-0638ECAE19CE}"/>
    <hyperlink ref="J140" r:id="rId111" display="https://www.coned.com/_external/cerates/documents/elecPSC10/StatRDM-27.pdf" xr:uid="{743876FA-7F95-4CE1-BE7F-DB01CEB728A0}"/>
    <hyperlink ref="K140" r:id="rId112" display="https://www.coned.com/_external/cerates/documents/elecPSC10/StatMAC-109.pdf" xr:uid="{81590B2C-D223-48CC-866C-FAED70279D0C}"/>
    <hyperlink ref="L140" r:id="rId113" display="https://www.coned.com/_external/cerates/documents/elecPSC10/MACAdjCurrentPSCNo10.pdf" xr:uid="{C52E6AB6-13FD-431B-AA38-3BB94BE9448C}"/>
    <hyperlink ref="M140" r:id="rId114" display="https://www.coned.com/_external/cerates/documents/elecPSC10/MACAdjCurrentPSCNo10.pdf" xr:uid="{AE264670-B2F0-4DEF-8C05-D0BC08873C32}"/>
    <hyperlink ref="N140" r:id="rId115" display="https://www.coned.com/_external/cerates/documents/elecPSC10/StatSBC-11.pdf" xr:uid="{C6B0FECA-78D3-43BA-8D86-51CFDEC613A8}"/>
    <hyperlink ref="P140" r:id="rId116" display="https://www.coned.com/_external/cerates/documents/elecPSC10/StatVDER-CR-4.pdf" xr:uid="{3DF26F55-4CCC-4748-B535-33898B38BA56}"/>
    <hyperlink ref="R140" r:id="rId117" display="https://www.coned.com/_external/cerates/documents/elecPSC10/StatMFC-111.pdf" xr:uid="{4A47750F-036A-4F3A-A857-F055D33A5B73}"/>
    <hyperlink ref="S140" r:id="rId118" display="https://www.coned.com/_external/cerates/documents/elecPSC10/StatGRT-20.pdf" xr:uid="{937D06E3-2AD4-4140-A655-BE84240DFC60}"/>
    <hyperlink ref="T140" r:id="rId119" display="https://www.coned.com/_external/cerates/documents/elecPSC10/StatGRT-21.pdf" xr:uid="{35E144F5-82CF-4CAE-9AAA-7937EF365565}"/>
    <hyperlink ref="U140" r:id="rId120" display="https://www.coned.com/_external/cerates/documents/elecPSC10/MACAdjCurrentPSCNo10.pdf" xr:uid="{9DC35D6A-969F-447E-8113-4F97BF728AE2}"/>
    <hyperlink ref="V140" r:id="rId121" display="https://www.coned.com/_external/cerates/documents/elecPSC10/MSCAdjCurrentPSCNo10.pdf" xr:uid="{9EC98A58-AEE3-4369-A18A-0FD71B631387}"/>
    <hyperlink ref="W140" r:id="rId122" location="page=2" display="https://www.coned.com/_external/cerates/documents/elecPSC10/MSCAdjCurrentPSCNo10.pdf - page=2" xr:uid="{A8807F5D-DF5B-4784-AB76-DA6A3E4EBE30}"/>
    <hyperlink ref="Y140" r:id="rId123" display="https://www.coned.com/_external/cerates/documents/elecPSC10/StatCESD-1.pdf" xr:uid="{657E28F4-A665-43C4-9B3F-25F86CAE971A}"/>
    <hyperlink ref="Z140" r:id="rId124" display="https://www.coned.com/_external/cerates/documents/elecPSC10/StatCESS-5.pdf" xr:uid="{1E9851E3-CA5F-4C66-9581-6EA1426F5747}"/>
    <hyperlink ref="AA140" r:id="rId125" display="https://www.coned.com/_external/cerates/documents/elecPSC10/StatDLM-4.pdf" xr:uid="{899B8A39-D513-4C8C-856C-12DE2C2E66E2}"/>
    <hyperlink ref="AC140" r:id="rId126" display="https://www.coned.com/_external/cerates/documents/elecPSC10/StatVDER-CR-4.pdf" xr:uid="{A82FBC79-6AD6-4E5A-9E4D-8A6A3A20F7DC}"/>
    <hyperlink ref="E140" r:id="rId127" location="page=519" display="https://www.coned.com/_external/cerates/documents/elecPSC10/electric-tariff.pdf - page=519" xr:uid="{47D20301-9459-4957-93FF-75D15C5D14ED}"/>
  </hyperlinks>
  <pageMargins left="0.7" right="0.7" top="0.75" bottom="0.75" header="0.3" footer="0.3"/>
  <pageSetup orientation="portrait" horizontalDpi="1200" verticalDpi="1200" r:id="rId128"/>
  <legacyDrawing r:id="rId1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6ED2-817E-4D2A-8A6B-75E632E545AF}">
  <dimension ref="B3:AC57"/>
  <sheetViews>
    <sheetView topLeftCell="B24" workbookViewId="0">
      <selection activeCell="B32" sqref="B32:N57"/>
    </sheetView>
  </sheetViews>
  <sheetFormatPr defaultRowHeight="14.5" x14ac:dyDescent="0.35"/>
  <cols>
    <col min="2" max="2" width="48.1796875" bestFit="1" customWidth="1"/>
    <col min="3" max="3" width="11.08984375" style="64" bestFit="1" customWidth="1"/>
    <col min="4" max="4" width="9.453125" style="64" bestFit="1" customWidth="1"/>
    <col min="5" max="5" width="11.81640625" style="64" bestFit="1" customWidth="1"/>
    <col min="6" max="6" width="9.81640625" style="64" bestFit="1" customWidth="1"/>
    <col min="7" max="14" width="9.453125" style="64" bestFit="1" customWidth="1"/>
    <col min="15" max="15" width="26.36328125" style="64" customWidth="1"/>
    <col min="16" max="16" width="46.26953125" bestFit="1" customWidth="1"/>
    <col min="17" max="17" width="50.453125" bestFit="1" customWidth="1"/>
    <col min="18" max="18" width="11.08984375" bestFit="1" customWidth="1"/>
    <col min="19" max="23" width="7.1796875" bestFit="1" customWidth="1"/>
    <col min="24" max="28" width="6.36328125" bestFit="1" customWidth="1"/>
    <col min="29" max="29" width="7.1796875" bestFit="1" customWidth="1"/>
  </cols>
  <sheetData>
    <row r="3" spans="2:29" x14ac:dyDescent="0.35">
      <c r="C3" s="65" t="s">
        <v>25</v>
      </c>
      <c r="O3"/>
      <c r="R3" s="65" t="s">
        <v>25</v>
      </c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</row>
    <row r="4" spans="2:29" x14ac:dyDescent="0.35">
      <c r="B4" s="33" t="s">
        <v>30</v>
      </c>
      <c r="C4" s="64">
        <v>1</v>
      </c>
      <c r="D4" s="64">
        <v>2</v>
      </c>
      <c r="E4" s="64">
        <v>3</v>
      </c>
      <c r="F4" s="64">
        <v>4</v>
      </c>
      <c r="G4" s="64">
        <v>5</v>
      </c>
      <c r="H4" s="64">
        <v>6</v>
      </c>
      <c r="I4" s="64">
        <v>7</v>
      </c>
      <c r="J4" s="64">
        <v>8</v>
      </c>
      <c r="K4" s="64">
        <v>9</v>
      </c>
      <c r="L4" s="64">
        <v>10</v>
      </c>
      <c r="M4" s="64">
        <v>11</v>
      </c>
      <c r="N4" s="64">
        <v>12</v>
      </c>
      <c r="O4" s="67" t="s">
        <v>54</v>
      </c>
      <c r="Q4" s="33" t="s">
        <v>30</v>
      </c>
      <c r="R4" s="64">
        <v>1</v>
      </c>
      <c r="S4" s="64">
        <v>2</v>
      </c>
      <c r="T4" s="64">
        <v>3</v>
      </c>
      <c r="U4" s="64">
        <v>4</v>
      </c>
      <c r="V4" s="64">
        <v>5</v>
      </c>
      <c r="W4" s="64">
        <v>6</v>
      </c>
      <c r="X4" s="64">
        <v>7</v>
      </c>
      <c r="Y4" s="64">
        <v>8</v>
      </c>
      <c r="Z4" s="64">
        <v>9</v>
      </c>
      <c r="AA4" s="64">
        <v>10</v>
      </c>
      <c r="AB4" s="64">
        <v>11</v>
      </c>
      <c r="AC4" s="64">
        <v>12</v>
      </c>
    </row>
    <row r="5" spans="2:29" x14ac:dyDescent="0.35">
      <c r="B5" t="s">
        <v>28</v>
      </c>
      <c r="C5" s="66">
        <v>188.28</v>
      </c>
      <c r="D5" s="66">
        <v>188.52</v>
      </c>
      <c r="E5" s="66">
        <v>188.52</v>
      </c>
      <c r="F5" s="66">
        <v>190.1</v>
      </c>
      <c r="G5" s="66">
        <v>190.1</v>
      </c>
      <c r="H5" s="66">
        <v>190.1</v>
      </c>
      <c r="I5" s="66">
        <v>173.6</v>
      </c>
      <c r="J5" s="66">
        <v>173.6</v>
      </c>
      <c r="K5" s="66">
        <v>173.6</v>
      </c>
      <c r="L5" s="66">
        <v>173.6</v>
      </c>
      <c r="M5" s="66">
        <v>173.6</v>
      </c>
      <c r="N5" s="66">
        <v>173.6</v>
      </c>
      <c r="O5" t="s">
        <v>55</v>
      </c>
      <c r="Q5" t="s">
        <v>82</v>
      </c>
      <c r="R5" s="68">
        <v>0.52094320053320964</v>
      </c>
      <c r="S5" s="68">
        <v>0.52842820102290211</v>
      </c>
      <c r="T5" s="68">
        <v>0.52842820102290211</v>
      </c>
      <c r="U5" s="68">
        <v>0.21850039872374513</v>
      </c>
      <c r="V5" s="68">
        <v>0.21850039872374513</v>
      </c>
      <c r="W5" s="68">
        <v>0.21850039872374513</v>
      </c>
      <c r="X5" s="68">
        <v>7.2362722698693205E-2</v>
      </c>
      <c r="Y5" s="68">
        <v>7.2362722698693205E-2</v>
      </c>
      <c r="Z5" s="68">
        <v>7.2362722698693205E-2</v>
      </c>
      <c r="AA5" s="68">
        <v>7.2362722698693205E-2</v>
      </c>
      <c r="AB5" s="68">
        <v>7.2362722698693205E-2</v>
      </c>
      <c r="AC5" s="68">
        <v>7.2362722698693205E-2</v>
      </c>
    </row>
    <row r="6" spans="2:29" x14ac:dyDescent="0.35">
      <c r="B6" t="s">
        <v>29</v>
      </c>
      <c r="C6" s="66">
        <v>1.10433</v>
      </c>
      <c r="D6" s="66">
        <v>1.11467</v>
      </c>
      <c r="E6" s="66">
        <v>1.1148</v>
      </c>
      <c r="F6" s="66">
        <v>1.1370000000000002</v>
      </c>
      <c r="G6" s="66">
        <v>1.1370000000000002</v>
      </c>
      <c r="H6" s="66">
        <v>1.1370000000000002</v>
      </c>
      <c r="I6" s="66">
        <v>1.0172400000000001</v>
      </c>
      <c r="J6" s="66">
        <v>1.0172400000000001</v>
      </c>
      <c r="K6" s="66">
        <v>1.0172400000000001</v>
      </c>
      <c r="L6" s="66">
        <v>1.02732</v>
      </c>
      <c r="M6" s="66">
        <v>1.02732</v>
      </c>
      <c r="N6" s="66">
        <v>1.0172400000000001</v>
      </c>
      <c r="O6" t="s">
        <v>78</v>
      </c>
      <c r="Q6" t="s">
        <v>83</v>
      </c>
      <c r="R6" s="68">
        <v>1.5292173949145019E-2</v>
      </c>
      <c r="S6" s="68">
        <v>1.5612537187281336E-2</v>
      </c>
      <c r="T6" s="68">
        <v>1.5609592621788059E-2</v>
      </c>
      <c r="U6" s="68">
        <v>1.3384248544124766E-2</v>
      </c>
      <c r="V6" s="68">
        <v>1.3384248544124766E-2</v>
      </c>
      <c r="W6" s="68">
        <v>1.3384248544124766E-2</v>
      </c>
      <c r="X6" s="68">
        <v>1.1349693628223812E-2</v>
      </c>
      <c r="Y6" s="68">
        <v>1.1349693628223812E-2</v>
      </c>
      <c r="Z6" s="68">
        <v>1.1349693628223812E-2</v>
      </c>
      <c r="AA6" s="68">
        <v>9.8495716565838824E-3</v>
      </c>
      <c r="AB6" s="68">
        <v>9.8495716565838824E-3</v>
      </c>
      <c r="AC6" s="68">
        <v>1.1349693628223812E-2</v>
      </c>
    </row>
    <row r="7" spans="2:29" x14ac:dyDescent="0.35">
      <c r="B7" t="s">
        <v>31</v>
      </c>
      <c r="C7" s="66">
        <v>1.0989500000000001</v>
      </c>
      <c r="D7" s="66">
        <v>1.1092900000000001</v>
      </c>
      <c r="E7" s="66">
        <v>1.1094200000000001</v>
      </c>
      <c r="F7" s="66">
        <v>1.1370000000000002</v>
      </c>
      <c r="G7" s="66">
        <v>1.1370000000000002</v>
      </c>
      <c r="H7" s="66">
        <v>1.3077100000000002</v>
      </c>
      <c r="I7" s="66">
        <v>1.17005</v>
      </c>
      <c r="J7" s="66">
        <v>1.17005</v>
      </c>
      <c r="K7" s="66">
        <v>1.17005</v>
      </c>
      <c r="L7" s="66">
        <v>1.02732</v>
      </c>
      <c r="M7" s="66">
        <v>1.02732</v>
      </c>
      <c r="N7" s="66">
        <v>1.0172400000000001</v>
      </c>
      <c r="O7" t="s">
        <v>77</v>
      </c>
      <c r="Q7" t="s">
        <v>84</v>
      </c>
      <c r="R7" s="68">
        <v>1.6155444597766858E-2</v>
      </c>
      <c r="S7" s="68">
        <v>1.6484598574169569E-2</v>
      </c>
      <c r="T7" s="68">
        <v>1.6482131279514506E-2</v>
      </c>
      <c r="U7" s="68">
        <v>1.3384248544124766E-2</v>
      </c>
      <c r="V7" s="68">
        <v>1.3384248544124766E-2</v>
      </c>
      <c r="W7" s="68">
        <v>1.5280154960145552E-2</v>
      </c>
      <c r="X7" s="68">
        <v>1.292569055654811E-2</v>
      </c>
      <c r="Y7" s="68">
        <v>1.292569055654811E-2</v>
      </c>
      <c r="Z7" s="68">
        <v>1.292569055654811E-2</v>
      </c>
      <c r="AA7" s="68">
        <v>9.8495716565838824E-3</v>
      </c>
      <c r="AB7" s="68">
        <v>9.8495716565838824E-3</v>
      </c>
      <c r="AC7" s="68">
        <v>1.1349693628223812E-2</v>
      </c>
    </row>
    <row r="8" spans="2:29" x14ac:dyDescent="0.35">
      <c r="B8" t="s">
        <v>32</v>
      </c>
      <c r="C8" s="66">
        <v>7.6000000000000004E-4</v>
      </c>
      <c r="D8" s="66">
        <v>7.9799999999999999E-4</v>
      </c>
      <c r="E8" s="66">
        <v>9.3000000000000146E-5</v>
      </c>
      <c r="F8" s="66">
        <v>-3.0699999999999987E-4</v>
      </c>
      <c r="G8" s="66">
        <v>-3.0699999999999987E-4</v>
      </c>
      <c r="H8" s="66">
        <v>1.110000000000002E-4</v>
      </c>
      <c r="I8" s="66">
        <v>-3.0699999999999987E-4</v>
      </c>
      <c r="J8" s="66">
        <v>-3.0699999999999987E-4</v>
      </c>
      <c r="K8" s="66">
        <v>-3.0699999999999987E-4</v>
      </c>
      <c r="L8" s="66">
        <v>-6.8699999999999989E-4</v>
      </c>
      <c r="M8" s="66">
        <v>-6.8699999999999989E-4</v>
      </c>
      <c r="N8" s="66">
        <v>-3.0699999999999987E-4</v>
      </c>
      <c r="O8" t="s">
        <v>56</v>
      </c>
      <c r="Q8" t="s">
        <v>85</v>
      </c>
      <c r="R8" s="68">
        <v>1.5371756864161922E-4</v>
      </c>
      <c r="S8" s="68">
        <v>3.28913168978186E-4</v>
      </c>
      <c r="T8" s="68">
        <v>5.2296526914057378E-4</v>
      </c>
      <c r="U8" s="68">
        <v>3.8889418986286093E-4</v>
      </c>
      <c r="V8" s="68">
        <v>3.8889418986286093E-4</v>
      </c>
      <c r="W8" s="68">
        <v>4.1165020455368525E-4</v>
      </c>
      <c r="X8" s="68">
        <v>4.0981433465520566E-4</v>
      </c>
      <c r="Y8" s="68">
        <v>4.0981433465520566E-4</v>
      </c>
      <c r="Z8" s="68">
        <v>4.0981433465520566E-4</v>
      </c>
      <c r="AA8" s="68">
        <v>3.8432597564509681E-4</v>
      </c>
      <c r="AB8" s="68">
        <v>3.8432597564509681E-4</v>
      </c>
      <c r="AC8" s="68">
        <v>4.0981433465520566E-4</v>
      </c>
    </row>
    <row r="9" spans="2:29" x14ac:dyDescent="0.35">
      <c r="B9" t="s">
        <v>33</v>
      </c>
      <c r="C9" s="66">
        <v>13.579999999999998</v>
      </c>
      <c r="D9" s="66">
        <v>13.659999999999998</v>
      </c>
      <c r="E9" s="66">
        <v>13.819999999999999</v>
      </c>
      <c r="F9" s="66">
        <v>13.919999999999998</v>
      </c>
      <c r="G9" s="66">
        <v>13.919999999999998</v>
      </c>
      <c r="H9" s="66">
        <v>13.919999999999998</v>
      </c>
      <c r="I9" s="66">
        <v>12.639999999999999</v>
      </c>
      <c r="J9" s="66">
        <v>12.639999999999999</v>
      </c>
      <c r="K9" s="66">
        <v>12.639999999999999</v>
      </c>
      <c r="L9" s="66">
        <v>12.639999999999999</v>
      </c>
      <c r="M9" s="66">
        <v>12.639999999999999</v>
      </c>
      <c r="N9" s="66">
        <v>12.639999999999999</v>
      </c>
      <c r="O9" t="s">
        <v>57</v>
      </c>
      <c r="Q9" t="s">
        <v>86</v>
      </c>
      <c r="R9" s="68">
        <v>0.10460604304926399</v>
      </c>
      <c r="S9" s="68">
        <v>0.111667797371029</v>
      </c>
      <c r="T9" s="68">
        <v>0.10836246694508381</v>
      </c>
      <c r="U9" s="68">
        <v>9.3419873299384518E-2</v>
      </c>
      <c r="V9" s="68">
        <v>9.3419873299384518E-2</v>
      </c>
      <c r="W9" s="68">
        <v>9.3419873299384518E-2</v>
      </c>
      <c r="X9" s="68">
        <v>8.9605194654612932E-2</v>
      </c>
      <c r="Y9" s="68">
        <v>8.9605194654612932E-2</v>
      </c>
      <c r="Z9" s="68">
        <v>8.9605194654612932E-2</v>
      </c>
      <c r="AA9" s="68">
        <v>8.9605194654612932E-2</v>
      </c>
      <c r="AB9" s="68">
        <v>8.9605194654612932E-2</v>
      </c>
      <c r="AC9" s="68">
        <v>8.9605194654612932E-2</v>
      </c>
    </row>
    <row r="10" spans="2:29" x14ac:dyDescent="0.35">
      <c r="B10" t="s">
        <v>34</v>
      </c>
      <c r="C10" s="66">
        <v>5.4216E-2</v>
      </c>
      <c r="D10" s="66">
        <v>3.6593000000000001E-2</v>
      </c>
      <c r="E10" s="66">
        <v>3.6593000000000001E-2</v>
      </c>
      <c r="F10" s="66">
        <v>3.7701499999999999E-2</v>
      </c>
      <c r="G10" s="66">
        <v>4.3317999999999995E-2</v>
      </c>
      <c r="H10" s="66">
        <v>4.1437000000000002E-2</v>
      </c>
      <c r="I10" s="66">
        <v>5.5676999999999997E-2</v>
      </c>
      <c r="J10" s="66">
        <v>4.4970999999999997E-2</v>
      </c>
      <c r="K10" s="66">
        <v>3.5374000000000003E-2</v>
      </c>
      <c r="L10" s="66">
        <v>5.1735000000000003E-2</v>
      </c>
      <c r="M10" s="66">
        <v>4.8770000000000008E-2</v>
      </c>
      <c r="N10" s="66">
        <v>4.6921000000000004E-2</v>
      </c>
      <c r="O10" t="s">
        <v>58</v>
      </c>
      <c r="Q10" t="s">
        <v>87</v>
      </c>
      <c r="R10" s="68">
        <v>4.0829423214147906E-3</v>
      </c>
      <c r="S10" s="68">
        <v>6.83577741084407E-3</v>
      </c>
      <c r="T10" s="68">
        <v>6.83577741084407E-3</v>
      </c>
      <c r="U10" s="68">
        <v>6.8134771708135171E-3</v>
      </c>
      <c r="V10" s="68">
        <v>6.6900396089781839E-3</v>
      </c>
      <c r="W10" s="68">
        <v>6.2538961304618784E-3</v>
      </c>
      <c r="X10" s="68">
        <v>2.9785824267136328E-3</v>
      </c>
      <c r="Y10" s="68">
        <v>3.1465727733808765E-3</v>
      </c>
      <c r="Z10" s="68">
        <v>5.2556662150136935E-3</v>
      </c>
      <c r="AA10" s="68">
        <v>4.0706275638574905E-3</v>
      </c>
      <c r="AB10" s="68">
        <v>3.997772561632972E-3</v>
      </c>
      <c r="AC10" s="68">
        <v>4.182843563023517E-3</v>
      </c>
    </row>
    <row r="11" spans="2:29" x14ac:dyDescent="0.35">
      <c r="B11" t="s">
        <v>35</v>
      </c>
      <c r="C11" s="66">
        <v>0.11916</v>
      </c>
      <c r="D11" s="66">
        <v>0.13473000000000002</v>
      </c>
      <c r="E11" s="66">
        <v>0.178762175</v>
      </c>
      <c r="F11" s="66">
        <v>0.19487000000000002</v>
      </c>
      <c r="G11" s="66">
        <v>0.13287199999999999</v>
      </c>
      <c r="H11" s="66">
        <v>0.13324000000000003</v>
      </c>
      <c r="I11" s="66">
        <v>8.7660000000000002E-2</v>
      </c>
      <c r="J11" s="66">
        <v>9.0010000000000021E-2</v>
      </c>
      <c r="K11" s="66">
        <v>0.11318</v>
      </c>
      <c r="L11" s="66">
        <v>0.10451000000000001</v>
      </c>
      <c r="M11" s="66">
        <v>0.16185000000000002</v>
      </c>
      <c r="N11" s="66">
        <v>0.13400000000000001</v>
      </c>
      <c r="O11" t="s">
        <v>79</v>
      </c>
      <c r="Q11" t="s">
        <v>88</v>
      </c>
      <c r="R11" s="68">
        <v>5.2628042991269483E-3</v>
      </c>
      <c r="S11" s="68">
        <v>5.0537189276808787E-3</v>
      </c>
      <c r="T11" s="68">
        <v>5.2618013075637305E-3</v>
      </c>
      <c r="U11" s="68">
        <v>5.4279235245053691E-3</v>
      </c>
      <c r="V11" s="68">
        <v>5.6717903111216435E-3</v>
      </c>
      <c r="W11" s="68">
        <v>3.9786231819867457E-3</v>
      </c>
      <c r="X11" s="68">
        <v>2.8641559124651501E-3</v>
      </c>
      <c r="Y11" s="68">
        <v>2.6845114673217092E-3</v>
      </c>
      <c r="Z11" s="68">
        <v>3.4044954238343535E-3</v>
      </c>
      <c r="AA11" s="68">
        <v>3.8517851823419579E-3</v>
      </c>
      <c r="AB11" s="68">
        <v>4.6434282006450099E-3</v>
      </c>
      <c r="AC11" s="68">
        <v>4.5132489809045859E-3</v>
      </c>
    </row>
    <row r="12" spans="2:29" x14ac:dyDescent="0.35">
      <c r="B12" t="s">
        <v>36</v>
      </c>
      <c r="C12" s="66">
        <v>1.4220000000000001E-3</v>
      </c>
      <c r="D12" s="66">
        <v>1.6399999999999997E-3</v>
      </c>
      <c r="E12" s="66">
        <v>1.2520000000000001E-3</v>
      </c>
      <c r="F12" s="66">
        <v>1.1740000000000001E-3</v>
      </c>
      <c r="G12" s="66">
        <v>1.2339999999999999E-3</v>
      </c>
      <c r="H12" s="66">
        <v>1.0449999999999999E-3</v>
      </c>
      <c r="I12" s="66">
        <v>8.0799999999999991E-4</v>
      </c>
      <c r="J12" s="66">
        <v>8.9999999999999998E-4</v>
      </c>
      <c r="K12" s="66">
        <v>8.5199999999999989E-4</v>
      </c>
      <c r="L12" s="66">
        <v>7.3899999999999997E-4</v>
      </c>
      <c r="M12" s="66">
        <v>9.369999999999999E-4</v>
      </c>
      <c r="N12" s="66">
        <v>1.0139999999999999E-3</v>
      </c>
      <c r="O12" t="s">
        <v>60</v>
      </c>
      <c r="Q12" t="s">
        <v>89</v>
      </c>
      <c r="R12" s="68">
        <v>4.6010868281309348E-5</v>
      </c>
      <c r="S12" s="68">
        <v>5.4729638527340388E-5</v>
      </c>
      <c r="T12" s="68">
        <v>7.2140435431472302E-5</v>
      </c>
      <c r="U12" s="68">
        <v>9.9010406554364802E-5</v>
      </c>
      <c r="V12" s="68">
        <v>9.9803291377073192E-5</v>
      </c>
      <c r="W12" s="68">
        <v>7.3371357222052637E-5</v>
      </c>
      <c r="X12" s="68">
        <v>5.610412397741124E-5</v>
      </c>
      <c r="Y12" s="68">
        <v>3.4862065864828436E-5</v>
      </c>
      <c r="Z12" s="68">
        <v>2.1736437777904866E-5</v>
      </c>
      <c r="AA12" s="68">
        <v>3.010587378508777E-5</v>
      </c>
      <c r="AB12" s="68">
        <v>3.1377757032070313E-5</v>
      </c>
      <c r="AC12" s="68">
        <v>5.5567649188746846E-5</v>
      </c>
    </row>
    <row r="13" spans="2:29" x14ac:dyDescent="0.35">
      <c r="B13" t="s">
        <v>37</v>
      </c>
      <c r="C13" s="66">
        <v>-5.399999999999999E-4</v>
      </c>
      <c r="D13" s="66">
        <v>-5.399999999999999E-4</v>
      </c>
      <c r="E13" s="66">
        <v>-5.6599999999999988E-4</v>
      </c>
      <c r="F13" s="66">
        <v>-5.5899999999999993E-4</v>
      </c>
      <c r="G13" s="66">
        <v>-5.7799999999999985E-4</v>
      </c>
      <c r="H13" s="66">
        <v>-5.7799999999999985E-4</v>
      </c>
      <c r="I13" s="66">
        <v>-5.7699999999999982E-4</v>
      </c>
      <c r="J13" s="66">
        <v>-5.7699999999999982E-4</v>
      </c>
      <c r="K13" s="66">
        <v>-5.7699999999999982E-4</v>
      </c>
      <c r="L13" s="66">
        <v>-6.7299999999999988E-4</v>
      </c>
      <c r="M13" s="66">
        <v>-6.7299999999999988E-4</v>
      </c>
      <c r="N13" s="66">
        <v>-5.7699999999999982E-4</v>
      </c>
      <c r="O13" t="s">
        <v>59</v>
      </c>
      <c r="Q13" t="s">
        <v>90</v>
      </c>
      <c r="R13" s="68">
        <v>4.6805205615692729E-5</v>
      </c>
      <c r="S13" s="68">
        <v>4.6805205615692729E-5</v>
      </c>
      <c r="T13" s="68">
        <v>4.6649239170124915E-5</v>
      </c>
      <c r="U13" s="68">
        <v>4.7088810354542414E-5</v>
      </c>
      <c r="V13" s="68">
        <v>4.6092463066266618E-5</v>
      </c>
      <c r="W13" s="68">
        <v>4.6092463066266618E-5</v>
      </c>
      <c r="X13" s="68">
        <v>4.576322461619951E-5</v>
      </c>
      <c r="Y13" s="68">
        <v>4.576322461619951E-5</v>
      </c>
      <c r="Z13" s="68">
        <v>4.576322461619951E-5</v>
      </c>
      <c r="AA13" s="68">
        <v>4.6218650308762132E-5</v>
      </c>
      <c r="AB13" s="68">
        <v>4.6218650308762132E-5</v>
      </c>
      <c r="AC13" s="68">
        <v>4.576322461619951E-5</v>
      </c>
    </row>
    <row r="14" spans="2:29" x14ac:dyDescent="0.35">
      <c r="B14" t="s">
        <v>38</v>
      </c>
      <c r="C14" s="66">
        <v>5.7700000000000001E-2</v>
      </c>
      <c r="D14" s="66">
        <v>5.57E-2</v>
      </c>
      <c r="E14" s="66">
        <v>5.8099999999999999E-2</v>
      </c>
      <c r="F14" s="66">
        <v>5.8300000000000005E-2</v>
      </c>
      <c r="G14" s="66">
        <v>5.8300000000000005E-2</v>
      </c>
      <c r="H14" s="66">
        <v>5.8300000000000005E-2</v>
      </c>
      <c r="I14" s="66">
        <v>5.2900000000000003E-2</v>
      </c>
      <c r="J14" s="66">
        <v>5.2900000000000003E-2</v>
      </c>
      <c r="K14" s="66">
        <v>5.2900000000000003E-2</v>
      </c>
      <c r="L14" s="66">
        <v>4.8099999999999997E-2</v>
      </c>
      <c r="M14" s="66">
        <v>4.8099999999999997E-2</v>
      </c>
      <c r="N14" s="66">
        <v>5.16E-2</v>
      </c>
      <c r="O14" t="s">
        <v>61</v>
      </c>
      <c r="Q14" t="s">
        <v>91</v>
      </c>
      <c r="R14" s="68">
        <v>1.3500561155565046E-3</v>
      </c>
      <c r="S14" s="68">
        <v>1.4939017451768464E-3</v>
      </c>
      <c r="T14" s="68">
        <v>1.5311661232438811E-3</v>
      </c>
      <c r="U14" s="68">
        <v>1.5270043956198767E-3</v>
      </c>
      <c r="V14" s="68">
        <v>1.5270043956198767E-3</v>
      </c>
      <c r="W14" s="68">
        <v>1.5270043956198767E-3</v>
      </c>
      <c r="X14" s="68">
        <v>1.5915115742303257E-3</v>
      </c>
      <c r="Y14" s="68">
        <v>1.5915115742303257E-3</v>
      </c>
      <c r="Z14" s="68">
        <v>1.5915115742303257E-3</v>
      </c>
      <c r="AA14" s="68">
        <v>2.1062245412542834E-3</v>
      </c>
      <c r="AB14" s="68">
        <v>2.1062245412542834E-3</v>
      </c>
      <c r="AC14" s="68">
        <v>1.8245298273552812E-3</v>
      </c>
    </row>
    <row r="15" spans="2:29" x14ac:dyDescent="0.35">
      <c r="B15" t="s">
        <v>39</v>
      </c>
      <c r="C15" s="66">
        <v>1.4499999999999999E-2</v>
      </c>
      <c r="D15" s="66">
        <v>1.4499999999999999E-2</v>
      </c>
      <c r="E15" s="66">
        <v>1.2299999999999998E-2</v>
      </c>
      <c r="F15" s="66">
        <v>1.2299999999999998E-2</v>
      </c>
      <c r="G15" s="66">
        <v>1.2299999999999998E-2</v>
      </c>
      <c r="H15" s="66">
        <v>1.2299999999999998E-2</v>
      </c>
      <c r="I15" s="66">
        <v>1.26E-2</v>
      </c>
      <c r="J15" s="66">
        <v>1.26E-2</v>
      </c>
      <c r="K15" s="66">
        <v>1.26E-2</v>
      </c>
      <c r="L15" s="66">
        <v>1.3899999999999999E-2</v>
      </c>
      <c r="M15" s="66">
        <v>1.3899999999999999E-2</v>
      </c>
      <c r="N15" s="66">
        <v>1.3500000000000002E-2</v>
      </c>
      <c r="O15" t="s">
        <v>62</v>
      </c>
      <c r="Q15" t="s">
        <v>92</v>
      </c>
      <c r="R15" s="68">
        <v>9.6130491669248425E-4</v>
      </c>
      <c r="S15" s="68">
        <v>9.6130491669248425E-4</v>
      </c>
      <c r="T15" s="68">
        <v>1.1338146736948305E-3</v>
      </c>
      <c r="U15" s="68">
        <v>1.1338146736948305E-3</v>
      </c>
      <c r="V15" s="68">
        <v>1.1338146736948305E-3</v>
      </c>
      <c r="W15" s="68">
        <v>1.1338146736948305E-3</v>
      </c>
      <c r="X15" s="68">
        <v>1.1183533814113878E-3</v>
      </c>
      <c r="Y15" s="68">
        <v>1.1183533814113878E-3</v>
      </c>
      <c r="Z15" s="68">
        <v>1.1183533814113878E-3</v>
      </c>
      <c r="AA15" s="68">
        <v>1.1312919289782938E-3</v>
      </c>
      <c r="AB15" s="68">
        <v>9.5817286441186519E-4</v>
      </c>
      <c r="AC15" s="68">
        <v>9.7590007294853277E-4</v>
      </c>
    </row>
    <row r="16" spans="2:29" x14ac:dyDescent="0.35">
      <c r="B16" t="s">
        <v>40</v>
      </c>
      <c r="C16" s="66">
        <v>1E-4</v>
      </c>
      <c r="D16" s="66">
        <v>1E-4</v>
      </c>
      <c r="E16" s="66">
        <v>1E-4</v>
      </c>
      <c r="F16" s="66">
        <v>1E-4</v>
      </c>
      <c r="G16" s="66">
        <v>1E-4</v>
      </c>
      <c r="H16" s="66">
        <v>1E-4</v>
      </c>
      <c r="I16" s="66"/>
      <c r="J16" s="66"/>
      <c r="K16" s="66"/>
      <c r="L16" s="66"/>
      <c r="M16" s="66"/>
      <c r="N16" s="66">
        <v>1E-4</v>
      </c>
      <c r="O16" t="s">
        <v>63</v>
      </c>
      <c r="Q16" t="s">
        <v>93</v>
      </c>
      <c r="R16" s="68" t="e">
        <v>#DIV/0!</v>
      </c>
      <c r="S16" s="68" t="e">
        <v>#DIV/0!</v>
      </c>
      <c r="T16" s="68" t="e">
        <v>#DIV/0!</v>
      </c>
      <c r="U16" s="68" t="e">
        <v>#DIV/0!</v>
      </c>
      <c r="V16" s="68" t="e">
        <v>#DIV/0!</v>
      </c>
      <c r="W16" s="68" t="e">
        <v>#DIV/0!</v>
      </c>
      <c r="X16" s="68"/>
      <c r="Y16" s="68"/>
      <c r="Z16" s="68"/>
      <c r="AA16" s="68"/>
      <c r="AB16" s="68"/>
      <c r="AC16" s="68" t="e">
        <v>#DIV/0!</v>
      </c>
    </row>
    <row r="17" spans="2:29" x14ac:dyDescent="0.35">
      <c r="B17" t="s">
        <v>41</v>
      </c>
      <c r="C17" s="66">
        <v>1.1425719999999999</v>
      </c>
      <c r="D17" s="66">
        <v>1.098341</v>
      </c>
      <c r="E17" s="66">
        <v>0.91772399999999998</v>
      </c>
      <c r="F17" s="66">
        <v>0.76568000000000003</v>
      </c>
      <c r="G17" s="66">
        <v>0.90746499999999997</v>
      </c>
      <c r="H17" s="66">
        <v>1.036621</v>
      </c>
      <c r="I17" s="66">
        <v>1.051728</v>
      </c>
      <c r="J17" s="66">
        <v>1.06348</v>
      </c>
      <c r="K17" s="66">
        <v>0.98507599999999995</v>
      </c>
      <c r="L17" s="66">
        <v>0.93957000000000002</v>
      </c>
      <c r="M17" s="66">
        <v>0.78478700000000001</v>
      </c>
      <c r="N17" s="66">
        <v>0.79283900000000007</v>
      </c>
      <c r="O17" t="s">
        <v>64</v>
      </c>
      <c r="Q17" t="s">
        <v>94</v>
      </c>
      <c r="R17" s="68">
        <v>4.9602005018736774E-2</v>
      </c>
      <c r="S17" s="68">
        <v>4.5388419286818783E-2</v>
      </c>
      <c r="T17" s="68">
        <v>3.4297542103824824E-2</v>
      </c>
      <c r="U17" s="68">
        <v>1.5911610028434255E-2</v>
      </c>
      <c r="V17" s="68">
        <v>1.3297107802131881E-2</v>
      </c>
      <c r="W17" s="68">
        <v>1.2384056146060913E-2</v>
      </c>
      <c r="X17" s="68">
        <v>1.3466491623824775E-2</v>
      </c>
      <c r="Y17" s="68">
        <v>1.9030504953889218E-2</v>
      </c>
      <c r="Z17" s="68">
        <v>1.4444016887782555E-2</v>
      </c>
      <c r="AA17" s="68">
        <v>1.2622096096636564E-2</v>
      </c>
      <c r="AB17" s="68">
        <v>1.9727056542175304E-2</v>
      </c>
      <c r="AC17" s="68">
        <v>1.68717290227819E-2</v>
      </c>
    </row>
    <row r="18" spans="2:29" x14ac:dyDescent="0.35">
      <c r="B18" t="s">
        <v>42</v>
      </c>
      <c r="C18" s="66">
        <v>5.2657000000000002E-2</v>
      </c>
      <c r="D18" s="66">
        <v>5.5030000000000003E-2</v>
      </c>
      <c r="E18" s="66">
        <v>6.0210000000000007E-2</v>
      </c>
      <c r="F18" s="66">
        <v>6.1035000000000006E-2</v>
      </c>
      <c r="G18" s="66">
        <v>5.8516000000000006E-2</v>
      </c>
      <c r="H18" s="66">
        <v>5.0764999999999998E-2</v>
      </c>
      <c r="I18" s="66">
        <v>4.8349000000000003E-2</v>
      </c>
      <c r="J18" s="66">
        <v>5.3595000000000004E-2</v>
      </c>
      <c r="K18" s="66">
        <v>6.1100000000000002E-2</v>
      </c>
      <c r="L18" s="66">
        <v>6.2783000000000005E-2</v>
      </c>
      <c r="M18" s="66">
        <v>5.6136000000000005E-2</v>
      </c>
      <c r="N18" s="66">
        <v>4.8029999999999996E-2</v>
      </c>
      <c r="O18" t="s">
        <v>65</v>
      </c>
      <c r="Q18" t="s">
        <v>95</v>
      </c>
      <c r="R18" s="68">
        <v>4.4565262834579043E-4</v>
      </c>
      <c r="S18" s="68">
        <v>7.081664972863256E-4</v>
      </c>
      <c r="T18" s="68">
        <v>9.1729270633255462E-4</v>
      </c>
      <c r="U18" s="68">
        <v>2.0071847822260899E-3</v>
      </c>
      <c r="V18" s="68">
        <v>7.6197892279765314E-4</v>
      </c>
      <c r="W18" s="68">
        <v>5.9853175784708231E-4</v>
      </c>
      <c r="X18" s="68">
        <v>5.9580185846089609E-4</v>
      </c>
      <c r="Y18" s="68">
        <v>7.0077472712835279E-4</v>
      </c>
      <c r="Z18" s="68">
        <v>8.610576477375198E-4</v>
      </c>
      <c r="AA18" s="68">
        <v>8.7738957865208167E-4</v>
      </c>
      <c r="AB18" s="68">
        <v>7.8238917309854123E-4</v>
      </c>
      <c r="AC18" s="68">
        <v>5.8803337876812435E-4</v>
      </c>
    </row>
    <row r="19" spans="2:29" x14ac:dyDescent="0.35">
      <c r="B19" t="s">
        <v>43</v>
      </c>
      <c r="C19" s="66">
        <v>0.28879199999999999</v>
      </c>
      <c r="D19" s="66">
        <v>0.28879199999999999</v>
      </c>
      <c r="E19" s="66">
        <v>0.28879199999999999</v>
      </c>
      <c r="F19" s="66">
        <v>0.28879199999999999</v>
      </c>
      <c r="G19" s="66">
        <v>0.28879199999999999</v>
      </c>
      <c r="H19" s="66">
        <v>0.28879199999999999</v>
      </c>
      <c r="I19" s="66">
        <v>0.26472600000000002</v>
      </c>
      <c r="J19" s="66">
        <v>0.26472600000000002</v>
      </c>
      <c r="K19" s="66">
        <v>0.26472600000000002</v>
      </c>
      <c r="L19" s="66">
        <v>0.26472600000000002</v>
      </c>
      <c r="M19" s="66">
        <v>0.26472600000000002</v>
      </c>
      <c r="N19" s="66">
        <v>0.26472600000000002</v>
      </c>
      <c r="O19" t="s">
        <v>66</v>
      </c>
      <c r="Q19" t="s">
        <v>96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0</v>
      </c>
      <c r="AC19" s="68">
        <v>0</v>
      </c>
    </row>
    <row r="20" spans="2:29" x14ac:dyDescent="0.35">
      <c r="B20" t="s">
        <v>44</v>
      </c>
      <c r="C20" s="66">
        <v>0.60438900000000007</v>
      </c>
      <c r="D20" s="66">
        <v>0.60438900000000007</v>
      </c>
      <c r="E20" s="66">
        <v>0.60438900000000007</v>
      </c>
      <c r="F20" s="66">
        <v>0.60470599999999997</v>
      </c>
      <c r="G20" s="66">
        <v>0.60470599999999997</v>
      </c>
      <c r="H20" s="66">
        <v>0.59883199999999992</v>
      </c>
      <c r="I20" s="66">
        <v>0.55551499999999998</v>
      </c>
      <c r="J20" s="66">
        <v>0.55551499999999998</v>
      </c>
      <c r="K20" s="66">
        <v>0.55551499999999998</v>
      </c>
      <c r="L20" s="66">
        <v>0.55822799999999995</v>
      </c>
      <c r="M20" s="66">
        <v>0.55822799999999995</v>
      </c>
      <c r="N20" s="66">
        <v>0.55551499999999998</v>
      </c>
      <c r="O20" t="s">
        <v>67</v>
      </c>
      <c r="Q20" t="s">
        <v>97</v>
      </c>
      <c r="R20" s="68">
        <v>1.2312730385475692E-3</v>
      </c>
      <c r="S20" s="68">
        <v>1.2312730385475692E-3</v>
      </c>
      <c r="T20" s="68">
        <v>1.2312730385475692E-3</v>
      </c>
      <c r="U20" s="68">
        <v>1.1993449601069054E-3</v>
      </c>
      <c r="V20" s="68">
        <v>1.1993449601069054E-3</v>
      </c>
      <c r="W20" s="68">
        <v>1.3320301206899512E-3</v>
      </c>
      <c r="X20" s="68">
        <v>1.1936811360432633E-3</v>
      </c>
      <c r="Y20" s="68">
        <v>1.1936811360432633E-3</v>
      </c>
      <c r="Z20" s="68">
        <v>1.1936811360432633E-3</v>
      </c>
      <c r="AA20" s="68">
        <v>1.028316974478561E-3</v>
      </c>
      <c r="AB20" s="68">
        <v>1.028316974478561E-3</v>
      </c>
      <c r="AC20" s="68">
        <v>1.1936811360432633E-3</v>
      </c>
    </row>
    <row r="21" spans="2:29" x14ac:dyDescent="0.35">
      <c r="B21" t="s">
        <v>45</v>
      </c>
      <c r="C21" s="66">
        <v>5.0363000000000005E-2</v>
      </c>
      <c r="D21" s="66">
        <v>3.2140000000000002E-2</v>
      </c>
      <c r="E21" s="66">
        <v>1.4971E-2</v>
      </c>
      <c r="F21" s="66">
        <v>-1.9078999999999999E-2</v>
      </c>
      <c r="G21" s="66">
        <v>7.5089999999999974E-3</v>
      </c>
      <c r="H21" s="66">
        <v>1.9772000000000005E-2</v>
      </c>
      <c r="I21" s="66">
        <v>7.8460000000000005E-3</v>
      </c>
      <c r="J21" s="66">
        <v>-6.0000000000000038E-4</v>
      </c>
      <c r="K21" s="66">
        <v>2.1540000000000005E-3</v>
      </c>
      <c r="L21" s="66">
        <v>2.4646999999999999E-2</v>
      </c>
      <c r="M21" s="66">
        <v>2.2099999999999998E-2</v>
      </c>
      <c r="N21" s="66">
        <v>4.1174000000000002E-2</v>
      </c>
      <c r="O21" t="s">
        <v>68</v>
      </c>
      <c r="Q21" t="s">
        <v>98</v>
      </c>
      <c r="R21" s="68">
        <v>3.3514729857545352E-3</v>
      </c>
      <c r="S21" s="68">
        <v>8.9556636151587789E-3</v>
      </c>
      <c r="T21" s="68">
        <v>3.2559849636221191E-3</v>
      </c>
      <c r="U21" s="68">
        <v>3.8452984387864269E-3</v>
      </c>
      <c r="V21" s="68">
        <v>3.625852053467759E-3</v>
      </c>
      <c r="W21" s="68">
        <v>2.1340781843619729E-3</v>
      </c>
      <c r="X21" s="68">
        <v>2.0513823676198977E-3</v>
      </c>
      <c r="Y21" s="68">
        <v>2.4501586219523161E-3</v>
      </c>
      <c r="Z21" s="68">
        <v>1.7905210871800321E-3</v>
      </c>
      <c r="AA21" s="68">
        <v>2.1539995019835673E-3</v>
      </c>
      <c r="AB21" s="68">
        <v>2.7376900282736708E-3</v>
      </c>
      <c r="AC21" s="68">
        <v>3.8476977390264283E-3</v>
      </c>
    </row>
    <row r="22" spans="2:29" x14ac:dyDescent="0.35">
      <c r="B22" t="s">
        <v>46</v>
      </c>
      <c r="C22" s="66">
        <v>-7.7009000000000008E-2</v>
      </c>
      <c r="D22" s="66">
        <v>1.1287999999999994E-2</v>
      </c>
      <c r="E22" s="66">
        <v>-3.0295000000000002E-2</v>
      </c>
      <c r="F22" s="66">
        <v>-1.1506000000000004E-2</v>
      </c>
      <c r="G22" s="66">
        <v>-2.6103999999999999E-2</v>
      </c>
      <c r="H22" s="66">
        <v>1.0214999999999998E-2</v>
      </c>
      <c r="I22" s="66">
        <v>-2.6010999999999999E-2</v>
      </c>
      <c r="J22" s="66">
        <v>-0.147423</v>
      </c>
      <c r="K22" s="66">
        <v>-0.107167</v>
      </c>
      <c r="L22" s="66">
        <v>-8.2683000000000006E-2</v>
      </c>
      <c r="M22" s="66">
        <v>-7.557800000000002E-2</v>
      </c>
      <c r="N22" s="66">
        <v>-5.1193000000000002E-2</v>
      </c>
      <c r="O22" t="s">
        <v>69</v>
      </c>
      <c r="Q22" t="s">
        <v>99</v>
      </c>
      <c r="R22" s="68">
        <v>7.1007230420357167E-3</v>
      </c>
      <c r="S22" s="68">
        <v>1.7670158188998829E-2</v>
      </c>
      <c r="T22" s="68">
        <v>6.9099325935185283E-3</v>
      </c>
      <c r="U22" s="68">
        <v>7.3439936476667579E-3</v>
      </c>
      <c r="V22" s="68">
        <v>8.2885685608480551E-3</v>
      </c>
      <c r="W22" s="68">
        <v>7.6456572596355762E-3</v>
      </c>
      <c r="X22" s="68">
        <v>7.5026065506959283E-3</v>
      </c>
      <c r="Y22" s="68">
        <v>8.9256203532812814E-3</v>
      </c>
      <c r="Z22" s="68">
        <v>1.1602204655699161E-2</v>
      </c>
      <c r="AA22" s="68">
        <v>4.2961812408865421E-3</v>
      </c>
      <c r="AB22" s="68">
        <v>8.8773886711229332E-3</v>
      </c>
      <c r="AC22" s="68">
        <v>3.4808592747925171E-3</v>
      </c>
    </row>
    <row r="23" spans="2:29" x14ac:dyDescent="0.35">
      <c r="B23" t="s">
        <v>47</v>
      </c>
      <c r="C23" s="66">
        <v>4.2348999999999998E-2</v>
      </c>
      <c r="D23" s="66">
        <v>-1.4939999999999988E-3</v>
      </c>
      <c r="E23" s="66">
        <v>8.4475999999999996E-2</v>
      </c>
      <c r="F23" s="66">
        <v>0.21240800000000001</v>
      </c>
      <c r="G23" s="66">
        <v>0.170875</v>
      </c>
      <c r="H23" s="66">
        <v>0.12610000000000002</v>
      </c>
      <c r="I23" s="66">
        <v>7.4709999999999999E-2</v>
      </c>
      <c r="J23" s="66">
        <v>7.3539000000000007E-2</v>
      </c>
      <c r="K23" s="66">
        <v>6.6201999999999997E-2</v>
      </c>
      <c r="L23" s="66">
        <v>0.12500799999999998</v>
      </c>
      <c r="M23" s="66">
        <v>0.13682</v>
      </c>
      <c r="N23" s="66">
        <v>0.10373300000000001</v>
      </c>
      <c r="O23" t="s">
        <v>70</v>
      </c>
      <c r="Q23" t="s">
        <v>100</v>
      </c>
      <c r="R23" s="68">
        <v>1.2384262971855072E-2</v>
      </c>
      <c r="S23" s="68">
        <v>2.5948869751178692E-2</v>
      </c>
      <c r="T23" s="68">
        <v>1.7127510148261131E-2</v>
      </c>
      <c r="U23" s="68">
        <v>1.2300589515313581E-2</v>
      </c>
      <c r="V23" s="68">
        <v>1.0388884667219472E-2</v>
      </c>
      <c r="W23" s="68">
        <v>6.4022074507488567E-3</v>
      </c>
      <c r="X23" s="68">
        <v>6.7073575395707324E-3</v>
      </c>
      <c r="Y23" s="68">
        <v>4.3345842078041843E-3</v>
      </c>
      <c r="Z23" s="68">
        <v>5.3695558898800427E-3</v>
      </c>
      <c r="AA23" s="68">
        <v>4.9026313806511575E-3</v>
      </c>
      <c r="AB23" s="68">
        <v>4.3272144577818656E-3</v>
      </c>
      <c r="AC23" s="68">
        <v>9.0072368581148015E-3</v>
      </c>
    </row>
    <row r="24" spans="2:29" x14ac:dyDescent="0.35">
      <c r="B24" t="s">
        <v>48</v>
      </c>
      <c r="C24" s="66">
        <v>2.9254000000000002E-2</v>
      </c>
      <c r="D24" s="66">
        <v>2.9254000000000002E-2</v>
      </c>
      <c r="E24" s="66">
        <v>2.9254000000000002E-2</v>
      </c>
      <c r="F24" s="66">
        <v>2.9254000000000002E-2</v>
      </c>
      <c r="G24" s="66">
        <v>2.9254000000000002E-2</v>
      </c>
      <c r="H24" s="66">
        <v>2.9254000000000002E-2</v>
      </c>
      <c r="I24" s="66">
        <v>2.6654999999999998E-2</v>
      </c>
      <c r="J24" s="66">
        <v>2.6654999999999998E-2</v>
      </c>
      <c r="K24" s="66">
        <v>2.6654999999999998E-2</v>
      </c>
      <c r="L24" s="66">
        <v>2.6654999999999998E-2</v>
      </c>
      <c r="M24" s="66">
        <v>2.6654999999999998E-2</v>
      </c>
      <c r="N24" s="66">
        <v>2.7473000000000001E-2</v>
      </c>
      <c r="O24" t="s">
        <v>71</v>
      </c>
      <c r="Q24" t="s">
        <v>101</v>
      </c>
      <c r="R24" s="68">
        <v>2.0544177159271069E-3</v>
      </c>
      <c r="S24" s="68">
        <v>2.0544177159271069E-3</v>
      </c>
      <c r="T24" s="68">
        <v>2.0544177159271069E-3</v>
      </c>
      <c r="U24" s="68">
        <v>2.0544177159271069E-3</v>
      </c>
      <c r="V24" s="68">
        <v>2.0544177159271069E-3</v>
      </c>
      <c r="W24" s="68">
        <v>2.0544177159271069E-3</v>
      </c>
      <c r="X24" s="68">
        <v>2.0059657932368549E-3</v>
      </c>
      <c r="Y24" s="68">
        <v>2.0059657932368549E-3</v>
      </c>
      <c r="Z24" s="68">
        <v>2.0059657932368549E-3</v>
      </c>
      <c r="AA24" s="68">
        <v>2.0059657932368549E-3</v>
      </c>
      <c r="AB24" s="68">
        <v>2.0059657932368549E-3</v>
      </c>
      <c r="AC24" s="68">
        <v>1.970320195482773E-3</v>
      </c>
    </row>
    <row r="25" spans="2:29" x14ac:dyDescent="0.35">
      <c r="B25" t="s">
        <v>49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6">
        <v>0</v>
      </c>
      <c r="M25" s="66">
        <v>0</v>
      </c>
      <c r="N25" s="66">
        <v>0</v>
      </c>
      <c r="O25" t="s">
        <v>72</v>
      </c>
      <c r="Q25" t="s">
        <v>102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0</v>
      </c>
      <c r="Y25" s="68">
        <v>0</v>
      </c>
      <c r="Z25" s="68">
        <v>0</v>
      </c>
      <c r="AA25" s="68">
        <v>0</v>
      </c>
      <c r="AB25" s="68">
        <v>0</v>
      </c>
      <c r="AC25" s="68">
        <v>0</v>
      </c>
    </row>
    <row r="26" spans="2:29" x14ac:dyDescent="0.35">
      <c r="B26" t="s">
        <v>50</v>
      </c>
      <c r="C26" s="66">
        <v>1.5127999999999999E-2</v>
      </c>
      <c r="D26" s="66">
        <v>1.5127999999999999E-2</v>
      </c>
      <c r="E26" s="66">
        <v>1.5127999999999999E-2</v>
      </c>
      <c r="F26" s="66">
        <v>2.0517000000000001E-2</v>
      </c>
      <c r="G26" s="66">
        <v>2.0517000000000001E-2</v>
      </c>
      <c r="H26" s="66">
        <v>2.0517000000000001E-2</v>
      </c>
      <c r="I26" s="66">
        <v>1.5127999999999999E-2</v>
      </c>
      <c r="J26" s="66">
        <v>1.5127999999999999E-2</v>
      </c>
      <c r="K26" s="66">
        <v>1.5127999999999999E-2</v>
      </c>
      <c r="L26" s="66">
        <v>1.5127999999999999E-2</v>
      </c>
      <c r="M26" s="66">
        <v>1.5127999999999999E-2</v>
      </c>
      <c r="N26" s="66">
        <v>1.5127999999999999E-2</v>
      </c>
      <c r="O26" t="s">
        <v>73</v>
      </c>
      <c r="Q26" t="s">
        <v>103</v>
      </c>
      <c r="R26" s="68">
        <v>6.0672618755635449E-4</v>
      </c>
      <c r="S26" s="68">
        <v>6.0672618755635449E-4</v>
      </c>
      <c r="T26" s="68">
        <v>6.0672618755635449E-4</v>
      </c>
      <c r="U26" s="68">
        <v>8.9026810568502437E-4</v>
      </c>
      <c r="V26" s="68">
        <v>8.9026810568502437E-4</v>
      </c>
      <c r="W26" s="68">
        <v>8.9026810568502437E-4</v>
      </c>
      <c r="X26" s="68">
        <v>6.0672618755635449E-4</v>
      </c>
      <c r="Y26" s="68">
        <v>6.0672618755635449E-4</v>
      </c>
      <c r="Z26" s="68">
        <v>6.0672618755635449E-4</v>
      </c>
      <c r="AA26" s="68">
        <v>6.0672618755635449E-4</v>
      </c>
      <c r="AB26" s="68">
        <v>6.0672618755635449E-4</v>
      </c>
      <c r="AC26" s="68">
        <v>6.0672618755635449E-4</v>
      </c>
    </row>
    <row r="27" spans="2:29" x14ac:dyDescent="0.35">
      <c r="B27" t="s">
        <v>51</v>
      </c>
      <c r="C27" s="66">
        <v>3.7000000000000002E-3</v>
      </c>
      <c r="D27" s="66">
        <v>3.7000000000000002E-3</v>
      </c>
      <c r="E27" s="66">
        <v>3.7000000000000002E-3</v>
      </c>
      <c r="F27" s="66">
        <v>3.7000000000000002E-3</v>
      </c>
      <c r="G27" s="66">
        <v>3.3E-3</v>
      </c>
      <c r="H27" s="66">
        <v>4.8000000000000004E-3</v>
      </c>
      <c r="I27" s="66">
        <v>3.7000000000000002E-3</v>
      </c>
      <c r="J27" s="66">
        <v>3.7000000000000002E-3</v>
      </c>
      <c r="K27" s="66">
        <v>3.7000000000000002E-3</v>
      </c>
      <c r="L27" s="66">
        <v>3.7000000000000002E-3</v>
      </c>
      <c r="M27" s="66">
        <v>3.7000000000000002E-3</v>
      </c>
      <c r="N27" s="66">
        <v>3.7000000000000002E-3</v>
      </c>
      <c r="O27" t="s">
        <v>74</v>
      </c>
      <c r="Q27" t="s">
        <v>104</v>
      </c>
      <c r="R27" s="68">
        <v>2.3094010767585042E-4</v>
      </c>
      <c r="S27" s="68">
        <v>2.3094010767585042E-4</v>
      </c>
      <c r="T27" s="68">
        <v>2.3094010767585042E-4</v>
      </c>
      <c r="U27" s="68">
        <v>2.3094010767585042E-4</v>
      </c>
      <c r="V27" s="68">
        <v>1.4551915228366852E-11</v>
      </c>
      <c r="W27" s="68">
        <v>1.9999999999999977E-4</v>
      </c>
      <c r="X27" s="68">
        <v>2.3094010767585042E-4</v>
      </c>
      <c r="Y27" s="68">
        <v>2.3094010767585042E-4</v>
      </c>
      <c r="Z27" s="68">
        <v>2.3094010767585042E-4</v>
      </c>
      <c r="AA27" s="68">
        <v>2.3094010767585042E-4</v>
      </c>
      <c r="AB27" s="68">
        <v>2.3094010767585042E-4</v>
      </c>
      <c r="AC27" s="68">
        <v>2.3094010767585042E-4</v>
      </c>
    </row>
    <row r="28" spans="2:29" x14ac:dyDescent="0.35">
      <c r="B28" t="s">
        <v>52</v>
      </c>
      <c r="C28" s="66">
        <v>-7.4999999999999997E-3</v>
      </c>
      <c r="D28" s="66">
        <v>-7.4999999999999997E-3</v>
      </c>
      <c r="E28" s="66">
        <v>-7.4999999999999997E-3</v>
      </c>
      <c r="F28" s="66">
        <v>-7.4999999999999997E-3</v>
      </c>
      <c r="G28" s="66">
        <v>-7.4999999999999997E-3</v>
      </c>
      <c r="H28" s="66">
        <v>-7.4999999999999997E-3</v>
      </c>
      <c r="I28" s="66">
        <v>-7.4999999999999997E-3</v>
      </c>
      <c r="J28" s="66">
        <v>-7.4999999999999997E-3</v>
      </c>
      <c r="K28" s="66">
        <v>-7.4999999999999997E-3</v>
      </c>
      <c r="L28" s="66">
        <v>-7.4999999999999997E-3</v>
      </c>
      <c r="M28" s="66">
        <v>-7.4999999999999997E-3</v>
      </c>
      <c r="N28" s="66">
        <v>-7.4999999999999997E-3</v>
      </c>
      <c r="O28" t="s">
        <v>75</v>
      </c>
      <c r="Q28" t="s">
        <v>105</v>
      </c>
      <c r="R28" s="68">
        <v>4.3301270189221933E-3</v>
      </c>
      <c r="S28" s="68">
        <v>4.3301270189221933E-3</v>
      </c>
      <c r="T28" s="68">
        <v>4.3301270189221933E-3</v>
      </c>
      <c r="U28" s="68">
        <v>4.3301270189221933E-3</v>
      </c>
      <c r="V28" s="68">
        <v>4.3301270189221933E-3</v>
      </c>
      <c r="W28" s="68">
        <v>4.3301270189221933E-3</v>
      </c>
      <c r="X28" s="68">
        <v>5.3033008588991067E-3</v>
      </c>
      <c r="Y28" s="68">
        <v>5.3033008588991067E-3</v>
      </c>
      <c r="Z28" s="68">
        <v>5.3033008588991067E-3</v>
      </c>
      <c r="AA28" s="68">
        <v>5.3033008588991067E-3</v>
      </c>
      <c r="AB28" s="68">
        <v>5.3033008588991067E-3</v>
      </c>
      <c r="AC28" s="68">
        <v>5.3033008588991067E-3</v>
      </c>
    </row>
    <row r="29" spans="2:29" x14ac:dyDescent="0.35">
      <c r="B29" t="s">
        <v>53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/>
      <c r="J29" s="66"/>
      <c r="K29" s="66"/>
      <c r="L29" s="66"/>
      <c r="M29" s="66"/>
      <c r="N29" s="66">
        <v>0</v>
      </c>
      <c r="O29" t="s">
        <v>76</v>
      </c>
      <c r="Q29" t="s">
        <v>106</v>
      </c>
      <c r="R29" s="68" t="e">
        <v>#DIV/0!</v>
      </c>
      <c r="S29" s="68" t="e">
        <v>#DIV/0!</v>
      </c>
      <c r="T29" s="68" t="e">
        <v>#DIV/0!</v>
      </c>
      <c r="U29" s="68" t="e">
        <v>#DIV/0!</v>
      </c>
      <c r="V29" s="68" t="e">
        <v>#DIV/0!</v>
      </c>
      <c r="W29" s="68" t="e">
        <v>#DIV/0!</v>
      </c>
      <c r="X29" s="68"/>
      <c r="Y29" s="68"/>
      <c r="Z29" s="68"/>
      <c r="AA29" s="68"/>
      <c r="AB29" s="68"/>
      <c r="AC29" s="68" t="e">
        <v>#DIV/0!</v>
      </c>
    </row>
    <row r="32" spans="2:29" x14ac:dyDescent="0.35">
      <c r="B32" t="s">
        <v>30</v>
      </c>
      <c r="C32" s="64">
        <v>1</v>
      </c>
      <c r="D32" s="64">
        <v>2</v>
      </c>
      <c r="E32" s="64">
        <v>3</v>
      </c>
      <c r="F32" s="64">
        <v>4</v>
      </c>
      <c r="G32" s="64">
        <v>5</v>
      </c>
      <c r="H32" s="64">
        <v>6</v>
      </c>
      <c r="I32" s="64">
        <v>7</v>
      </c>
      <c r="J32" s="64">
        <v>8</v>
      </c>
      <c r="K32" s="64">
        <v>9</v>
      </c>
      <c r="L32" s="64">
        <v>10</v>
      </c>
      <c r="M32" s="64">
        <v>11</v>
      </c>
      <c r="N32" s="64">
        <v>12</v>
      </c>
      <c r="O32" s="64" t="s">
        <v>54</v>
      </c>
    </row>
    <row r="33" spans="2:15" x14ac:dyDescent="0.35">
      <c r="B33" t="s">
        <v>28</v>
      </c>
      <c r="C33" s="64">
        <v>188.28</v>
      </c>
      <c r="D33" s="64">
        <v>188.52</v>
      </c>
      <c r="E33" s="64">
        <v>188.52</v>
      </c>
      <c r="F33" s="64">
        <v>190.1</v>
      </c>
      <c r="G33" s="64">
        <v>190.1</v>
      </c>
      <c r="H33" s="64">
        <v>190.1</v>
      </c>
      <c r="I33" s="64">
        <v>173.6</v>
      </c>
      <c r="J33" s="64">
        <v>173.6</v>
      </c>
      <c r="K33" s="64">
        <v>173.6</v>
      </c>
      <c r="L33" s="64">
        <v>173.6</v>
      </c>
      <c r="M33" s="64">
        <v>173.6</v>
      </c>
      <c r="N33" s="64">
        <v>173.6</v>
      </c>
      <c r="O33" s="64" t="s">
        <v>55</v>
      </c>
    </row>
    <row r="34" spans="2:15" x14ac:dyDescent="0.35">
      <c r="B34" t="s">
        <v>29</v>
      </c>
      <c r="C34" s="64">
        <v>1.10433</v>
      </c>
      <c r="D34" s="64">
        <v>1.11467</v>
      </c>
      <c r="E34" s="64">
        <v>1.1148</v>
      </c>
      <c r="F34" s="64">
        <v>1.1370000000000002</v>
      </c>
      <c r="G34" s="64">
        <v>1.1370000000000002</v>
      </c>
      <c r="H34" s="64">
        <v>1.1370000000000002</v>
      </c>
      <c r="I34" s="64">
        <v>1.0172400000000001</v>
      </c>
      <c r="J34" s="64">
        <v>1.0172400000000001</v>
      </c>
      <c r="K34" s="64">
        <v>1.0172400000000001</v>
      </c>
      <c r="L34" s="64">
        <v>1.02732</v>
      </c>
      <c r="M34" s="64">
        <v>1.02732</v>
      </c>
      <c r="N34" s="64">
        <v>1.0172400000000001</v>
      </c>
      <c r="O34" s="64" t="s">
        <v>78</v>
      </c>
    </row>
    <row r="35" spans="2:15" x14ac:dyDescent="0.35">
      <c r="B35" t="s">
        <v>31</v>
      </c>
      <c r="C35" s="64">
        <v>1.0989500000000001</v>
      </c>
      <c r="D35" s="64">
        <v>1.1092900000000001</v>
      </c>
      <c r="E35" s="64">
        <v>1.1094200000000001</v>
      </c>
      <c r="F35" s="64">
        <v>1.1370000000000002</v>
      </c>
      <c r="G35" s="64">
        <v>1.1370000000000002</v>
      </c>
      <c r="H35" s="64">
        <v>1.3077100000000002</v>
      </c>
      <c r="I35" s="64">
        <v>1.17005</v>
      </c>
      <c r="J35" s="64">
        <v>1.17005</v>
      </c>
      <c r="K35" s="64">
        <v>1.17005</v>
      </c>
      <c r="L35" s="64">
        <v>1.02732</v>
      </c>
      <c r="M35" s="64">
        <v>1.02732</v>
      </c>
      <c r="N35" s="64">
        <v>1.0172400000000001</v>
      </c>
      <c r="O35" s="64" t="s">
        <v>77</v>
      </c>
    </row>
    <row r="36" spans="2:15" x14ac:dyDescent="0.35">
      <c r="B36" t="s">
        <v>32</v>
      </c>
      <c r="C36" s="64">
        <v>7.6000000000000004E-4</v>
      </c>
      <c r="D36" s="64">
        <v>7.9799999999999999E-4</v>
      </c>
      <c r="E36" s="64">
        <v>9.3000000000000146E-5</v>
      </c>
      <c r="F36" s="64">
        <v>-3.0699999999999987E-4</v>
      </c>
      <c r="G36" s="64">
        <v>-3.0699999999999987E-4</v>
      </c>
      <c r="H36" s="64">
        <v>1.110000000000002E-4</v>
      </c>
      <c r="I36" s="64">
        <v>-3.0699999999999987E-4</v>
      </c>
      <c r="J36" s="64">
        <v>-3.0699999999999987E-4</v>
      </c>
      <c r="K36" s="64">
        <v>-3.0699999999999987E-4</v>
      </c>
      <c r="L36" s="64">
        <v>-6.8699999999999989E-4</v>
      </c>
      <c r="M36" s="64">
        <v>-6.8699999999999989E-4</v>
      </c>
      <c r="N36" s="64">
        <v>-3.0699999999999987E-4</v>
      </c>
      <c r="O36" s="64" t="s">
        <v>56</v>
      </c>
    </row>
    <row r="37" spans="2:15" x14ac:dyDescent="0.35">
      <c r="B37" t="s">
        <v>33</v>
      </c>
      <c r="C37" s="64">
        <v>13.579999999999998</v>
      </c>
      <c r="D37" s="64">
        <v>13.659999999999998</v>
      </c>
      <c r="E37" s="64">
        <v>13.819999999999999</v>
      </c>
      <c r="F37" s="64">
        <v>13.919999999999998</v>
      </c>
      <c r="G37" s="64">
        <v>13.919999999999998</v>
      </c>
      <c r="H37" s="64">
        <v>13.919999999999998</v>
      </c>
      <c r="I37" s="64">
        <v>12.639999999999999</v>
      </c>
      <c r="J37" s="64">
        <v>12.639999999999999</v>
      </c>
      <c r="K37" s="64">
        <v>12.639999999999999</v>
      </c>
      <c r="L37" s="64">
        <v>12.639999999999999</v>
      </c>
      <c r="M37" s="64">
        <v>12.639999999999999</v>
      </c>
      <c r="N37" s="64">
        <v>12.639999999999999</v>
      </c>
      <c r="O37" s="64" t="s">
        <v>57</v>
      </c>
    </row>
    <row r="38" spans="2:15" x14ac:dyDescent="0.35">
      <c r="B38" t="s">
        <v>34</v>
      </c>
      <c r="C38" s="64">
        <v>5.4216E-2</v>
      </c>
      <c r="D38" s="64">
        <v>3.6593000000000001E-2</v>
      </c>
      <c r="E38" s="64">
        <v>3.6593000000000001E-2</v>
      </c>
      <c r="F38" s="64">
        <v>3.7701499999999999E-2</v>
      </c>
      <c r="G38" s="64">
        <v>4.3317999999999995E-2</v>
      </c>
      <c r="H38" s="64">
        <v>4.1437000000000002E-2</v>
      </c>
      <c r="I38" s="64">
        <v>5.5676999999999997E-2</v>
      </c>
      <c r="J38" s="64">
        <v>4.4970999999999997E-2</v>
      </c>
      <c r="K38" s="64">
        <v>3.5374000000000003E-2</v>
      </c>
      <c r="L38" s="64">
        <v>5.1735000000000003E-2</v>
      </c>
      <c r="M38" s="64">
        <v>4.8770000000000008E-2</v>
      </c>
      <c r="N38" s="64">
        <v>4.6921000000000004E-2</v>
      </c>
      <c r="O38" s="64" t="s">
        <v>58</v>
      </c>
    </row>
    <row r="39" spans="2:15" x14ac:dyDescent="0.35">
      <c r="B39" t="s">
        <v>35</v>
      </c>
      <c r="C39" s="64">
        <v>0.11916</v>
      </c>
      <c r="D39" s="64">
        <v>0.13473000000000002</v>
      </c>
      <c r="E39" s="64">
        <v>0.178762175</v>
      </c>
      <c r="F39" s="64">
        <v>0.19487000000000002</v>
      </c>
      <c r="G39" s="64">
        <v>0.13287199999999999</v>
      </c>
      <c r="H39" s="64">
        <v>0.13324000000000003</v>
      </c>
      <c r="I39" s="64">
        <v>8.7660000000000002E-2</v>
      </c>
      <c r="J39" s="64">
        <v>9.0010000000000021E-2</v>
      </c>
      <c r="K39" s="64">
        <v>0.11318</v>
      </c>
      <c r="L39" s="64">
        <v>0.10451000000000001</v>
      </c>
      <c r="M39" s="64">
        <v>0.16185000000000002</v>
      </c>
      <c r="N39" s="64">
        <v>0.13400000000000001</v>
      </c>
      <c r="O39" s="64" t="s">
        <v>79</v>
      </c>
    </row>
    <row r="40" spans="2:15" x14ac:dyDescent="0.35">
      <c r="B40" t="s">
        <v>36</v>
      </c>
      <c r="C40" s="64">
        <v>1.4220000000000001E-3</v>
      </c>
      <c r="D40" s="64">
        <v>1.6399999999999997E-3</v>
      </c>
      <c r="E40" s="64">
        <v>1.2520000000000001E-3</v>
      </c>
      <c r="F40" s="64">
        <v>1.1740000000000001E-3</v>
      </c>
      <c r="G40" s="64">
        <v>1.2339999999999999E-3</v>
      </c>
      <c r="H40" s="64">
        <v>1.0449999999999999E-3</v>
      </c>
      <c r="I40" s="64">
        <v>8.0799999999999991E-4</v>
      </c>
      <c r="J40" s="64">
        <v>8.9999999999999998E-4</v>
      </c>
      <c r="K40" s="64">
        <v>8.5199999999999989E-4</v>
      </c>
      <c r="L40" s="64">
        <v>7.3899999999999997E-4</v>
      </c>
      <c r="M40" s="64">
        <v>9.369999999999999E-4</v>
      </c>
      <c r="N40" s="64">
        <v>1.0139999999999999E-3</v>
      </c>
      <c r="O40" s="64" t="s">
        <v>60</v>
      </c>
    </row>
    <row r="41" spans="2:15" x14ac:dyDescent="0.35">
      <c r="B41" t="s">
        <v>37</v>
      </c>
      <c r="C41" s="64">
        <v>-5.399999999999999E-4</v>
      </c>
      <c r="D41" s="64">
        <v>-5.399999999999999E-4</v>
      </c>
      <c r="E41" s="64">
        <v>-5.6599999999999988E-4</v>
      </c>
      <c r="F41" s="64">
        <v>-5.5899999999999993E-4</v>
      </c>
      <c r="G41" s="64">
        <v>-5.7799999999999985E-4</v>
      </c>
      <c r="H41" s="64">
        <v>-5.7799999999999985E-4</v>
      </c>
      <c r="I41" s="64">
        <v>-5.7699999999999982E-4</v>
      </c>
      <c r="J41" s="64">
        <v>-5.7699999999999982E-4</v>
      </c>
      <c r="K41" s="64">
        <v>-5.7699999999999982E-4</v>
      </c>
      <c r="L41" s="64">
        <v>-6.7299999999999988E-4</v>
      </c>
      <c r="M41" s="64">
        <v>-6.7299999999999988E-4</v>
      </c>
      <c r="N41" s="64">
        <v>-5.7699999999999982E-4</v>
      </c>
      <c r="O41" s="64" t="s">
        <v>59</v>
      </c>
    </row>
    <row r="42" spans="2:15" x14ac:dyDescent="0.35">
      <c r="B42" t="s">
        <v>38</v>
      </c>
      <c r="C42" s="64">
        <v>5.7700000000000001E-2</v>
      </c>
      <c r="D42" s="64">
        <v>5.57E-2</v>
      </c>
      <c r="E42" s="64">
        <v>5.8099999999999999E-2</v>
      </c>
      <c r="F42" s="64">
        <v>5.8300000000000005E-2</v>
      </c>
      <c r="G42" s="64">
        <v>5.8300000000000005E-2</v>
      </c>
      <c r="H42" s="64">
        <v>5.8300000000000005E-2</v>
      </c>
      <c r="I42" s="64">
        <v>5.2900000000000003E-2</v>
      </c>
      <c r="J42" s="64">
        <v>5.2900000000000003E-2</v>
      </c>
      <c r="K42" s="64">
        <v>5.2900000000000003E-2</v>
      </c>
      <c r="L42" s="64">
        <v>4.8099999999999997E-2</v>
      </c>
      <c r="M42" s="64">
        <v>4.8099999999999997E-2</v>
      </c>
      <c r="N42" s="64">
        <v>5.16E-2</v>
      </c>
      <c r="O42" s="64" t="s">
        <v>61</v>
      </c>
    </row>
    <row r="43" spans="2:15" x14ac:dyDescent="0.35">
      <c r="B43" t="s">
        <v>39</v>
      </c>
      <c r="C43" s="64">
        <v>1.4499999999999999E-2</v>
      </c>
      <c r="D43" s="64">
        <v>1.4499999999999999E-2</v>
      </c>
      <c r="E43" s="64">
        <v>1.2299999999999998E-2</v>
      </c>
      <c r="F43" s="64">
        <v>1.2299999999999998E-2</v>
      </c>
      <c r="G43" s="64">
        <v>1.2299999999999998E-2</v>
      </c>
      <c r="H43" s="64">
        <v>1.2299999999999998E-2</v>
      </c>
      <c r="I43" s="64">
        <v>1.26E-2</v>
      </c>
      <c r="J43" s="64">
        <v>1.26E-2</v>
      </c>
      <c r="K43" s="64">
        <v>1.26E-2</v>
      </c>
      <c r="L43" s="64">
        <v>1.3899999999999999E-2</v>
      </c>
      <c r="M43" s="64">
        <v>1.3899999999999999E-2</v>
      </c>
      <c r="N43" s="64">
        <v>1.3500000000000002E-2</v>
      </c>
      <c r="O43" s="64" t="s">
        <v>62</v>
      </c>
    </row>
    <row r="44" spans="2:15" x14ac:dyDescent="0.35">
      <c r="B44" t="s">
        <v>40</v>
      </c>
      <c r="C44" s="64">
        <v>1E-4</v>
      </c>
      <c r="D44" s="64">
        <v>1E-4</v>
      </c>
      <c r="E44" s="64">
        <v>1E-4</v>
      </c>
      <c r="F44" s="64">
        <v>1E-4</v>
      </c>
      <c r="G44" s="64">
        <v>1E-4</v>
      </c>
      <c r="H44" s="64">
        <v>1E-4</v>
      </c>
      <c r="N44" s="64">
        <v>1E-4</v>
      </c>
      <c r="O44" s="64" t="s">
        <v>63</v>
      </c>
    </row>
    <row r="45" spans="2:15" x14ac:dyDescent="0.35">
      <c r="B45" t="s">
        <v>41</v>
      </c>
      <c r="C45" s="64">
        <v>1.1425719999999999</v>
      </c>
      <c r="D45" s="64">
        <v>1.098341</v>
      </c>
      <c r="E45" s="64">
        <v>0.91772399999999998</v>
      </c>
      <c r="F45" s="64">
        <v>0.76568000000000003</v>
      </c>
      <c r="G45" s="64">
        <v>0.90746499999999997</v>
      </c>
      <c r="H45" s="64">
        <v>1.036621</v>
      </c>
      <c r="I45" s="64">
        <v>1.051728</v>
      </c>
      <c r="J45" s="64">
        <v>1.06348</v>
      </c>
      <c r="K45" s="64">
        <v>0.98507599999999995</v>
      </c>
      <c r="L45" s="64">
        <v>0.93957000000000002</v>
      </c>
      <c r="M45" s="64">
        <v>0.78478700000000001</v>
      </c>
      <c r="N45" s="64">
        <v>0.79283900000000007</v>
      </c>
      <c r="O45" s="64" t="s">
        <v>64</v>
      </c>
    </row>
    <row r="46" spans="2:15" x14ac:dyDescent="0.35">
      <c r="B46" t="s">
        <v>42</v>
      </c>
      <c r="C46" s="64">
        <v>5.2657000000000002E-2</v>
      </c>
      <c r="D46" s="64">
        <v>5.5030000000000003E-2</v>
      </c>
      <c r="E46" s="64">
        <v>6.0210000000000007E-2</v>
      </c>
      <c r="F46" s="64">
        <v>6.1035000000000006E-2</v>
      </c>
      <c r="G46" s="64">
        <v>5.8516000000000006E-2</v>
      </c>
      <c r="H46" s="64">
        <v>5.0764999999999998E-2</v>
      </c>
      <c r="I46" s="64">
        <v>4.8349000000000003E-2</v>
      </c>
      <c r="J46" s="64">
        <v>5.3595000000000004E-2</v>
      </c>
      <c r="K46" s="64">
        <v>6.1100000000000002E-2</v>
      </c>
      <c r="L46" s="64">
        <v>6.2783000000000005E-2</v>
      </c>
      <c r="M46" s="64">
        <v>5.6136000000000005E-2</v>
      </c>
      <c r="N46" s="64">
        <v>4.8029999999999996E-2</v>
      </c>
      <c r="O46" s="64" t="s">
        <v>65</v>
      </c>
    </row>
    <row r="47" spans="2:15" x14ac:dyDescent="0.35">
      <c r="B47" t="s">
        <v>43</v>
      </c>
      <c r="C47" s="64">
        <v>0.28879199999999999</v>
      </c>
      <c r="D47" s="64">
        <v>0.28879199999999999</v>
      </c>
      <c r="E47" s="64">
        <v>0.28879199999999999</v>
      </c>
      <c r="F47" s="64">
        <v>0.28879199999999999</v>
      </c>
      <c r="G47" s="64">
        <v>0.28879199999999999</v>
      </c>
      <c r="H47" s="64">
        <v>0.28879199999999999</v>
      </c>
      <c r="I47" s="64">
        <v>0.26472600000000002</v>
      </c>
      <c r="J47" s="64">
        <v>0.26472600000000002</v>
      </c>
      <c r="K47" s="64">
        <v>0.26472600000000002</v>
      </c>
      <c r="L47" s="64">
        <v>0.26472600000000002</v>
      </c>
      <c r="M47" s="64">
        <v>0.26472600000000002</v>
      </c>
      <c r="N47" s="64">
        <v>0.26472600000000002</v>
      </c>
      <c r="O47" s="64" t="s">
        <v>66</v>
      </c>
    </row>
    <row r="48" spans="2:15" x14ac:dyDescent="0.35">
      <c r="B48" t="s">
        <v>44</v>
      </c>
      <c r="C48" s="64">
        <v>0.60438900000000007</v>
      </c>
      <c r="D48" s="64">
        <v>0.60438900000000007</v>
      </c>
      <c r="E48" s="64">
        <v>0.60438900000000007</v>
      </c>
      <c r="F48" s="64">
        <v>0.60470599999999997</v>
      </c>
      <c r="G48" s="64">
        <v>0.60470599999999997</v>
      </c>
      <c r="H48" s="64">
        <v>0.59883199999999992</v>
      </c>
      <c r="I48" s="64">
        <v>0.55551499999999998</v>
      </c>
      <c r="J48" s="64">
        <v>0.55551499999999998</v>
      </c>
      <c r="K48" s="64">
        <v>0.55551499999999998</v>
      </c>
      <c r="L48" s="64">
        <v>0.55822799999999995</v>
      </c>
      <c r="M48" s="64">
        <v>0.55822799999999995</v>
      </c>
      <c r="N48" s="64">
        <v>0.55551499999999998</v>
      </c>
      <c r="O48" s="64" t="s">
        <v>67</v>
      </c>
    </row>
    <row r="49" spans="2:15" x14ac:dyDescent="0.35">
      <c r="B49" t="s">
        <v>45</v>
      </c>
      <c r="C49" s="64">
        <v>5.0363000000000005E-2</v>
      </c>
      <c r="D49" s="64">
        <v>3.2140000000000002E-2</v>
      </c>
      <c r="E49" s="64">
        <v>1.4971E-2</v>
      </c>
      <c r="F49" s="64">
        <v>-1.9078999999999999E-2</v>
      </c>
      <c r="G49" s="64">
        <v>7.5089999999999974E-3</v>
      </c>
      <c r="H49" s="64">
        <v>1.9772000000000005E-2</v>
      </c>
      <c r="I49" s="64">
        <v>7.8460000000000005E-3</v>
      </c>
      <c r="J49" s="64">
        <v>-6.0000000000000038E-4</v>
      </c>
      <c r="K49" s="64">
        <v>2.1540000000000005E-3</v>
      </c>
      <c r="L49" s="64">
        <v>2.4646999999999999E-2</v>
      </c>
      <c r="M49" s="64">
        <v>2.2099999999999998E-2</v>
      </c>
      <c r="N49" s="64">
        <v>4.1174000000000002E-2</v>
      </c>
      <c r="O49" s="64" t="s">
        <v>68</v>
      </c>
    </row>
    <row r="50" spans="2:15" x14ac:dyDescent="0.35">
      <c r="B50" t="s">
        <v>46</v>
      </c>
      <c r="C50" s="64">
        <v>-7.7009000000000008E-2</v>
      </c>
      <c r="D50" s="64">
        <v>1.1287999999999994E-2</v>
      </c>
      <c r="E50" s="64">
        <v>-3.0295000000000002E-2</v>
      </c>
      <c r="F50" s="64">
        <v>-1.1506000000000004E-2</v>
      </c>
      <c r="G50" s="64">
        <v>-2.6103999999999999E-2</v>
      </c>
      <c r="H50" s="64">
        <v>1.0214999999999998E-2</v>
      </c>
      <c r="I50" s="64">
        <v>-2.6010999999999999E-2</v>
      </c>
      <c r="J50" s="64">
        <v>-0.147423</v>
      </c>
      <c r="K50" s="64">
        <v>-0.107167</v>
      </c>
      <c r="L50" s="64">
        <v>-8.2683000000000006E-2</v>
      </c>
      <c r="M50" s="64">
        <v>-7.557800000000002E-2</v>
      </c>
      <c r="N50" s="64">
        <v>-5.1193000000000002E-2</v>
      </c>
      <c r="O50" s="64" t="s">
        <v>69</v>
      </c>
    </row>
    <row r="51" spans="2:15" x14ac:dyDescent="0.35">
      <c r="B51" t="s">
        <v>47</v>
      </c>
      <c r="C51" s="64">
        <v>4.2348999999999998E-2</v>
      </c>
      <c r="D51" s="64">
        <v>-1.4939999999999988E-3</v>
      </c>
      <c r="E51" s="64">
        <v>8.4475999999999996E-2</v>
      </c>
      <c r="F51" s="64">
        <v>0.21240800000000001</v>
      </c>
      <c r="G51" s="64">
        <v>0.170875</v>
      </c>
      <c r="H51" s="64">
        <v>0.12610000000000002</v>
      </c>
      <c r="I51" s="64">
        <v>7.4709999999999999E-2</v>
      </c>
      <c r="J51" s="64">
        <v>7.3539000000000007E-2</v>
      </c>
      <c r="K51" s="64">
        <v>6.6201999999999997E-2</v>
      </c>
      <c r="L51" s="64">
        <v>0.12500799999999998</v>
      </c>
      <c r="M51" s="64">
        <v>0.13682</v>
      </c>
      <c r="N51" s="64">
        <v>0.10373300000000001</v>
      </c>
      <c r="O51" s="64" t="s">
        <v>70</v>
      </c>
    </row>
    <row r="52" spans="2:15" x14ac:dyDescent="0.35">
      <c r="B52" t="s">
        <v>48</v>
      </c>
      <c r="C52" s="64">
        <v>2.9254000000000002E-2</v>
      </c>
      <c r="D52" s="64">
        <v>2.9254000000000002E-2</v>
      </c>
      <c r="E52" s="64">
        <v>2.9254000000000002E-2</v>
      </c>
      <c r="F52" s="64">
        <v>2.9254000000000002E-2</v>
      </c>
      <c r="G52" s="64">
        <v>2.9254000000000002E-2</v>
      </c>
      <c r="H52" s="64">
        <v>2.9254000000000002E-2</v>
      </c>
      <c r="I52" s="64">
        <v>2.6654999999999998E-2</v>
      </c>
      <c r="J52" s="64">
        <v>2.6654999999999998E-2</v>
      </c>
      <c r="K52" s="64">
        <v>2.6654999999999998E-2</v>
      </c>
      <c r="L52" s="64">
        <v>2.6654999999999998E-2</v>
      </c>
      <c r="M52" s="64">
        <v>2.6654999999999998E-2</v>
      </c>
      <c r="N52" s="64">
        <v>2.7473000000000001E-2</v>
      </c>
      <c r="O52" s="64" t="s">
        <v>71</v>
      </c>
    </row>
    <row r="53" spans="2:15" x14ac:dyDescent="0.35">
      <c r="B53" t="s">
        <v>49</v>
      </c>
      <c r="C53" s="64">
        <v>0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  <c r="O53" s="64" t="s">
        <v>72</v>
      </c>
    </row>
    <row r="54" spans="2:15" x14ac:dyDescent="0.35">
      <c r="B54" t="s">
        <v>50</v>
      </c>
      <c r="C54" s="64">
        <v>1.5127999999999999E-2</v>
      </c>
      <c r="D54" s="64">
        <v>1.5127999999999999E-2</v>
      </c>
      <c r="E54" s="64">
        <v>1.5127999999999999E-2</v>
      </c>
      <c r="F54" s="64">
        <v>2.0517000000000001E-2</v>
      </c>
      <c r="G54" s="64">
        <v>2.0517000000000001E-2</v>
      </c>
      <c r="H54" s="64">
        <v>2.0517000000000001E-2</v>
      </c>
      <c r="I54" s="64">
        <v>1.5127999999999999E-2</v>
      </c>
      <c r="J54" s="64">
        <v>1.5127999999999999E-2</v>
      </c>
      <c r="K54" s="64">
        <v>1.5127999999999999E-2</v>
      </c>
      <c r="L54" s="64">
        <v>1.5127999999999999E-2</v>
      </c>
      <c r="M54" s="64">
        <v>1.5127999999999999E-2</v>
      </c>
      <c r="N54" s="64">
        <v>1.5127999999999999E-2</v>
      </c>
      <c r="O54" s="64" t="s">
        <v>73</v>
      </c>
    </row>
    <row r="55" spans="2:15" x14ac:dyDescent="0.35">
      <c r="B55" t="s">
        <v>51</v>
      </c>
      <c r="C55" s="64">
        <v>3.7000000000000002E-3</v>
      </c>
      <c r="D55" s="64">
        <v>3.7000000000000002E-3</v>
      </c>
      <c r="E55" s="64">
        <v>3.7000000000000002E-3</v>
      </c>
      <c r="F55" s="64">
        <v>3.7000000000000002E-3</v>
      </c>
      <c r="G55" s="64">
        <v>3.3E-3</v>
      </c>
      <c r="H55" s="64">
        <v>4.8000000000000004E-3</v>
      </c>
      <c r="I55" s="64">
        <v>3.7000000000000002E-3</v>
      </c>
      <c r="J55" s="64">
        <v>3.7000000000000002E-3</v>
      </c>
      <c r="K55" s="64">
        <v>3.7000000000000002E-3</v>
      </c>
      <c r="L55" s="64">
        <v>3.7000000000000002E-3</v>
      </c>
      <c r="M55" s="64">
        <v>3.7000000000000002E-3</v>
      </c>
      <c r="N55" s="64">
        <v>3.7000000000000002E-3</v>
      </c>
      <c r="O55" s="64" t="s">
        <v>74</v>
      </c>
    </row>
    <row r="56" spans="2:15" x14ac:dyDescent="0.35">
      <c r="B56" t="s">
        <v>52</v>
      </c>
      <c r="C56" s="64">
        <v>-7.4999999999999997E-3</v>
      </c>
      <c r="D56" s="64">
        <v>-7.4999999999999997E-3</v>
      </c>
      <c r="E56" s="64">
        <v>-7.4999999999999997E-3</v>
      </c>
      <c r="F56" s="64">
        <v>-7.4999999999999997E-3</v>
      </c>
      <c r="G56" s="64">
        <v>-7.4999999999999997E-3</v>
      </c>
      <c r="H56" s="64">
        <v>-7.4999999999999997E-3</v>
      </c>
      <c r="I56" s="64">
        <v>-7.4999999999999997E-3</v>
      </c>
      <c r="J56" s="64">
        <v>-7.4999999999999997E-3</v>
      </c>
      <c r="K56" s="64">
        <v>-7.4999999999999997E-3</v>
      </c>
      <c r="L56" s="64">
        <v>-7.4999999999999997E-3</v>
      </c>
      <c r="M56" s="64">
        <v>-7.4999999999999997E-3</v>
      </c>
      <c r="N56" s="64">
        <v>-7.4999999999999997E-3</v>
      </c>
      <c r="O56" s="64" t="s">
        <v>75</v>
      </c>
    </row>
    <row r="57" spans="2:15" x14ac:dyDescent="0.35">
      <c r="B57" t="s">
        <v>53</v>
      </c>
      <c r="C57" s="64">
        <v>0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N57" s="64">
        <v>0</v>
      </c>
      <c r="O57" s="64" t="s">
        <v>76</v>
      </c>
    </row>
  </sheetData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9973-3B0A-4461-B00C-7FBB075E4347}">
  <dimension ref="B1:AP58"/>
  <sheetViews>
    <sheetView tabSelected="1" topLeftCell="W10" workbookViewId="0">
      <selection activeCell="AE31" sqref="AE31"/>
    </sheetView>
  </sheetViews>
  <sheetFormatPr defaultRowHeight="14.5" x14ac:dyDescent="0.35"/>
  <cols>
    <col min="2" max="2" width="26.26953125" customWidth="1"/>
    <col min="30" max="30" width="25.26953125" customWidth="1"/>
  </cols>
  <sheetData>
    <row r="1" spans="2:27" x14ac:dyDescent="0.35">
      <c r="C1" t="s">
        <v>55</v>
      </c>
      <c r="D1" t="s">
        <v>78</v>
      </c>
      <c r="E1" t="s">
        <v>77</v>
      </c>
      <c r="F1" t="s">
        <v>56</v>
      </c>
      <c r="G1" t="s">
        <v>57</v>
      </c>
      <c r="H1" t="s">
        <v>58</v>
      </c>
      <c r="I1" t="s">
        <v>79</v>
      </c>
      <c r="J1" t="s">
        <v>60</v>
      </c>
      <c r="K1" t="s">
        <v>59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 spans="2:27" x14ac:dyDescent="0.35">
      <c r="B2" t="s">
        <v>55</v>
      </c>
      <c r="C2">
        <f ca="1">CORREL(INDIRECT($B2,FALSE),INDIRECT(C$1,FALSE))</f>
        <v>1.0000000000000002</v>
      </c>
      <c r="D2">
        <f t="shared" ref="D2:Z11" ca="1" si="0">CORREL(INDIRECT($B2,FALSE),INDIRECT(D$1,FALSE))</f>
        <v>0.99229003947613825</v>
      </c>
      <c r="E2">
        <f t="shared" ca="1" si="0"/>
        <v>0.37172734615538461</v>
      </c>
      <c r="F2">
        <f t="shared" ca="1" si="0"/>
        <v>0.63140253311120975</v>
      </c>
      <c r="G2">
        <f t="shared" ca="1" si="0"/>
        <v>0.99467126801769512</v>
      </c>
      <c r="H2">
        <f t="shared" ca="1" si="0"/>
        <v>-0.41887018554337718</v>
      </c>
      <c r="I2">
        <f t="shared" ca="1" si="0"/>
        <v>0.54075320191699017</v>
      </c>
      <c r="J2">
        <f t="shared" ca="1" si="0"/>
        <v>0.7842559155276394</v>
      </c>
      <c r="K2">
        <f t="shared" ca="1" si="0"/>
        <v>0.56796621491520505</v>
      </c>
      <c r="L2">
        <f t="shared" ca="1" si="0"/>
        <v>0.89949694413308534</v>
      </c>
      <c r="M2">
        <f t="shared" ca="1" si="0"/>
        <v>-0.13575766221759486</v>
      </c>
      <c r="N2">
        <f t="shared" ca="1" si="0"/>
        <v>-1.4664711670597672E-15</v>
      </c>
      <c r="O2">
        <f t="shared" ca="1" si="0"/>
        <v>0.13636434494635294</v>
      </c>
      <c r="P2">
        <f t="shared" ca="1" si="0"/>
        <v>0.14559573431074896</v>
      </c>
      <c r="Q2">
        <f t="shared" ca="1" si="0"/>
        <v>0.99718035537699834</v>
      </c>
      <c r="R2">
        <f t="shared" ca="1" si="0"/>
        <v>0.9926031107414075</v>
      </c>
      <c r="S2">
        <f t="shared" ca="1" si="0"/>
        <v>-7.4807790952749927E-3</v>
      </c>
      <c r="T2">
        <f t="shared" ca="1" si="0"/>
        <v>0.6752505882841825</v>
      </c>
      <c r="U2">
        <f t="shared" ca="1" si="0"/>
        <v>0.14337252291549812</v>
      </c>
      <c r="V2">
        <f t="shared" ca="1" si="0"/>
        <v>0.9822423838425679</v>
      </c>
      <c r="X2">
        <f t="shared" ca="1" si="0"/>
        <v>0.63671144012177738</v>
      </c>
      <c r="Y2">
        <f t="shared" ca="1" si="0"/>
        <v>0.19329515871987887</v>
      </c>
      <c r="Z2">
        <f t="shared" ca="1" si="0"/>
        <v>3.0144193054916007E-15</v>
      </c>
    </row>
    <row r="3" spans="2:27" x14ac:dyDescent="0.35">
      <c r="B3" t="s">
        <v>78</v>
      </c>
      <c r="C3">
        <f t="shared" ref="C3:R23" ca="1" si="1">CORREL(INDIRECT($B3,FALSE),INDIRECT(C$1,FALSE))</f>
        <v>0.99229003947613825</v>
      </c>
      <c r="D3">
        <f t="shared" ca="1" si="0"/>
        <v>1.0000000000000002</v>
      </c>
      <c r="E3">
        <f t="shared" ca="1" si="0"/>
        <v>0.37840187966650984</v>
      </c>
      <c r="F3">
        <f t="shared" ca="1" si="0"/>
        <v>0.54343808434896324</v>
      </c>
      <c r="G3">
        <f t="shared" ca="1" si="0"/>
        <v>0.99576693130521599</v>
      </c>
      <c r="H3">
        <f t="shared" ca="1" si="0"/>
        <v>-0.43077863372043701</v>
      </c>
      <c r="I3">
        <f t="shared" ca="1" si="0"/>
        <v>0.57210924911745709</v>
      </c>
      <c r="J3">
        <f t="shared" ca="1" si="0"/>
        <v>0.72923314212387647</v>
      </c>
      <c r="K3">
        <f t="shared" ca="1" si="0"/>
        <v>0.48815507925056167</v>
      </c>
      <c r="L3">
        <f t="shared" ca="1" si="0"/>
        <v>0.86882325721132558</v>
      </c>
      <c r="M3">
        <f t="shared" ca="1" si="0"/>
        <v>-0.1795001836134717</v>
      </c>
      <c r="N3">
        <f t="shared" ca="1" si="0"/>
        <v>2.416074212360039E-15</v>
      </c>
      <c r="O3">
        <f t="shared" ca="1" si="0"/>
        <v>6.1741050158801172E-2</v>
      </c>
      <c r="P3">
        <f t="shared" ca="1" si="0"/>
        <v>0.18768283934361485</v>
      </c>
      <c r="Q3">
        <f t="shared" ca="1" si="0"/>
        <v>0.98183405149058145</v>
      </c>
      <c r="R3">
        <f t="shared" ca="1" si="0"/>
        <v>0.97733509495240267</v>
      </c>
      <c r="S3">
        <f t="shared" ca="1" si="0"/>
        <v>-6.5471182311809387E-2</v>
      </c>
      <c r="T3">
        <f t="shared" ca="1" si="0"/>
        <v>0.69744263891364067</v>
      </c>
      <c r="U3">
        <f t="shared" ca="1" si="0"/>
        <v>0.24199652839267405</v>
      </c>
      <c r="V3">
        <f t="shared" ca="1" si="0"/>
        <v>0.96365086091909125</v>
      </c>
      <c r="X3">
        <f t="shared" ca="1" si="0"/>
        <v>0.70775641755677532</v>
      </c>
      <c r="Y3">
        <f t="shared" ca="1" si="0"/>
        <v>0.21486324957579564</v>
      </c>
      <c r="Z3">
        <f t="shared" ca="1" si="0"/>
        <v>1.7547565523596977E-15</v>
      </c>
    </row>
    <row r="4" spans="2:27" x14ac:dyDescent="0.35">
      <c r="B4" t="s">
        <v>77</v>
      </c>
      <c r="C4">
        <f t="shared" ca="1" si="1"/>
        <v>0.37172734615538461</v>
      </c>
      <c r="D4">
        <f t="shared" ca="1" si="0"/>
        <v>0.37840187966650984</v>
      </c>
      <c r="E4">
        <f t="shared" ca="1" si="0"/>
        <v>1.0000000000000002</v>
      </c>
      <c r="F4">
        <f t="shared" ca="1" si="0"/>
        <v>0.23943856349134629</v>
      </c>
      <c r="G4">
        <f t="shared" ca="1" si="0"/>
        <v>0.39618244908474654</v>
      </c>
      <c r="H4">
        <f t="shared" ca="1" si="0"/>
        <v>-0.30497537966019</v>
      </c>
      <c r="I4">
        <f t="shared" ca="1" si="0"/>
        <v>-0.15755309387731589</v>
      </c>
      <c r="J4">
        <f t="shared" ca="1" si="0"/>
        <v>1.6081320975447352E-4</v>
      </c>
      <c r="K4">
        <f t="shared" ca="1" si="0"/>
        <v>0.43708565460361304</v>
      </c>
      <c r="L4">
        <f t="shared" ca="1" si="0"/>
        <v>0.5722686654025867</v>
      </c>
      <c r="M4">
        <f t="shared" ca="1" si="0"/>
        <v>-0.60696714735012236</v>
      </c>
      <c r="N4">
        <f t="shared" ca="1" si="0"/>
        <v>1.1713126850435587E-15</v>
      </c>
      <c r="O4">
        <f t="shared" ca="1" si="0"/>
        <v>0.45677219362669086</v>
      </c>
      <c r="P4">
        <f t="shared" ca="1" si="0"/>
        <v>-0.19289227878579826</v>
      </c>
      <c r="Q4">
        <f t="shared" ca="1" si="0"/>
        <v>0.34237074514210297</v>
      </c>
      <c r="R4">
        <f t="shared" ca="1" si="0"/>
        <v>0.28377517758487381</v>
      </c>
      <c r="S4">
        <f t="shared" ca="1" si="0"/>
        <v>-0.40284027339918027</v>
      </c>
      <c r="T4">
        <f t="shared" ca="1" si="0"/>
        <v>0.25928227290606404</v>
      </c>
      <c r="U4">
        <f t="shared" ca="1" si="0"/>
        <v>6.5358276857449256E-4</v>
      </c>
      <c r="V4">
        <f t="shared" ca="1" si="0"/>
        <v>0.28092919807747185</v>
      </c>
      <c r="X4">
        <f t="shared" ca="1" si="0"/>
        <v>0.52661593316616162</v>
      </c>
      <c r="Y4">
        <f t="shared" ca="1" si="0"/>
        <v>0.63947706260000015</v>
      </c>
      <c r="Z4">
        <f t="shared" ca="1" si="0"/>
        <v>4.791175196506377E-16</v>
      </c>
    </row>
    <row r="5" spans="2:27" x14ac:dyDescent="0.35">
      <c r="B5" t="s">
        <v>56</v>
      </c>
      <c r="C5">
        <f t="shared" ca="1" si="1"/>
        <v>0.63140253311120975</v>
      </c>
      <c r="D5">
        <f t="shared" ca="1" si="0"/>
        <v>0.54343808434896324</v>
      </c>
      <c r="E5">
        <f t="shared" ca="1" si="0"/>
        <v>0.23943856349134629</v>
      </c>
      <c r="F5">
        <f t="shared" ca="1" si="0"/>
        <v>1</v>
      </c>
      <c r="G5">
        <f t="shared" ca="1" si="0"/>
        <v>0.56210606132826912</v>
      </c>
      <c r="H5">
        <f t="shared" ca="1" si="0"/>
        <v>-0.18584354345903911</v>
      </c>
      <c r="I5">
        <f t="shared" ca="1" si="0"/>
        <v>4.2553449614733209E-2</v>
      </c>
      <c r="J5">
        <f t="shared" ca="1" si="0"/>
        <v>0.84859995579969039</v>
      </c>
      <c r="K5">
        <f t="shared" ca="1" si="0"/>
        <v>0.75142691353471402</v>
      </c>
      <c r="L5">
        <f t="shared" ca="1" si="0"/>
        <v>0.6219239660598489</v>
      </c>
      <c r="M5">
        <f t="shared" ca="1" si="0"/>
        <v>0.37293058560674536</v>
      </c>
      <c r="N5">
        <f t="shared" ca="1" si="0"/>
        <v>-1.7212103218818824E-16</v>
      </c>
      <c r="O5">
        <f t="shared" ca="1" si="0"/>
        <v>0.65335628939246493</v>
      </c>
      <c r="P5">
        <f t="shared" ca="1" si="0"/>
        <v>-0.2600146741781123</v>
      </c>
      <c r="Q5">
        <f t="shared" ca="1" si="0"/>
        <v>0.67544485452176206</v>
      </c>
      <c r="R5">
        <f t="shared" ca="1" si="0"/>
        <v>0.66410682665250509</v>
      </c>
      <c r="S5">
        <f t="shared" ca="1" si="0"/>
        <v>0.47203211992024396</v>
      </c>
      <c r="T5">
        <f t="shared" ca="1" si="0"/>
        <v>0.37673034915920689</v>
      </c>
      <c r="U5">
        <f t="shared" ca="1" si="0"/>
        <v>-0.63605507008200102</v>
      </c>
      <c r="V5">
        <f t="shared" ca="1" si="0"/>
        <v>0.68025599113620383</v>
      </c>
      <c r="X5">
        <f t="shared" ca="1" si="0"/>
        <v>-5.8027278364835962E-2</v>
      </c>
      <c r="Y5">
        <f t="shared" ca="1" si="0"/>
        <v>0.17844337670356053</v>
      </c>
      <c r="Z5">
        <f t="shared" ca="1" si="0"/>
        <v>1.1717100458666398E-16</v>
      </c>
    </row>
    <row r="6" spans="2:27" x14ac:dyDescent="0.35">
      <c r="B6" t="s">
        <v>57</v>
      </c>
      <c r="C6">
        <f t="shared" ca="1" si="1"/>
        <v>0.99467126801769512</v>
      </c>
      <c r="D6">
        <f t="shared" ca="1" si="0"/>
        <v>0.99576693130521599</v>
      </c>
      <c r="E6">
        <f t="shared" ca="1" si="0"/>
        <v>0.39618244908474654</v>
      </c>
      <c r="F6">
        <f t="shared" ca="1" si="0"/>
        <v>0.56210606132826912</v>
      </c>
      <c r="G6">
        <f t="shared" ca="1" si="0"/>
        <v>1</v>
      </c>
      <c r="H6">
        <f t="shared" ca="1" si="0"/>
        <v>-0.45454956701437393</v>
      </c>
      <c r="I6">
        <f t="shared" ca="1" si="0"/>
        <v>0.57354467439977341</v>
      </c>
      <c r="J6">
        <f t="shared" ca="1" si="0"/>
        <v>0.73401696903741909</v>
      </c>
      <c r="K6">
        <f t="shared" ca="1" si="0"/>
        <v>0.53784057908879046</v>
      </c>
      <c r="L6">
        <f t="shared" ca="1" si="0"/>
        <v>0.90143145416486092</v>
      </c>
      <c r="M6">
        <f t="shared" ca="1" si="0"/>
        <v>-0.22119117208537406</v>
      </c>
      <c r="N6">
        <f t="shared" ca="1" si="0"/>
        <v>3.5724564361649096E-15</v>
      </c>
      <c r="O6">
        <f t="shared" ca="1" si="0"/>
        <v>7.4896051931368099E-2</v>
      </c>
      <c r="P6">
        <f t="shared" ca="1" si="0"/>
        <v>0.1734320623985165</v>
      </c>
      <c r="Q6">
        <f t="shared" ca="1" si="0"/>
        <v>0.98654115078489368</v>
      </c>
      <c r="R6">
        <f t="shared" ca="1" si="0"/>
        <v>0.9803924648585266</v>
      </c>
      <c r="S6">
        <f t="shared" ca="1" si="0"/>
        <v>-7.5505035153023217E-2</v>
      </c>
      <c r="T6">
        <f t="shared" ca="1" si="0"/>
        <v>0.68900772963644574</v>
      </c>
      <c r="U6">
        <f t="shared" ca="1" si="0"/>
        <v>0.21327829199119705</v>
      </c>
      <c r="V6">
        <f t="shared" ca="1" si="0"/>
        <v>0.97176255677378642</v>
      </c>
      <c r="X6">
        <f t="shared" ca="1" si="0"/>
        <v>0.6838221655283504</v>
      </c>
      <c r="Y6">
        <f t="shared" ca="1" si="0"/>
        <v>0.20759720289727024</v>
      </c>
      <c r="Z6">
        <f t="shared" ca="1" si="0"/>
        <v>2.0085376739788429E-15</v>
      </c>
    </row>
    <row r="7" spans="2:27" x14ac:dyDescent="0.35">
      <c r="B7" t="s">
        <v>58</v>
      </c>
      <c r="C7">
        <f t="shared" ca="1" si="1"/>
        <v>-0.41887018554337718</v>
      </c>
      <c r="D7">
        <f t="shared" ca="1" si="0"/>
        <v>-0.43077863372043701</v>
      </c>
      <c r="E7">
        <f t="shared" ca="1" si="0"/>
        <v>-0.30497537966019</v>
      </c>
      <c r="F7">
        <f t="shared" ca="1" si="0"/>
        <v>-0.18584354345903911</v>
      </c>
      <c r="G7">
        <f t="shared" ca="1" si="0"/>
        <v>-0.45454956701437393</v>
      </c>
      <c r="H7">
        <f t="shared" ca="1" si="0"/>
        <v>1</v>
      </c>
      <c r="I7">
        <f t="shared" ca="1" si="0"/>
        <v>-0.52241230738921118</v>
      </c>
      <c r="J7">
        <f t="shared" ca="1" si="0"/>
        <v>-0.35345406479969188</v>
      </c>
      <c r="K7">
        <f t="shared" ca="1" si="0"/>
        <v>-0.36412014743825744</v>
      </c>
      <c r="L7">
        <f t="shared" ca="1" si="0"/>
        <v>-0.43779446563652336</v>
      </c>
      <c r="M7">
        <f t="shared" ca="1" si="0"/>
        <v>0.3814809253248827</v>
      </c>
      <c r="N7">
        <f t="shared" ca="1" si="0"/>
        <v>1.654266485081348E-16</v>
      </c>
      <c r="O7">
        <f t="shared" ca="1" si="0"/>
        <v>0.16995813849857139</v>
      </c>
      <c r="P7">
        <f t="shared" ca="1" si="0"/>
        <v>-0.4537779774682546</v>
      </c>
      <c r="Q7">
        <f t="shared" ca="1" si="0"/>
        <v>-0.40928574706629256</v>
      </c>
      <c r="R7">
        <f t="shared" ca="1" si="0"/>
        <v>-0.39951792112289342</v>
      </c>
      <c r="S7">
        <f t="shared" ca="1" si="0"/>
        <v>0.41826347207220066</v>
      </c>
      <c r="T7">
        <f t="shared" ca="1" si="0"/>
        <v>-0.25924525721165542</v>
      </c>
      <c r="U7">
        <f t="shared" ca="1" si="0"/>
        <v>-4.440667685847341E-2</v>
      </c>
      <c r="V7">
        <f t="shared" ca="1" si="0"/>
        <v>-0.40570871892313221</v>
      </c>
      <c r="X7">
        <f t="shared" ca="1" si="0"/>
        <v>-0.3058841573264261</v>
      </c>
      <c r="Y7">
        <f t="shared" ca="1" si="0"/>
        <v>-0.10456567779831948</v>
      </c>
      <c r="Z7">
        <f t="shared" ca="1" si="0"/>
        <v>-4.2274972465717137E-16</v>
      </c>
    </row>
    <row r="8" spans="2:27" x14ac:dyDescent="0.35">
      <c r="B8" t="s">
        <v>79</v>
      </c>
      <c r="C8">
        <f t="shared" ca="1" si="1"/>
        <v>0.54075320191699017</v>
      </c>
      <c r="D8">
        <f t="shared" ca="1" si="0"/>
        <v>0.57210924911745709</v>
      </c>
      <c r="E8">
        <f t="shared" ca="1" si="0"/>
        <v>-0.15755309387731589</v>
      </c>
      <c r="F8">
        <f t="shared" ca="1" si="0"/>
        <v>4.2553449614733209E-2</v>
      </c>
      <c r="G8">
        <f t="shared" ca="1" si="0"/>
        <v>0.57354467439977341</v>
      </c>
      <c r="H8">
        <f t="shared" ca="1" si="0"/>
        <v>-0.52241230738921118</v>
      </c>
      <c r="I8">
        <f t="shared" ca="1" si="0"/>
        <v>0.99999999999999978</v>
      </c>
      <c r="J8">
        <f t="shared" ca="1" si="0"/>
        <v>0.40981894592690593</v>
      </c>
      <c r="K8">
        <f t="shared" ca="1" si="0"/>
        <v>6.6108374066031622E-2</v>
      </c>
      <c r="L8">
        <f t="shared" ca="1" si="0"/>
        <v>0.37129318149619933</v>
      </c>
      <c r="M8">
        <f t="shared" ca="1" si="0"/>
        <v>-0.14943120441354255</v>
      </c>
      <c r="N8">
        <f t="shared" ca="1" si="0"/>
        <v>-3.7919356155907161E-16</v>
      </c>
      <c r="O8">
        <f t="shared" ca="1" si="0"/>
        <v>-0.64526419372300647</v>
      </c>
      <c r="P8">
        <f t="shared" ca="1" si="0"/>
        <v>0.37366463256396232</v>
      </c>
      <c r="Q8">
        <f t="shared" ca="1" si="0"/>
        <v>0.53237073350380515</v>
      </c>
      <c r="R8">
        <f t="shared" ca="1" si="0"/>
        <v>0.5525173971328845</v>
      </c>
      <c r="S8">
        <f t="shared" ca="1" si="0"/>
        <v>-0.19238308195544021</v>
      </c>
      <c r="T8">
        <f t="shared" ca="1" si="0"/>
        <v>0.46624794939934205</v>
      </c>
      <c r="U8">
        <f t="shared" ca="1" si="0"/>
        <v>0.48459774008075895</v>
      </c>
      <c r="V8">
        <f t="shared" ca="1" si="0"/>
        <v>0.55674715890046855</v>
      </c>
      <c r="X8">
        <f t="shared" ca="1" si="0"/>
        <v>0.39339738383832062</v>
      </c>
      <c r="Y8">
        <f t="shared" ca="1" si="0"/>
        <v>7.6332633776362482E-3</v>
      </c>
      <c r="Z8">
        <f t="shared" ca="1" si="0"/>
        <v>-4.2581291260126102E-16</v>
      </c>
    </row>
    <row r="9" spans="2:27" x14ac:dyDescent="0.35">
      <c r="B9" t="s">
        <v>60</v>
      </c>
      <c r="C9">
        <f t="shared" ca="1" si="1"/>
        <v>0.7842559155276394</v>
      </c>
      <c r="D9">
        <f t="shared" ca="1" si="0"/>
        <v>0.72923314212387647</v>
      </c>
      <c r="E9">
        <f t="shared" ca="1" si="0"/>
        <v>1.6081320975447352E-4</v>
      </c>
      <c r="F9">
        <f t="shared" ca="1" si="0"/>
        <v>0.84859995579969039</v>
      </c>
      <c r="G9">
        <f t="shared" ca="1" si="0"/>
        <v>0.73401696903741909</v>
      </c>
      <c r="H9">
        <f t="shared" ca="1" si="0"/>
        <v>-0.35345406479969188</v>
      </c>
      <c r="I9">
        <f t="shared" ca="1" si="0"/>
        <v>0.40981894592690593</v>
      </c>
      <c r="J9">
        <f t="shared" ca="1" si="0"/>
        <v>1</v>
      </c>
      <c r="K9">
        <f t="shared" ca="1" si="0"/>
        <v>0.64996424297528133</v>
      </c>
      <c r="L9">
        <f t="shared" ca="1" si="0"/>
        <v>0.66063429992446177</v>
      </c>
      <c r="M9">
        <f t="shared" ca="1" si="0"/>
        <v>0.33588098205423211</v>
      </c>
      <c r="N9">
        <f t="shared" ca="1" si="0"/>
        <v>-6.1375851070125584E-16</v>
      </c>
      <c r="O9">
        <f t="shared" ca="1" si="0"/>
        <v>0.2585704479830479</v>
      </c>
      <c r="P9">
        <f t="shared" ca="1" si="0"/>
        <v>-2.3547742827980452E-2</v>
      </c>
      <c r="Q9">
        <f t="shared" ca="1" si="0"/>
        <v>0.81588013443978757</v>
      </c>
      <c r="R9">
        <f t="shared" ca="1" si="0"/>
        <v>0.82910678170448671</v>
      </c>
      <c r="S9">
        <f t="shared" ca="1" si="0"/>
        <v>0.33090569439623074</v>
      </c>
      <c r="T9">
        <f t="shared" ca="1" si="0"/>
        <v>0.50993040196163075</v>
      </c>
      <c r="U9">
        <f t="shared" ca="1" si="0"/>
        <v>-0.31325029928743986</v>
      </c>
      <c r="V9">
        <f t="shared" ca="1" si="0"/>
        <v>0.83314168216487383</v>
      </c>
      <c r="X9">
        <f t="shared" ca="1" si="0"/>
        <v>0.14878174379022535</v>
      </c>
      <c r="Y9">
        <f t="shared" ca="1" si="0"/>
        <v>-0.10073249133909641</v>
      </c>
      <c r="Z9">
        <f t="shared" ca="1" si="0"/>
        <v>-1.8743562743951961E-16</v>
      </c>
    </row>
    <row r="10" spans="2:27" x14ac:dyDescent="0.35">
      <c r="B10" t="s">
        <v>59</v>
      </c>
      <c r="C10">
        <f t="shared" ca="1" si="1"/>
        <v>0.56796621491520505</v>
      </c>
      <c r="D10">
        <f t="shared" ca="1" si="0"/>
        <v>0.48815507925056167</v>
      </c>
      <c r="E10">
        <f t="shared" ca="1" si="0"/>
        <v>0.43708565460361304</v>
      </c>
      <c r="F10">
        <f t="shared" ca="1" si="0"/>
        <v>0.75142691353471402</v>
      </c>
      <c r="G10">
        <f t="shared" ca="1" si="0"/>
        <v>0.53784057908879046</v>
      </c>
      <c r="H10">
        <f t="shared" ca="1" si="0"/>
        <v>-0.36412014743825744</v>
      </c>
      <c r="I10">
        <f t="shared" ca="1" si="0"/>
        <v>6.6108374066031622E-2</v>
      </c>
      <c r="J10">
        <f t="shared" ca="1" si="0"/>
        <v>0.64996424297528133</v>
      </c>
      <c r="K10">
        <f t="shared" ca="1" si="0"/>
        <v>1.0000000000000002</v>
      </c>
      <c r="L10">
        <f t="shared" ca="1" si="0"/>
        <v>0.79633984527837598</v>
      </c>
      <c r="M10">
        <f t="shared" ca="1" si="0"/>
        <v>-0.16632114703851217</v>
      </c>
      <c r="N10">
        <f t="shared" ca="1" si="0"/>
        <v>0</v>
      </c>
      <c r="O10">
        <f t="shared" ca="1" si="0"/>
        <v>0.43107034855919285</v>
      </c>
      <c r="P10">
        <f t="shared" ca="1" si="0"/>
        <v>-0.29059348345575631</v>
      </c>
      <c r="Q10">
        <f t="shared" ca="1" si="0"/>
        <v>0.58468826159611609</v>
      </c>
      <c r="R10">
        <f t="shared" ca="1" si="0"/>
        <v>0.56168474842772187</v>
      </c>
      <c r="S10">
        <f t="shared" ca="1" si="0"/>
        <v>-1.1079340898674656E-2</v>
      </c>
      <c r="T10">
        <f t="shared" ca="1" si="0"/>
        <v>0.3277208510645323</v>
      </c>
      <c r="U10">
        <f t="shared" ca="1" si="0"/>
        <v>-0.35944548160133272</v>
      </c>
      <c r="V10">
        <f t="shared" ca="1" si="0"/>
        <v>0.61771536948168382</v>
      </c>
      <c r="X10">
        <f t="shared" ca="1" si="0"/>
        <v>0.17857794679113467</v>
      </c>
      <c r="Y10">
        <f t="shared" ca="1" si="0"/>
        <v>2.7631314252138349E-2</v>
      </c>
      <c r="Z10">
        <f t="shared" ca="1" si="0"/>
        <v>-1.9471954099124717E-15</v>
      </c>
    </row>
    <row r="11" spans="2:27" x14ac:dyDescent="0.35">
      <c r="B11" t="s">
        <v>61</v>
      </c>
      <c r="C11">
        <f t="shared" ca="1" si="1"/>
        <v>0.89949694413308534</v>
      </c>
      <c r="D11">
        <f t="shared" ca="1" si="0"/>
        <v>0.86882325721132558</v>
      </c>
      <c r="E11">
        <f t="shared" ca="1" si="0"/>
        <v>0.5722686654025867</v>
      </c>
      <c r="F11">
        <f t="shared" ca="1" si="0"/>
        <v>0.6219239660598489</v>
      </c>
      <c r="G11">
        <f t="shared" ca="1" si="0"/>
        <v>0.90143145416486092</v>
      </c>
      <c r="H11">
        <f t="shared" ca="1" si="0"/>
        <v>-0.43779446563652336</v>
      </c>
      <c r="I11">
        <f t="shared" ca="1" si="0"/>
        <v>0.37129318149619933</v>
      </c>
      <c r="J11">
        <f t="shared" ca="1" si="0"/>
        <v>0.66063429992446177</v>
      </c>
      <c r="K11">
        <f t="shared" ca="1" si="0"/>
        <v>0.79633984527837598</v>
      </c>
      <c r="L11">
        <f t="shared" ca="1" si="0"/>
        <v>1</v>
      </c>
      <c r="M11">
        <f t="shared" ca="1" si="0"/>
        <v>-0.39110561117224701</v>
      </c>
      <c r="N11">
        <f t="shared" ca="1" si="0"/>
        <v>1.7136336489072349E-15</v>
      </c>
      <c r="O11">
        <f t="shared" ca="1" si="0"/>
        <v>0.24428922823421467</v>
      </c>
      <c r="P11">
        <f t="shared" ca="1" si="0"/>
        <v>-6.8291100551791523E-3</v>
      </c>
      <c r="Q11">
        <f t="shared" ca="1" si="0"/>
        <v>0.89433338138691099</v>
      </c>
      <c r="R11">
        <f t="shared" ca="1" si="0"/>
        <v>0.87387873441266029</v>
      </c>
      <c r="S11">
        <f t="shared" ca="1" si="0"/>
        <v>-0.15930573946226156</v>
      </c>
      <c r="T11">
        <f t="shared" ca="1" si="0"/>
        <v>0.53774201878769445</v>
      </c>
      <c r="U11">
        <f t="shared" ca="1" si="0"/>
        <v>6.6987435045460925E-2</v>
      </c>
      <c r="V11">
        <f t="shared" ca="1" si="0"/>
        <v>0.8885141666032037</v>
      </c>
      <c r="X11">
        <f t="shared" ca="1" si="0"/>
        <v>0.60434202966005957</v>
      </c>
      <c r="Y11">
        <f t="shared" ref="Y11:Z11" ca="1" si="2">CORREL(INDIRECT($B11,FALSE),INDIRECT(Y$1,FALSE))</f>
        <v>0.18346833617736252</v>
      </c>
      <c r="Z11">
        <f t="shared" ca="1" si="2"/>
        <v>-2.332964078258035E-15</v>
      </c>
    </row>
    <row r="12" spans="2:27" x14ac:dyDescent="0.35">
      <c r="B12" t="s">
        <v>62</v>
      </c>
      <c r="C12">
        <f t="shared" ca="1" si="1"/>
        <v>-0.13575766221759486</v>
      </c>
      <c r="D12">
        <f t="shared" ca="1" si="1"/>
        <v>-0.1795001836134717</v>
      </c>
      <c r="E12">
        <f t="shared" ca="1" si="1"/>
        <v>-0.60696714735012236</v>
      </c>
      <c r="F12">
        <f t="shared" ca="1" si="1"/>
        <v>0.37293058560674536</v>
      </c>
      <c r="G12">
        <f t="shared" ca="1" si="1"/>
        <v>-0.22119117208537406</v>
      </c>
      <c r="H12">
        <f t="shared" ca="1" si="1"/>
        <v>0.3814809253248827</v>
      </c>
      <c r="I12">
        <f t="shared" ca="1" si="1"/>
        <v>-0.14943120441354255</v>
      </c>
      <c r="J12">
        <f t="shared" ca="1" si="1"/>
        <v>0.33588098205423211</v>
      </c>
      <c r="K12">
        <f t="shared" ca="1" si="1"/>
        <v>-0.16632114703851217</v>
      </c>
      <c r="L12">
        <f t="shared" ca="1" si="1"/>
        <v>-0.39110561117224701</v>
      </c>
      <c r="M12">
        <f t="shared" ca="1" si="1"/>
        <v>1</v>
      </c>
      <c r="N12">
        <f t="shared" ca="1" si="1"/>
        <v>-2.5444691876440035E-16</v>
      </c>
      <c r="O12">
        <f t="shared" ca="1" si="1"/>
        <v>0.22939647701653126</v>
      </c>
      <c r="P12">
        <f t="shared" ca="1" si="1"/>
        <v>-0.12821500431777855</v>
      </c>
      <c r="Q12">
        <f t="shared" ca="1" si="1"/>
        <v>-8.8239534873861991E-2</v>
      </c>
      <c r="R12">
        <f t="shared" ca="1" si="1"/>
        <v>-5.6895770974709103E-2</v>
      </c>
      <c r="S12">
        <f t="shared" ref="S12:Z21" ca="1" si="3">CORREL(INDIRECT($B12,FALSE),INDIRECT(S$1,FALSE))</f>
        <v>0.77290177434406127</v>
      </c>
      <c r="T12">
        <f t="shared" ca="1" si="3"/>
        <v>-0.10090160368908312</v>
      </c>
      <c r="U12">
        <f t="shared" ca="1" si="3"/>
        <v>-0.50424033058059425</v>
      </c>
      <c r="V12">
        <f t="shared" ca="1" si="3"/>
        <v>-6.6601338618872741E-2</v>
      </c>
      <c r="X12">
        <f t="shared" ca="1" si="3"/>
        <v>-0.54907517373570469</v>
      </c>
      <c r="Y12">
        <f t="shared" ca="1" si="3"/>
        <v>-0.16669022443838755</v>
      </c>
      <c r="Z12">
        <f t="shared" ca="1" si="3"/>
        <v>-3.4015820589991351E-16</v>
      </c>
    </row>
    <row r="13" spans="2:27" x14ac:dyDescent="0.35">
      <c r="B13" t="s">
        <v>63</v>
      </c>
      <c r="C13">
        <f t="shared" ca="1" si="1"/>
        <v>-1.4664711670597672E-15</v>
      </c>
      <c r="D13">
        <f t="shared" ca="1" si="1"/>
        <v>2.416074212360039E-15</v>
      </c>
      <c r="E13">
        <f t="shared" ca="1" si="1"/>
        <v>1.1713126850435587E-15</v>
      </c>
      <c r="F13">
        <f t="shared" ca="1" si="1"/>
        <v>-1.7212103218818824E-16</v>
      </c>
      <c r="G13">
        <f t="shared" ca="1" si="1"/>
        <v>3.5724564361649096E-15</v>
      </c>
      <c r="H13">
        <f t="shared" ca="1" si="1"/>
        <v>1.654266485081348E-16</v>
      </c>
      <c r="I13">
        <f t="shared" ca="1" si="1"/>
        <v>-3.7919356155907161E-16</v>
      </c>
      <c r="J13">
        <f t="shared" ca="1" si="1"/>
        <v>-6.1375851070125584E-16</v>
      </c>
      <c r="K13">
        <f t="shared" ca="1" si="1"/>
        <v>0</v>
      </c>
      <c r="L13">
        <f t="shared" ca="1" si="1"/>
        <v>1.7136336489072349E-15</v>
      </c>
      <c r="M13">
        <f t="shared" ca="1" si="1"/>
        <v>-2.5444691876440035E-16</v>
      </c>
      <c r="N13">
        <f t="shared" ca="1" si="1"/>
        <v>1</v>
      </c>
      <c r="O13">
        <f t="shared" ca="1" si="1"/>
        <v>-3.517307257513246E-16</v>
      </c>
      <c r="P13">
        <f t="shared" ca="1" si="1"/>
        <v>1.2947393090460496E-15</v>
      </c>
      <c r="Q13">
        <f t="shared" ca="1" si="1"/>
        <v>0</v>
      </c>
      <c r="R13">
        <f t="shared" ca="1" si="1"/>
        <v>-3.7473378926044734E-15</v>
      </c>
      <c r="S13">
        <f t="shared" ca="1" si="3"/>
        <v>9.2444170981833631E-17</v>
      </c>
      <c r="T13">
        <f t="shared" ca="1" si="3"/>
        <v>-1.1696219159818051E-16</v>
      </c>
      <c r="U13">
        <f t="shared" ca="1" si="3"/>
        <v>-8.7954901039619681E-17</v>
      </c>
      <c r="V13">
        <f t="shared" ca="1" si="3"/>
        <v>-7.9528118303768795E-16</v>
      </c>
      <c r="X13">
        <f t="shared" ca="1" si="3"/>
        <v>9.2924760236108071E-16</v>
      </c>
      <c r="Y13">
        <f t="shared" ca="1" si="3"/>
        <v>1.5814018899614256E-15</v>
      </c>
    </row>
    <row r="14" spans="2:27" x14ac:dyDescent="0.35">
      <c r="B14" t="s">
        <v>64</v>
      </c>
      <c r="C14">
        <f t="shared" ca="1" si="1"/>
        <v>0.13636434494635294</v>
      </c>
      <c r="D14">
        <f t="shared" ca="1" si="1"/>
        <v>6.1741050158801172E-2</v>
      </c>
      <c r="E14">
        <f t="shared" ca="1" si="1"/>
        <v>0.45677219362669086</v>
      </c>
      <c r="F14">
        <f t="shared" ca="1" si="1"/>
        <v>0.65335628939246493</v>
      </c>
      <c r="G14">
        <f t="shared" ca="1" si="1"/>
        <v>7.4896051931368099E-2</v>
      </c>
      <c r="H14">
        <f t="shared" ca="1" si="1"/>
        <v>0.16995813849857139</v>
      </c>
      <c r="I14">
        <f t="shared" ca="1" si="1"/>
        <v>-0.64526419372300647</v>
      </c>
      <c r="J14">
        <f t="shared" ca="1" si="1"/>
        <v>0.2585704479830479</v>
      </c>
      <c r="K14">
        <f t="shared" ca="1" si="1"/>
        <v>0.43107034855919285</v>
      </c>
      <c r="L14">
        <f t="shared" ca="1" si="1"/>
        <v>0.24428922823421467</v>
      </c>
      <c r="M14">
        <f t="shared" ca="1" si="1"/>
        <v>0.22939647701653126</v>
      </c>
      <c r="N14">
        <f t="shared" ca="1" si="1"/>
        <v>-3.517307257513246E-16</v>
      </c>
      <c r="O14">
        <f t="shared" ca="1" si="1"/>
        <v>1</v>
      </c>
      <c r="P14">
        <f t="shared" ca="1" si="1"/>
        <v>-0.2920927684937189</v>
      </c>
      <c r="Q14">
        <f t="shared" ca="1" si="1"/>
        <v>0.17103451445068199</v>
      </c>
      <c r="R14">
        <f t="shared" ca="1" si="1"/>
        <v>0.14700704684961063</v>
      </c>
      <c r="S14">
        <f t="shared" ca="1" si="3"/>
        <v>0.2926408157051873</v>
      </c>
      <c r="T14">
        <f t="shared" ca="1" si="3"/>
        <v>-7.9862417492022081E-2</v>
      </c>
      <c r="U14">
        <f t="shared" ca="1" si="3"/>
        <v>-0.75130519206391355</v>
      </c>
      <c r="V14">
        <f t="shared" ca="1" si="3"/>
        <v>0.10450798879525575</v>
      </c>
      <c r="X14">
        <f t="shared" ca="1" si="3"/>
        <v>-0.25454550312008012</v>
      </c>
      <c r="Y14">
        <f t="shared" ca="1" si="3"/>
        <v>0.21973150859673071</v>
      </c>
      <c r="Z14">
        <f t="shared" ca="1" si="3"/>
        <v>7.3152683260245938E-16</v>
      </c>
    </row>
    <row r="15" spans="2:27" x14ac:dyDescent="0.35">
      <c r="B15" t="s">
        <v>65</v>
      </c>
      <c r="C15">
        <f t="shared" ca="1" si="1"/>
        <v>0.14559573431074896</v>
      </c>
      <c r="D15">
        <f t="shared" ca="1" si="1"/>
        <v>0.18768283934361485</v>
      </c>
      <c r="E15">
        <f t="shared" ca="1" si="1"/>
        <v>-0.19289227878579826</v>
      </c>
      <c r="F15">
        <f t="shared" ca="1" si="1"/>
        <v>-0.2600146741781123</v>
      </c>
      <c r="G15">
        <f t="shared" ca="1" si="1"/>
        <v>0.1734320623985165</v>
      </c>
      <c r="H15">
        <f t="shared" ca="1" si="1"/>
        <v>-0.4537779774682546</v>
      </c>
      <c r="I15">
        <f t="shared" ca="1" si="1"/>
        <v>0.37366463256396232</v>
      </c>
      <c r="J15">
        <f t="shared" ca="1" si="1"/>
        <v>-2.3547742827980452E-2</v>
      </c>
      <c r="K15">
        <f t="shared" ca="1" si="1"/>
        <v>-0.29059348345575631</v>
      </c>
      <c r="L15">
        <f t="shared" ca="1" si="1"/>
        <v>-6.8291100551791523E-3</v>
      </c>
      <c r="M15">
        <f t="shared" ca="1" si="1"/>
        <v>-0.12821500431777855</v>
      </c>
      <c r="N15">
        <f t="shared" ca="1" si="1"/>
        <v>1.2947393090460496E-15</v>
      </c>
      <c r="O15">
        <f t="shared" ca="1" si="1"/>
        <v>-0.2920927684937189</v>
      </c>
      <c r="P15">
        <f t="shared" ca="1" si="1"/>
        <v>1</v>
      </c>
      <c r="Q15">
        <f t="shared" ca="1" si="1"/>
        <v>0.13992026390161347</v>
      </c>
      <c r="R15">
        <f t="shared" ca="1" si="1"/>
        <v>0.18094143915318081</v>
      </c>
      <c r="S15">
        <f t="shared" ca="1" si="3"/>
        <v>-0.42602489868630344</v>
      </c>
      <c r="T15">
        <f t="shared" ca="1" si="3"/>
        <v>-0.15044460984821351</v>
      </c>
      <c r="U15">
        <f t="shared" ca="1" si="3"/>
        <v>0.32882082154230197</v>
      </c>
      <c r="V15">
        <f t="shared" ca="1" si="3"/>
        <v>6.0201036644008214E-2</v>
      </c>
      <c r="X15">
        <f t="shared" ca="1" si="3"/>
        <v>0.12832900735894198</v>
      </c>
      <c r="Y15">
        <f t="shared" ca="1" si="3"/>
        <v>-0.33467659203504591</v>
      </c>
      <c r="Z15">
        <f t="shared" ca="1" si="3"/>
        <v>-1.1811336572019412E-15</v>
      </c>
    </row>
    <row r="16" spans="2:27" x14ac:dyDescent="0.35">
      <c r="B16" t="s">
        <v>66</v>
      </c>
      <c r="C16">
        <f t="shared" ca="1" si="1"/>
        <v>0.99718035537699834</v>
      </c>
      <c r="D16">
        <f t="shared" ca="1" si="1"/>
        <v>0.98183405149058145</v>
      </c>
      <c r="E16">
        <f t="shared" ca="1" si="1"/>
        <v>0.34237074514210297</v>
      </c>
      <c r="F16">
        <f t="shared" ca="1" si="1"/>
        <v>0.67544485452176206</v>
      </c>
      <c r="G16">
        <f t="shared" ca="1" si="1"/>
        <v>0.98654115078489368</v>
      </c>
      <c r="H16">
        <f t="shared" ca="1" si="1"/>
        <v>-0.40928574706629256</v>
      </c>
      <c r="I16">
        <f t="shared" ca="1" si="1"/>
        <v>0.53237073350380515</v>
      </c>
      <c r="J16">
        <f t="shared" ca="1" si="1"/>
        <v>0.81588013443978757</v>
      </c>
      <c r="K16">
        <f t="shared" ca="1" si="1"/>
        <v>0.58468826159611609</v>
      </c>
      <c r="L16">
        <f t="shared" ca="1" si="1"/>
        <v>0.89433338138691099</v>
      </c>
      <c r="M16">
        <f t="shared" ca="1" si="1"/>
        <v>-8.8239534873861991E-2</v>
      </c>
      <c r="N16">
        <f t="shared" ca="1" si="1"/>
        <v>0</v>
      </c>
      <c r="O16">
        <f t="shared" ca="1" si="1"/>
        <v>0.17103451445068199</v>
      </c>
      <c r="P16">
        <f t="shared" ca="1" si="1"/>
        <v>0.13992026390161347</v>
      </c>
      <c r="Q16">
        <f t="shared" ca="1" si="1"/>
        <v>1.0000000000000002</v>
      </c>
      <c r="R16">
        <f t="shared" ca="1" si="1"/>
        <v>0.99724824197633244</v>
      </c>
      <c r="S16">
        <f t="shared" ca="1" si="3"/>
        <v>3.7999444496531538E-2</v>
      </c>
      <c r="T16">
        <f t="shared" ca="1" si="3"/>
        <v>0.66155605120092498</v>
      </c>
      <c r="U16">
        <f t="shared" ca="1" si="3"/>
        <v>8.2468525083737393E-2</v>
      </c>
      <c r="V16">
        <f t="shared" ca="1" si="3"/>
        <v>0.98501978959585279</v>
      </c>
      <c r="X16">
        <f t="shared" ca="1" si="3"/>
        <v>0.57735026918962573</v>
      </c>
      <c r="Y16">
        <f t="shared" ca="1" si="3"/>
        <v>0.17527408004264705</v>
      </c>
      <c r="Z16">
        <f t="shared" ca="1" si="3"/>
        <v>2.3066214257150292E-15</v>
      </c>
    </row>
    <row r="17" spans="2:32" x14ac:dyDescent="0.35">
      <c r="B17" t="s">
        <v>67</v>
      </c>
      <c r="C17">
        <f t="shared" ca="1" si="1"/>
        <v>0.9926031107414075</v>
      </c>
      <c r="D17">
        <f t="shared" ca="1" si="1"/>
        <v>0.97733509495240267</v>
      </c>
      <c r="E17">
        <f t="shared" ca="1" si="1"/>
        <v>0.28377517758487381</v>
      </c>
      <c r="F17">
        <f t="shared" ca="1" si="1"/>
        <v>0.66410682665250509</v>
      </c>
      <c r="G17">
        <f t="shared" ca="1" si="1"/>
        <v>0.9803924648585266</v>
      </c>
      <c r="H17">
        <f t="shared" ca="1" si="1"/>
        <v>-0.39951792112289342</v>
      </c>
      <c r="I17">
        <f t="shared" ca="1" si="1"/>
        <v>0.5525173971328845</v>
      </c>
      <c r="J17">
        <f t="shared" ca="1" si="1"/>
        <v>0.82910678170448671</v>
      </c>
      <c r="K17">
        <f t="shared" ca="1" si="1"/>
        <v>0.56168474842772187</v>
      </c>
      <c r="L17">
        <f t="shared" ca="1" si="1"/>
        <v>0.87387873441266029</v>
      </c>
      <c r="M17">
        <f t="shared" ca="1" si="1"/>
        <v>-5.6895770974709103E-2</v>
      </c>
      <c r="N17">
        <f t="shared" ca="1" si="1"/>
        <v>-3.7473378926044734E-15</v>
      </c>
      <c r="O17">
        <f t="shared" ca="1" si="1"/>
        <v>0.14700704684961063</v>
      </c>
      <c r="P17">
        <f t="shared" ca="1" si="1"/>
        <v>0.18094143915318081</v>
      </c>
      <c r="Q17">
        <f t="shared" ca="1" si="1"/>
        <v>0.99724824197633244</v>
      </c>
      <c r="R17">
        <f t="shared" ca="1" si="1"/>
        <v>1</v>
      </c>
      <c r="S17">
        <f t="shared" ca="1" si="3"/>
        <v>4.0199838208897172E-2</v>
      </c>
      <c r="T17">
        <f t="shared" ca="1" si="3"/>
        <v>0.64781821692054753</v>
      </c>
      <c r="U17">
        <f t="shared" ca="1" si="3"/>
        <v>9.0363925342526089E-2</v>
      </c>
      <c r="V17">
        <f t="shared" ca="1" si="3"/>
        <v>0.98022318208189863</v>
      </c>
      <c r="X17">
        <f t="shared" ca="1" si="3"/>
        <v>0.55572248712746952</v>
      </c>
      <c r="Y17">
        <f t="shared" ca="1" si="3"/>
        <v>0.11478636978530198</v>
      </c>
      <c r="Z17">
        <f t="shared" ca="1" si="3"/>
        <v>4.3050769913218357E-15</v>
      </c>
    </row>
    <row r="18" spans="2:32" x14ac:dyDescent="0.35">
      <c r="B18" t="s">
        <v>68</v>
      </c>
      <c r="C18">
        <f t="shared" ca="1" si="1"/>
        <v>-7.4807790952749927E-3</v>
      </c>
      <c r="D18">
        <f t="shared" ca="1" si="1"/>
        <v>-6.5471182311809387E-2</v>
      </c>
      <c r="E18">
        <f t="shared" ca="1" si="1"/>
        <v>-0.40284027339918027</v>
      </c>
      <c r="F18">
        <f t="shared" ca="1" si="1"/>
        <v>0.47203211992024396</v>
      </c>
      <c r="G18">
        <f t="shared" ca="1" si="1"/>
        <v>-7.5505035153023217E-2</v>
      </c>
      <c r="H18">
        <f t="shared" ca="1" si="1"/>
        <v>0.41826347207220066</v>
      </c>
      <c r="I18">
        <f t="shared" ca="1" si="1"/>
        <v>-0.19238308195544021</v>
      </c>
      <c r="J18">
        <f t="shared" ca="1" si="1"/>
        <v>0.33090569439623074</v>
      </c>
      <c r="K18">
        <f t="shared" ca="1" si="1"/>
        <v>-1.1079340898674656E-2</v>
      </c>
      <c r="L18">
        <f t="shared" ca="1" si="1"/>
        <v>-0.15930573946226156</v>
      </c>
      <c r="M18">
        <f t="shared" ca="1" si="1"/>
        <v>0.77290177434406127</v>
      </c>
      <c r="N18">
        <f t="shared" ca="1" si="1"/>
        <v>9.2444170981833631E-17</v>
      </c>
      <c r="O18">
        <f t="shared" ca="1" si="1"/>
        <v>0.2926408157051873</v>
      </c>
      <c r="P18">
        <f t="shared" ca="1" si="1"/>
        <v>-0.42602489868630344</v>
      </c>
      <c r="Q18">
        <f t="shared" ca="1" si="1"/>
        <v>3.7999444496531538E-2</v>
      </c>
      <c r="R18">
        <f t="shared" ca="1" si="1"/>
        <v>4.0199838208897172E-2</v>
      </c>
      <c r="S18">
        <f t="shared" ca="1" si="3"/>
        <v>1</v>
      </c>
      <c r="T18">
        <f t="shared" ca="1" si="3"/>
        <v>4.643405417860258E-2</v>
      </c>
      <c r="U18">
        <f t="shared" ca="1" si="3"/>
        <v>-0.5278255456218458</v>
      </c>
      <c r="V18">
        <f t="shared" ca="1" si="3"/>
        <v>0.11169631658174266</v>
      </c>
      <c r="X18">
        <f t="shared" ca="1" si="3"/>
        <v>-0.44689104554986259</v>
      </c>
      <c r="Y18">
        <f t="shared" ca="1" si="3"/>
        <v>9.4349432718793841E-2</v>
      </c>
      <c r="Z18">
        <f t="shared" ca="1" si="3"/>
        <v>-1.4727458977713169E-16</v>
      </c>
    </row>
    <row r="19" spans="2:32" x14ac:dyDescent="0.35">
      <c r="B19" t="s">
        <v>69</v>
      </c>
      <c r="C19">
        <f t="shared" ca="1" si="1"/>
        <v>0.6752505882841825</v>
      </c>
      <c r="D19">
        <f t="shared" ca="1" si="1"/>
        <v>0.69744263891364067</v>
      </c>
      <c r="E19">
        <f t="shared" ca="1" si="1"/>
        <v>0.25928227290606404</v>
      </c>
      <c r="F19">
        <f t="shared" ca="1" si="1"/>
        <v>0.37673034915920689</v>
      </c>
      <c r="G19">
        <f t="shared" ca="1" si="1"/>
        <v>0.68900772963644574</v>
      </c>
      <c r="H19">
        <f t="shared" ca="1" si="1"/>
        <v>-0.25924525721165542</v>
      </c>
      <c r="I19">
        <f t="shared" ca="1" si="1"/>
        <v>0.46624794939934205</v>
      </c>
      <c r="J19">
        <f t="shared" ca="1" si="1"/>
        <v>0.50993040196163075</v>
      </c>
      <c r="K19">
        <f t="shared" ca="1" si="1"/>
        <v>0.3277208510645323</v>
      </c>
      <c r="L19">
        <f t="shared" ca="1" si="1"/>
        <v>0.53774201878769445</v>
      </c>
      <c r="M19">
        <f t="shared" ca="1" si="1"/>
        <v>-0.10090160368908312</v>
      </c>
      <c r="N19">
        <f t="shared" ca="1" si="1"/>
        <v>-1.1696219159818051E-16</v>
      </c>
      <c r="O19">
        <f t="shared" ca="1" si="1"/>
        <v>-7.9862417492022081E-2</v>
      </c>
      <c r="P19">
        <f t="shared" ca="1" si="1"/>
        <v>-0.15044460984821351</v>
      </c>
      <c r="Q19">
        <f t="shared" ca="1" si="1"/>
        <v>0.66155605120092498</v>
      </c>
      <c r="R19">
        <f t="shared" ca="1" si="1"/>
        <v>0.64781821692054753</v>
      </c>
      <c r="S19">
        <f t="shared" ca="1" si="3"/>
        <v>4.643405417860258E-2</v>
      </c>
      <c r="T19">
        <f t="shared" ca="1" si="3"/>
        <v>1</v>
      </c>
      <c r="U19">
        <f t="shared" ca="1" si="3"/>
        <v>0.15601388049988033</v>
      </c>
      <c r="V19">
        <f t="shared" ca="1" si="3"/>
        <v>0.68763730830011494</v>
      </c>
      <c r="X19">
        <f t="shared" ca="1" si="3"/>
        <v>0.52492073545208862</v>
      </c>
      <c r="Y19">
        <f t="shared" ca="1" si="3"/>
        <v>0.31154151147321546</v>
      </c>
      <c r="Z19">
        <f t="shared" ca="1" si="3"/>
        <v>-2.921387027143246E-17</v>
      </c>
    </row>
    <row r="20" spans="2:32" x14ac:dyDescent="0.35">
      <c r="B20" t="s">
        <v>70</v>
      </c>
      <c r="C20">
        <f t="shared" ca="1" si="1"/>
        <v>0.14337252291549812</v>
      </c>
      <c r="D20">
        <f t="shared" ca="1" si="1"/>
        <v>0.24199652839267405</v>
      </c>
      <c r="E20">
        <f t="shared" ca="1" si="1"/>
        <v>6.5358276857449256E-4</v>
      </c>
      <c r="F20">
        <f t="shared" ca="1" si="1"/>
        <v>-0.63605507008200102</v>
      </c>
      <c r="G20">
        <f t="shared" ca="1" si="1"/>
        <v>0.21327829199119705</v>
      </c>
      <c r="H20">
        <f t="shared" ca="1" si="1"/>
        <v>-4.440667685847341E-2</v>
      </c>
      <c r="I20">
        <f t="shared" ca="1" si="1"/>
        <v>0.48459774008075895</v>
      </c>
      <c r="J20">
        <f t="shared" ca="1" si="1"/>
        <v>-0.31325029928743986</v>
      </c>
      <c r="K20">
        <f t="shared" ca="1" si="1"/>
        <v>-0.35944548160133272</v>
      </c>
      <c r="L20">
        <f t="shared" ca="1" si="1"/>
        <v>6.6987435045460925E-2</v>
      </c>
      <c r="M20">
        <f t="shared" ca="1" si="1"/>
        <v>-0.50424033058059425</v>
      </c>
      <c r="N20">
        <f t="shared" ca="1" si="1"/>
        <v>-8.7954901039619681E-17</v>
      </c>
      <c r="O20">
        <f t="shared" ca="1" si="1"/>
        <v>-0.75130519206391355</v>
      </c>
      <c r="P20">
        <f t="shared" ca="1" si="1"/>
        <v>0.32882082154230197</v>
      </c>
      <c r="Q20">
        <f t="shared" ca="1" si="1"/>
        <v>8.2468525083737393E-2</v>
      </c>
      <c r="R20">
        <f t="shared" ca="1" si="1"/>
        <v>9.0363925342526089E-2</v>
      </c>
      <c r="S20">
        <f t="shared" ca="1" si="3"/>
        <v>-0.5278255456218458</v>
      </c>
      <c r="T20">
        <f t="shared" ca="1" si="3"/>
        <v>0.15601388049988033</v>
      </c>
      <c r="U20">
        <f t="shared" ca="1" si="3"/>
        <v>0.99999999999999989</v>
      </c>
      <c r="V20">
        <f t="shared" ca="1" si="3"/>
        <v>8.8202263446232637E-2</v>
      </c>
      <c r="X20">
        <f t="shared" ca="1" si="3"/>
        <v>0.71617943289713237</v>
      </c>
      <c r="Y20">
        <f t="shared" ca="1" si="3"/>
        <v>-2.2604815958603944E-3</v>
      </c>
      <c r="Z20">
        <f t="shared" ca="1" si="3"/>
        <v>-3.7659779267375135E-16</v>
      </c>
    </row>
    <row r="21" spans="2:32" x14ac:dyDescent="0.35">
      <c r="B21" t="s">
        <v>71</v>
      </c>
      <c r="C21">
        <f t="shared" ca="1" si="1"/>
        <v>0.9822423838425679</v>
      </c>
      <c r="D21">
        <f t="shared" ca="1" si="1"/>
        <v>0.96365086091909125</v>
      </c>
      <c r="E21">
        <f t="shared" ca="1" si="1"/>
        <v>0.28092919807747185</v>
      </c>
      <c r="F21">
        <f t="shared" ca="1" si="1"/>
        <v>0.68025599113620383</v>
      </c>
      <c r="G21">
        <f t="shared" ca="1" si="1"/>
        <v>0.97176255677378642</v>
      </c>
      <c r="H21">
        <f t="shared" ca="1" si="1"/>
        <v>-0.40570871892313221</v>
      </c>
      <c r="I21">
        <f t="shared" ca="1" si="1"/>
        <v>0.55674715890046855</v>
      </c>
      <c r="J21">
        <f t="shared" ca="1" si="1"/>
        <v>0.83314168216487383</v>
      </c>
      <c r="K21">
        <f t="shared" ca="1" si="1"/>
        <v>0.61771536948168382</v>
      </c>
      <c r="L21">
        <f t="shared" ca="1" si="1"/>
        <v>0.8885141666032037</v>
      </c>
      <c r="M21">
        <f t="shared" ca="1" si="1"/>
        <v>-6.6601338618872741E-2</v>
      </c>
      <c r="N21">
        <f t="shared" ca="1" si="1"/>
        <v>-7.9528118303768795E-16</v>
      </c>
      <c r="O21">
        <f t="shared" ca="1" si="1"/>
        <v>0.10450798879525575</v>
      </c>
      <c r="P21">
        <f t="shared" ca="1" si="1"/>
        <v>6.0201036644008214E-2</v>
      </c>
      <c r="Q21">
        <f t="shared" ca="1" si="1"/>
        <v>0.98501978959585279</v>
      </c>
      <c r="R21">
        <f t="shared" ca="1" si="1"/>
        <v>0.98022318208189863</v>
      </c>
      <c r="S21">
        <f t="shared" ca="1" si="3"/>
        <v>0.11169631658174266</v>
      </c>
      <c r="T21">
        <f t="shared" ca="1" si="3"/>
        <v>0.68763730830011494</v>
      </c>
      <c r="U21">
        <f t="shared" ca="1" si="3"/>
        <v>8.8202263446232637E-2</v>
      </c>
      <c r="V21">
        <f t="shared" ca="1" si="3"/>
        <v>0.99999999999999989</v>
      </c>
      <c r="X21">
        <f t="shared" ca="1" si="3"/>
        <v>0.56870144068027395</v>
      </c>
      <c r="Y21">
        <f t="shared" ca="1" si="3"/>
        <v>0.17264843744521477</v>
      </c>
      <c r="Z21">
        <f t="shared" ca="1" si="3"/>
        <v>2.0815691093425722E-15</v>
      </c>
    </row>
    <row r="22" spans="2:32" x14ac:dyDescent="0.35">
      <c r="B22" t="s">
        <v>72</v>
      </c>
    </row>
    <row r="23" spans="2:32" x14ac:dyDescent="0.35">
      <c r="B23" t="s">
        <v>73</v>
      </c>
      <c r="C23">
        <f t="shared" ca="1" si="1"/>
        <v>0.63671144012177738</v>
      </c>
      <c r="D23">
        <f t="shared" ref="D23:Z25" ca="1" si="4">CORREL(INDIRECT($B23,FALSE),INDIRECT(D$1,FALSE))</f>
        <v>0.70775641755677532</v>
      </c>
      <c r="E23">
        <f t="shared" ca="1" si="4"/>
        <v>0.52661593316616162</v>
      </c>
      <c r="F23">
        <f t="shared" ca="1" si="4"/>
        <v>-5.8027278364835962E-2</v>
      </c>
      <c r="G23">
        <f t="shared" ca="1" si="4"/>
        <v>0.6838221655283504</v>
      </c>
      <c r="H23">
        <f t="shared" ca="1" si="4"/>
        <v>-0.3058841573264261</v>
      </c>
      <c r="I23">
        <f t="shared" ca="1" si="4"/>
        <v>0.39339738383832062</v>
      </c>
      <c r="J23">
        <f t="shared" ca="1" si="4"/>
        <v>0.14878174379022535</v>
      </c>
      <c r="K23">
        <f t="shared" ca="1" si="4"/>
        <v>0.17857794679113467</v>
      </c>
      <c r="L23">
        <f t="shared" ca="1" si="4"/>
        <v>0.60434202966005957</v>
      </c>
      <c r="M23">
        <f t="shared" ca="1" si="4"/>
        <v>-0.54907517373570469</v>
      </c>
      <c r="N23">
        <f t="shared" ca="1" si="4"/>
        <v>9.2924760236108071E-16</v>
      </c>
      <c r="O23">
        <f t="shared" ca="1" si="4"/>
        <v>-0.25454550312008012</v>
      </c>
      <c r="P23">
        <f t="shared" ca="1" si="4"/>
        <v>0.12832900735894198</v>
      </c>
      <c r="Q23">
        <f t="shared" ca="1" si="4"/>
        <v>0.57735026918962573</v>
      </c>
      <c r="R23">
        <f t="shared" ca="1" si="4"/>
        <v>0.55572248712746952</v>
      </c>
      <c r="S23">
        <f t="shared" ca="1" si="4"/>
        <v>-0.44689104554986259</v>
      </c>
      <c r="T23">
        <f t="shared" ca="1" si="4"/>
        <v>0.52492073545208862</v>
      </c>
      <c r="U23">
        <f t="shared" ca="1" si="4"/>
        <v>0.71617943289713237</v>
      </c>
      <c r="V23">
        <f t="shared" ca="1" si="4"/>
        <v>0.56870144068027395</v>
      </c>
      <c r="X23">
        <f t="shared" ca="1" si="4"/>
        <v>1</v>
      </c>
      <c r="Y23">
        <f t="shared" ca="1" si="4"/>
        <v>0.30358361188375876</v>
      </c>
      <c r="Z23">
        <f t="shared" ca="1" si="4"/>
        <v>-3.7169904094443224E-16</v>
      </c>
    </row>
    <row r="24" spans="2:32" x14ac:dyDescent="0.35">
      <c r="B24" t="s">
        <v>74</v>
      </c>
      <c r="C24">
        <f t="shared" ref="C24:C25" ca="1" si="5">CORREL(INDIRECT($B24,FALSE),INDIRECT(C$1,FALSE))</f>
        <v>0.19329515871987887</v>
      </c>
      <c r="D24">
        <f t="shared" ca="1" si="4"/>
        <v>0.21486324957579564</v>
      </c>
      <c r="E24">
        <f t="shared" ca="1" si="4"/>
        <v>0.63947706260000015</v>
      </c>
      <c r="F24">
        <f t="shared" ca="1" si="4"/>
        <v>0.17844337670356053</v>
      </c>
      <c r="G24">
        <f t="shared" ca="1" si="4"/>
        <v>0.20759720289727024</v>
      </c>
      <c r="H24">
        <f t="shared" ca="1" si="4"/>
        <v>-0.10456567779831948</v>
      </c>
      <c r="I24">
        <f t="shared" ca="1" si="4"/>
        <v>7.6332633776362482E-3</v>
      </c>
      <c r="J24">
        <f t="shared" ca="1" si="4"/>
        <v>-0.10073249133909641</v>
      </c>
      <c r="K24">
        <f t="shared" ca="1" si="4"/>
        <v>2.7631314252138349E-2</v>
      </c>
      <c r="L24">
        <f t="shared" ca="1" si="4"/>
        <v>0.18346833617736252</v>
      </c>
      <c r="M24">
        <f t="shared" ca="1" si="4"/>
        <v>-0.16669022443838755</v>
      </c>
      <c r="N24">
        <f t="shared" ca="1" si="4"/>
        <v>1.5814018899614256E-15</v>
      </c>
      <c r="O24">
        <f t="shared" ca="1" si="4"/>
        <v>0.21973150859673071</v>
      </c>
      <c r="P24">
        <f t="shared" ca="1" si="4"/>
        <v>-0.33467659203504591</v>
      </c>
      <c r="Q24">
        <f t="shared" ca="1" si="4"/>
        <v>0.17527408004264705</v>
      </c>
      <c r="R24">
        <f t="shared" ca="1" si="4"/>
        <v>0.11478636978530198</v>
      </c>
      <c r="S24">
        <f t="shared" ca="1" si="4"/>
        <v>9.4349432718793841E-2</v>
      </c>
      <c r="T24">
        <f t="shared" ca="1" si="4"/>
        <v>0.31154151147321546</v>
      </c>
      <c r="U24">
        <f t="shared" ca="1" si="4"/>
        <v>-2.2604815958603944E-3</v>
      </c>
      <c r="V24">
        <f t="shared" ca="1" si="4"/>
        <v>0.17264843744521477</v>
      </c>
      <c r="X24">
        <f t="shared" ca="1" si="4"/>
        <v>0.30358361188375876</v>
      </c>
      <c r="Y24">
        <f t="shared" ca="1" si="4"/>
        <v>1</v>
      </c>
      <c r="Z24">
        <f t="shared" ca="1" si="4"/>
        <v>-2.823340569959164E-15</v>
      </c>
    </row>
    <row r="25" spans="2:32" x14ac:dyDescent="0.35">
      <c r="B25" t="s">
        <v>75</v>
      </c>
      <c r="C25">
        <f t="shared" ca="1" si="5"/>
        <v>3.0144193054916007E-15</v>
      </c>
      <c r="D25">
        <f t="shared" ca="1" si="4"/>
        <v>1.7547565523596977E-15</v>
      </c>
      <c r="E25">
        <f t="shared" ca="1" si="4"/>
        <v>4.791175196506377E-16</v>
      </c>
      <c r="F25">
        <f t="shared" ca="1" si="4"/>
        <v>1.1717100458666398E-16</v>
      </c>
      <c r="G25">
        <f t="shared" ca="1" si="4"/>
        <v>2.0085376739788429E-15</v>
      </c>
      <c r="H25">
        <f t="shared" ca="1" si="4"/>
        <v>-4.2274972465717137E-16</v>
      </c>
      <c r="I25">
        <f t="shared" ca="1" si="4"/>
        <v>-4.2581291260126102E-16</v>
      </c>
      <c r="J25">
        <f t="shared" ca="1" si="4"/>
        <v>-1.8743562743951961E-16</v>
      </c>
      <c r="K25">
        <f t="shared" ca="1" si="4"/>
        <v>-1.9471954099124717E-15</v>
      </c>
      <c r="L25">
        <f t="shared" ca="1" si="4"/>
        <v>-2.332964078258035E-15</v>
      </c>
      <c r="M25">
        <f t="shared" ca="1" si="4"/>
        <v>-3.4015820589991351E-16</v>
      </c>
      <c r="O25">
        <f t="shared" ca="1" si="4"/>
        <v>7.3152683260245938E-16</v>
      </c>
      <c r="P25">
        <f t="shared" ca="1" si="4"/>
        <v>-1.1811336572019412E-15</v>
      </c>
      <c r="Q25">
        <f t="shared" ca="1" si="4"/>
        <v>2.3066214257150292E-15</v>
      </c>
      <c r="R25">
        <f t="shared" ca="1" si="4"/>
        <v>4.3050769913218357E-15</v>
      </c>
      <c r="S25">
        <f t="shared" ca="1" si="4"/>
        <v>-1.4727458977713169E-16</v>
      </c>
      <c r="T25">
        <f t="shared" ca="1" si="4"/>
        <v>-2.921387027143246E-17</v>
      </c>
      <c r="U25">
        <f t="shared" ca="1" si="4"/>
        <v>-3.7659779267375135E-16</v>
      </c>
      <c r="V25">
        <f t="shared" ca="1" si="4"/>
        <v>2.0815691093425722E-15</v>
      </c>
      <c r="X25">
        <f t="shared" ca="1" si="4"/>
        <v>-3.7169904094443224E-16</v>
      </c>
      <c r="Y25">
        <f t="shared" ca="1" si="4"/>
        <v>-2.823340569959164E-15</v>
      </c>
      <c r="Z25">
        <f t="shared" ca="1" si="4"/>
        <v>1</v>
      </c>
    </row>
    <row r="26" spans="2:32" x14ac:dyDescent="0.35">
      <c r="B26" t="s">
        <v>76</v>
      </c>
    </row>
    <row r="29" spans="2:32" x14ac:dyDescent="0.35">
      <c r="B29" s="64" t="s">
        <v>80</v>
      </c>
    </row>
    <row r="30" spans="2:32" x14ac:dyDescent="0.35">
      <c r="B30" s="64" t="s">
        <v>81</v>
      </c>
      <c r="AE30" s="64">
        <v>188.947</v>
      </c>
      <c r="AF30" s="64" t="s">
        <v>109</v>
      </c>
    </row>
    <row r="31" spans="2:32" x14ac:dyDescent="0.35">
      <c r="AE31" s="70">
        <v>0.9</v>
      </c>
      <c r="AF31" s="64">
        <v>1</v>
      </c>
    </row>
    <row r="32" spans="2:32" x14ac:dyDescent="0.35">
      <c r="C32" t="s">
        <v>25</v>
      </c>
    </row>
    <row r="33" spans="2:42" x14ac:dyDescent="0.35">
      <c r="B33" t="s">
        <v>107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P33" t="s">
        <v>30</v>
      </c>
      <c r="Q33">
        <v>1</v>
      </c>
      <c r="R33">
        <v>2</v>
      </c>
      <c r="S33">
        <v>3</v>
      </c>
      <c r="T33">
        <v>4</v>
      </c>
      <c r="U33">
        <v>5</v>
      </c>
      <c r="V33">
        <v>6</v>
      </c>
      <c r="W33">
        <v>7</v>
      </c>
      <c r="X33">
        <v>8</v>
      </c>
      <c r="Y33">
        <v>9</v>
      </c>
      <c r="Z33">
        <v>10</v>
      </c>
      <c r="AA33">
        <v>11</v>
      </c>
      <c r="AB33">
        <v>12</v>
      </c>
      <c r="AD33" t="s">
        <v>108</v>
      </c>
      <c r="AE33">
        <v>1</v>
      </c>
      <c r="AF33">
        <v>2</v>
      </c>
      <c r="AG33">
        <v>3</v>
      </c>
      <c r="AH33">
        <v>4</v>
      </c>
      <c r="AI33">
        <v>5</v>
      </c>
      <c r="AJ33">
        <v>6</v>
      </c>
      <c r="AK33">
        <v>7</v>
      </c>
      <c r="AL33">
        <v>8</v>
      </c>
      <c r="AM33">
        <v>9</v>
      </c>
      <c r="AN33">
        <v>10</v>
      </c>
      <c r="AO33">
        <v>11</v>
      </c>
      <c r="AP33">
        <v>12</v>
      </c>
    </row>
    <row r="34" spans="2:42" x14ac:dyDescent="0.35">
      <c r="B34" t="s">
        <v>55</v>
      </c>
      <c r="C34">
        <v>0.52094320053320964</v>
      </c>
      <c r="D34">
        <v>0.52842820102290211</v>
      </c>
      <c r="E34">
        <v>0.52842820102290211</v>
      </c>
      <c r="F34">
        <v>0.21850039872374513</v>
      </c>
      <c r="G34">
        <v>0.21850039872374513</v>
      </c>
      <c r="H34">
        <v>0.21850039872374513</v>
      </c>
      <c r="I34">
        <v>7.2362722698693205E-2</v>
      </c>
      <c r="J34">
        <v>7.2362722698693205E-2</v>
      </c>
      <c r="K34">
        <v>7.2362722698693205E-2</v>
      </c>
      <c r="L34">
        <v>7.2362722698693205E-2</v>
      </c>
      <c r="M34">
        <v>7.2362722698693205E-2</v>
      </c>
      <c r="N34">
        <v>7.2362722698693205E-2</v>
      </c>
      <c r="P34" t="s">
        <v>55</v>
      </c>
      <c r="Q34">
        <v>188.28</v>
      </c>
      <c r="R34">
        <v>188.52</v>
      </c>
      <c r="S34">
        <v>188.52</v>
      </c>
      <c r="T34">
        <v>190.1</v>
      </c>
      <c r="U34">
        <v>190.1</v>
      </c>
      <c r="V34">
        <v>190.1</v>
      </c>
      <c r="W34">
        <v>173.6</v>
      </c>
      <c r="X34">
        <v>173.6</v>
      </c>
      <c r="Y34">
        <v>173.6</v>
      </c>
      <c r="Z34">
        <v>173.6</v>
      </c>
      <c r="AA34">
        <v>173.6</v>
      </c>
      <c r="AB34">
        <v>173.6</v>
      </c>
      <c r="AD34" t="s">
        <v>55</v>
      </c>
      <c r="AE34" s="71">
        <f>NORMINV($AE$31,Q34,C34*$AF$31)</f>
        <v>188.94761557420316</v>
      </c>
      <c r="AF34" s="71">
        <f t="shared" ref="AF34:AP34" si="6">NORMINV($AE$31,R34,D34*$AF$31)</f>
        <v>189.19720798829883</v>
      </c>
      <c r="AG34" s="71">
        <f t="shared" si="6"/>
        <v>189.19720798829883</v>
      </c>
      <c r="AH34" s="71">
        <f t="shared" si="6"/>
        <v>190.38001952805652</v>
      </c>
      <c r="AI34" s="71">
        <f t="shared" si="6"/>
        <v>190.38001952805652</v>
      </c>
      <c r="AJ34" s="71">
        <f t="shared" si="6"/>
        <v>190.38001952805652</v>
      </c>
      <c r="AK34" s="71">
        <f t="shared" si="6"/>
        <v>173.69273656056157</v>
      </c>
      <c r="AL34" s="71">
        <f t="shared" si="6"/>
        <v>173.69273656056157</v>
      </c>
      <c r="AM34" s="71">
        <f t="shared" si="6"/>
        <v>173.69273656056157</v>
      </c>
      <c r="AN34" s="71">
        <f t="shared" si="6"/>
        <v>173.69273656056157</v>
      </c>
      <c r="AO34" s="71">
        <f t="shared" si="6"/>
        <v>173.69273656056157</v>
      </c>
      <c r="AP34" s="71">
        <f t="shared" si="6"/>
        <v>173.69273656056157</v>
      </c>
    </row>
    <row r="35" spans="2:42" x14ac:dyDescent="0.35">
      <c r="B35" t="s">
        <v>78</v>
      </c>
      <c r="C35">
        <v>1.5292173949145019E-2</v>
      </c>
      <c r="D35">
        <v>1.5612537187281336E-2</v>
      </c>
      <c r="E35">
        <v>1.5609592621788059E-2</v>
      </c>
      <c r="F35">
        <v>1.3384248544124766E-2</v>
      </c>
      <c r="G35">
        <v>1.3384248544124766E-2</v>
      </c>
      <c r="H35">
        <v>1.3384248544124766E-2</v>
      </c>
      <c r="I35">
        <v>1.1349693628223812E-2</v>
      </c>
      <c r="J35">
        <v>1.1349693628223812E-2</v>
      </c>
      <c r="K35">
        <v>1.1349693628223812E-2</v>
      </c>
      <c r="L35">
        <v>9.8495716565838824E-3</v>
      </c>
      <c r="M35">
        <v>9.8495716565838824E-3</v>
      </c>
      <c r="N35">
        <v>1.1349693628223812E-2</v>
      </c>
      <c r="P35" t="s">
        <v>78</v>
      </c>
      <c r="Q35">
        <v>1.10433</v>
      </c>
      <c r="R35">
        <v>1.11467</v>
      </c>
      <c r="S35">
        <v>1.1148</v>
      </c>
      <c r="T35">
        <v>1.1370000000000002</v>
      </c>
      <c r="U35">
        <v>1.1370000000000002</v>
      </c>
      <c r="V35">
        <v>1.1370000000000002</v>
      </c>
      <c r="W35">
        <v>1.0172400000000001</v>
      </c>
      <c r="X35">
        <v>1.0172400000000001</v>
      </c>
      <c r="Y35">
        <v>1.0172400000000001</v>
      </c>
      <c r="Z35">
        <v>1.02732</v>
      </c>
      <c r="AA35">
        <v>1.02732</v>
      </c>
      <c r="AB35">
        <v>1.0172400000000001</v>
      </c>
      <c r="AD35" t="s">
        <v>78</v>
      </c>
      <c r="AE35" s="71">
        <f t="shared" ref="AE35:AE57" si="7">NORMINV($AE$31,Q35,C35*$AF$31)</f>
        <v>1.1239277094651072</v>
      </c>
      <c r="AF35" s="71">
        <f t="shared" ref="AF35:AF57" si="8">NORMINV($AE$31,R35,D35*$AF$31)</f>
        <v>1.1346782714744836</v>
      </c>
      <c r="AG35" s="71">
        <f t="shared" ref="AG35:AG57" si="9">NORMINV($AE$31,S35,E35*$AF$31)</f>
        <v>1.134804497861966</v>
      </c>
      <c r="AH35" s="71">
        <f t="shared" ref="AH35:AH57" si="10">NORMINV($AE$31,T35,F35*$AF$31)</f>
        <v>1.1541526046753614</v>
      </c>
      <c r="AI35" s="71">
        <f t="shared" ref="AI35:AI57" si="11">NORMINV($AE$31,U35,G35*$AF$31)</f>
        <v>1.1541526046753614</v>
      </c>
      <c r="AJ35" s="71">
        <f t="shared" ref="AJ35:AJ57" si="12">NORMINV($AE$31,V35,H35*$AF$31)</f>
        <v>1.1541526046753614</v>
      </c>
      <c r="AK35" s="71">
        <f t="shared" ref="AK35:AK57" si="13">NORMINV($AE$31,W35,I35*$AF$31)</f>
        <v>1.031785217637702</v>
      </c>
      <c r="AL35" s="71">
        <f t="shared" ref="AL35:AL57" si="14">NORMINV($AE$31,X35,J35*$AF$31)</f>
        <v>1.031785217637702</v>
      </c>
      <c r="AM35" s="71">
        <f t="shared" ref="AM35:AM57" si="15">NORMINV($AE$31,Y35,K35*$AF$31)</f>
        <v>1.031785217637702</v>
      </c>
      <c r="AN35" s="71">
        <f t="shared" ref="AN35:AN57" si="16">NORMINV($AE$31,Z35,L35*$AF$31)</f>
        <v>1.0399427339764389</v>
      </c>
      <c r="AO35" s="71">
        <f t="shared" ref="AO35:AO57" si="17">NORMINV($AE$31,AA35,M35*$AF$31)</f>
        <v>1.0399427339764389</v>
      </c>
      <c r="AP35" s="71">
        <f t="shared" ref="AP35:AP57" si="18">NORMINV($AE$31,AB35,N35*$AF$31)</f>
        <v>1.031785217637702</v>
      </c>
    </row>
    <row r="36" spans="2:42" x14ac:dyDescent="0.35">
      <c r="B36" t="s">
        <v>77</v>
      </c>
      <c r="C36">
        <v>1.6155444597766858E-2</v>
      </c>
      <c r="D36">
        <v>1.6484598574169569E-2</v>
      </c>
      <c r="E36">
        <v>1.6482131279514506E-2</v>
      </c>
      <c r="F36">
        <v>1.3384248544124766E-2</v>
      </c>
      <c r="G36">
        <v>1.3384248544124766E-2</v>
      </c>
      <c r="H36">
        <v>1.5280154960145552E-2</v>
      </c>
      <c r="I36">
        <v>1.292569055654811E-2</v>
      </c>
      <c r="J36">
        <v>1.292569055654811E-2</v>
      </c>
      <c r="K36">
        <v>1.292569055654811E-2</v>
      </c>
      <c r="L36">
        <v>9.8495716565838824E-3</v>
      </c>
      <c r="M36">
        <v>9.8495716565838824E-3</v>
      </c>
      <c r="N36">
        <v>1.1349693628223812E-2</v>
      </c>
      <c r="P36" t="s">
        <v>77</v>
      </c>
      <c r="Q36">
        <v>1.0989500000000001</v>
      </c>
      <c r="R36">
        <v>1.1092900000000001</v>
      </c>
      <c r="S36">
        <v>1.1094200000000001</v>
      </c>
      <c r="T36">
        <v>1.1370000000000002</v>
      </c>
      <c r="U36">
        <v>1.1370000000000002</v>
      </c>
      <c r="V36">
        <v>1.3077100000000002</v>
      </c>
      <c r="W36">
        <v>1.17005</v>
      </c>
      <c r="X36">
        <v>1.17005</v>
      </c>
      <c r="Y36">
        <v>1.17005</v>
      </c>
      <c r="Z36">
        <v>1.02732</v>
      </c>
      <c r="AA36">
        <v>1.02732</v>
      </c>
      <c r="AB36">
        <v>1.0172400000000001</v>
      </c>
      <c r="AD36" t="s">
        <v>77</v>
      </c>
      <c r="AE36" s="71">
        <f t="shared" si="7"/>
        <v>1.1196540353163373</v>
      </c>
      <c r="AF36" s="71">
        <f t="shared" si="8"/>
        <v>1.1304158631101013</v>
      </c>
      <c r="AG36" s="71">
        <f t="shared" si="9"/>
        <v>1.1305427011447735</v>
      </c>
      <c r="AH36" s="71">
        <f t="shared" si="10"/>
        <v>1.1541526046753614</v>
      </c>
      <c r="AI36" s="71">
        <f t="shared" si="11"/>
        <v>1.1541526046753614</v>
      </c>
      <c r="AJ36" s="71">
        <f t="shared" si="12"/>
        <v>1.3272923065109388</v>
      </c>
      <c r="AK36" s="71">
        <f t="shared" si="13"/>
        <v>1.1866149389684892</v>
      </c>
      <c r="AL36" s="71">
        <f t="shared" si="14"/>
        <v>1.1866149389684892</v>
      </c>
      <c r="AM36" s="71">
        <f t="shared" si="15"/>
        <v>1.1866149389684892</v>
      </c>
      <c r="AN36" s="71">
        <f t="shared" si="16"/>
        <v>1.0399427339764389</v>
      </c>
      <c r="AO36" s="71">
        <f t="shared" si="17"/>
        <v>1.0399427339764389</v>
      </c>
      <c r="AP36" s="71">
        <f t="shared" si="18"/>
        <v>1.031785217637702</v>
      </c>
    </row>
    <row r="37" spans="2:42" x14ac:dyDescent="0.35">
      <c r="B37" t="s">
        <v>56</v>
      </c>
      <c r="C37">
        <v>1.5371756864161922E-4</v>
      </c>
      <c r="D37">
        <v>3.28913168978186E-4</v>
      </c>
      <c r="E37">
        <v>5.2296526914057378E-4</v>
      </c>
      <c r="F37">
        <v>3.8889418986286093E-4</v>
      </c>
      <c r="G37">
        <v>3.8889418986286093E-4</v>
      </c>
      <c r="H37">
        <v>4.1165020455368525E-4</v>
      </c>
      <c r="I37">
        <v>4.0981433465520566E-4</v>
      </c>
      <c r="J37">
        <v>4.0981433465520566E-4</v>
      </c>
      <c r="K37">
        <v>4.0981433465520566E-4</v>
      </c>
      <c r="L37">
        <v>3.8432597564509681E-4</v>
      </c>
      <c r="M37">
        <v>3.8432597564509681E-4</v>
      </c>
      <c r="N37">
        <v>4.0981433465520566E-4</v>
      </c>
      <c r="P37" t="s">
        <v>56</v>
      </c>
      <c r="Q37">
        <v>7.6000000000000004E-4</v>
      </c>
      <c r="R37">
        <v>7.9799999999999999E-4</v>
      </c>
      <c r="S37">
        <v>9.3000000000000146E-5</v>
      </c>
      <c r="T37">
        <v>-3.0699999999999987E-4</v>
      </c>
      <c r="U37">
        <v>-3.0699999999999987E-4</v>
      </c>
      <c r="V37">
        <v>1.110000000000002E-4</v>
      </c>
      <c r="W37">
        <v>-3.0699999999999987E-4</v>
      </c>
      <c r="X37">
        <v>-3.0699999999999987E-4</v>
      </c>
      <c r="Y37">
        <v>-3.0699999999999987E-4</v>
      </c>
      <c r="Z37">
        <v>-6.8699999999999989E-4</v>
      </c>
      <c r="AA37">
        <v>-6.8699999999999989E-4</v>
      </c>
      <c r="AB37">
        <v>-3.0699999999999987E-4</v>
      </c>
      <c r="AD37" t="s">
        <v>56</v>
      </c>
      <c r="AE37" s="71">
        <f t="shared" si="7"/>
        <v>9.5699699074437673E-4</v>
      </c>
      <c r="AF37" s="71">
        <f t="shared" si="8"/>
        <v>1.2195191866322301E-3</v>
      </c>
      <c r="AG37" s="71">
        <f t="shared" si="9"/>
        <v>7.6320695939255585E-4</v>
      </c>
      <c r="AH37" s="71">
        <f t="shared" si="10"/>
        <v>1.9138795784994867E-4</v>
      </c>
      <c r="AI37" s="71">
        <f t="shared" si="11"/>
        <v>1.9138795784994867E-4</v>
      </c>
      <c r="AJ37" s="71">
        <f t="shared" si="12"/>
        <v>6.3855096410253066E-4</v>
      </c>
      <c r="AK37" s="71">
        <f t="shared" si="13"/>
        <v>2.1819820215999779E-4</v>
      </c>
      <c r="AL37" s="71">
        <f t="shared" si="14"/>
        <v>2.1819820215999779E-4</v>
      </c>
      <c r="AM37" s="71">
        <f t="shared" si="15"/>
        <v>2.1819820215999779E-4</v>
      </c>
      <c r="AN37" s="71">
        <f t="shared" si="16"/>
        <v>-1.9446644423257002E-4</v>
      </c>
      <c r="AO37" s="71">
        <f t="shared" si="17"/>
        <v>-1.9446644423257002E-4</v>
      </c>
      <c r="AP37" s="71">
        <f t="shared" si="18"/>
        <v>2.1819820215999779E-4</v>
      </c>
    </row>
    <row r="38" spans="2:42" x14ac:dyDescent="0.35">
      <c r="B38" t="s">
        <v>57</v>
      </c>
      <c r="C38">
        <v>0.10460604304926399</v>
      </c>
      <c r="D38">
        <v>0.111667797371029</v>
      </c>
      <c r="E38">
        <v>0.10836246694508381</v>
      </c>
      <c r="F38">
        <v>9.3419873299384518E-2</v>
      </c>
      <c r="G38">
        <v>9.3419873299384518E-2</v>
      </c>
      <c r="H38">
        <v>9.3419873299384518E-2</v>
      </c>
      <c r="I38">
        <v>8.9605194654612932E-2</v>
      </c>
      <c r="J38">
        <v>8.9605194654612932E-2</v>
      </c>
      <c r="K38">
        <v>8.9605194654612932E-2</v>
      </c>
      <c r="L38">
        <v>8.9605194654612932E-2</v>
      </c>
      <c r="M38">
        <v>8.9605194654612932E-2</v>
      </c>
      <c r="N38">
        <v>8.9605194654612932E-2</v>
      </c>
      <c r="P38" t="s">
        <v>57</v>
      </c>
      <c r="Q38">
        <v>13.579999999999998</v>
      </c>
      <c r="R38">
        <v>13.659999999999998</v>
      </c>
      <c r="S38">
        <v>13.819999999999999</v>
      </c>
      <c r="T38">
        <v>13.919999999999998</v>
      </c>
      <c r="U38">
        <v>13.919999999999998</v>
      </c>
      <c r="V38">
        <v>13.919999999999998</v>
      </c>
      <c r="W38">
        <v>12.639999999999999</v>
      </c>
      <c r="X38">
        <v>12.639999999999999</v>
      </c>
      <c r="Y38">
        <v>12.639999999999999</v>
      </c>
      <c r="Z38">
        <v>12.639999999999999</v>
      </c>
      <c r="AA38">
        <v>12.639999999999999</v>
      </c>
      <c r="AB38">
        <v>12.639999999999999</v>
      </c>
      <c r="AD38" t="s">
        <v>57</v>
      </c>
      <c r="AE38" s="71">
        <f t="shared" si="7"/>
        <v>13.714058038235208</v>
      </c>
      <c r="AF38" s="71">
        <f t="shared" si="8"/>
        <v>13.803108040541758</v>
      </c>
      <c r="AG38" s="71">
        <f t="shared" si="9"/>
        <v>13.958872089159746</v>
      </c>
      <c r="AH38" s="71">
        <f t="shared" si="10"/>
        <v>14.039722384879802</v>
      </c>
      <c r="AI38" s="71">
        <f t="shared" si="11"/>
        <v>14.039722384879802</v>
      </c>
      <c r="AJ38" s="71">
        <f t="shared" si="12"/>
        <v>14.039722384879802</v>
      </c>
      <c r="AK38" s="71">
        <f t="shared" si="13"/>
        <v>12.754833677490547</v>
      </c>
      <c r="AL38" s="71">
        <f t="shared" si="14"/>
        <v>12.754833677490547</v>
      </c>
      <c r="AM38" s="71">
        <f t="shared" si="15"/>
        <v>12.754833677490547</v>
      </c>
      <c r="AN38" s="71">
        <f t="shared" si="16"/>
        <v>12.754833677490547</v>
      </c>
      <c r="AO38" s="71">
        <f t="shared" si="17"/>
        <v>12.754833677490547</v>
      </c>
      <c r="AP38" s="71">
        <f t="shared" si="18"/>
        <v>12.754833677490547</v>
      </c>
    </row>
    <row r="39" spans="2:42" x14ac:dyDescent="0.35">
      <c r="B39" t="s">
        <v>58</v>
      </c>
      <c r="C39">
        <v>4.0829423214147906E-3</v>
      </c>
      <c r="D39">
        <v>6.83577741084407E-3</v>
      </c>
      <c r="E39">
        <v>6.83577741084407E-3</v>
      </c>
      <c r="F39">
        <v>6.8134771708135171E-3</v>
      </c>
      <c r="G39">
        <v>6.6900396089781839E-3</v>
      </c>
      <c r="H39">
        <v>6.2538961304618784E-3</v>
      </c>
      <c r="I39">
        <v>2.9785824267136328E-3</v>
      </c>
      <c r="J39">
        <v>3.1465727733808765E-3</v>
      </c>
      <c r="K39">
        <v>5.2556662150136935E-3</v>
      </c>
      <c r="L39">
        <v>4.0706275638574905E-3</v>
      </c>
      <c r="M39">
        <v>3.997772561632972E-3</v>
      </c>
      <c r="N39">
        <v>4.182843563023517E-3</v>
      </c>
      <c r="P39" t="s">
        <v>58</v>
      </c>
      <c r="Q39">
        <v>5.4216E-2</v>
      </c>
      <c r="R39">
        <v>3.6593000000000001E-2</v>
      </c>
      <c r="S39">
        <v>3.6593000000000001E-2</v>
      </c>
      <c r="T39">
        <v>3.7701499999999999E-2</v>
      </c>
      <c r="U39">
        <v>4.3317999999999995E-2</v>
      </c>
      <c r="V39">
        <v>4.1437000000000002E-2</v>
      </c>
      <c r="W39">
        <v>5.5676999999999997E-2</v>
      </c>
      <c r="X39">
        <v>4.4970999999999997E-2</v>
      </c>
      <c r="Y39">
        <v>3.5374000000000003E-2</v>
      </c>
      <c r="Z39">
        <v>5.1735000000000003E-2</v>
      </c>
      <c r="AA39">
        <v>4.8770000000000008E-2</v>
      </c>
      <c r="AB39">
        <v>4.6921000000000004E-2</v>
      </c>
      <c r="AD39" s="69" t="s">
        <v>58</v>
      </c>
      <c r="AE39" s="72">
        <f t="shared" si="7"/>
        <v>5.9448501124037434E-2</v>
      </c>
      <c r="AF39" s="72">
        <f t="shared" si="8"/>
        <v>4.5353401242581637E-2</v>
      </c>
      <c r="AG39" s="72">
        <f t="shared" si="9"/>
        <v>4.5353401242581637E-2</v>
      </c>
      <c r="AH39" s="72">
        <f t="shared" si="10"/>
        <v>4.6433322335058459E-2</v>
      </c>
      <c r="AI39" s="72">
        <f t="shared" si="11"/>
        <v>5.1891630734441377E-2</v>
      </c>
      <c r="AJ39" s="72">
        <f t="shared" si="12"/>
        <v>4.9451690376746738E-2</v>
      </c>
      <c r="AK39" s="72">
        <f t="shared" si="13"/>
        <v>5.949420697205849E-2</v>
      </c>
      <c r="AL39" s="72">
        <f t="shared" si="14"/>
        <v>4.9003495263826274E-2</v>
      </c>
      <c r="AM39" s="72">
        <f t="shared" si="15"/>
        <v>4.2109407265830665E-2</v>
      </c>
      <c r="AN39" s="72">
        <f t="shared" si="16"/>
        <v>5.6951719127210573E-2</v>
      </c>
      <c r="AO39" s="72">
        <f t="shared" si="17"/>
        <v>5.3893351685051993E-2</v>
      </c>
      <c r="AP39" s="72">
        <f t="shared" si="18"/>
        <v>5.228152971662095E-2</v>
      </c>
    </row>
    <row r="40" spans="2:42" x14ac:dyDescent="0.35">
      <c r="B40" t="s">
        <v>79</v>
      </c>
      <c r="C40">
        <v>5.2628042991269483E-3</v>
      </c>
      <c r="D40">
        <v>5.0537189276808787E-3</v>
      </c>
      <c r="E40">
        <v>5.2618013075637305E-3</v>
      </c>
      <c r="F40">
        <v>5.4279235245053691E-3</v>
      </c>
      <c r="G40">
        <v>5.6717903111216435E-3</v>
      </c>
      <c r="H40">
        <v>3.9786231819867457E-3</v>
      </c>
      <c r="I40">
        <v>2.8641559124651501E-3</v>
      </c>
      <c r="J40">
        <v>2.6845114673217092E-3</v>
      </c>
      <c r="K40">
        <v>3.4044954238343535E-3</v>
      </c>
      <c r="L40">
        <v>3.8517851823419579E-3</v>
      </c>
      <c r="M40">
        <v>4.6434282006450099E-3</v>
      </c>
      <c r="N40">
        <v>4.5132489809045859E-3</v>
      </c>
      <c r="P40" t="s">
        <v>79</v>
      </c>
      <c r="Q40">
        <v>0.11916</v>
      </c>
      <c r="R40">
        <v>0.13473000000000002</v>
      </c>
      <c r="S40">
        <v>0.178762175</v>
      </c>
      <c r="T40">
        <v>0.19487000000000002</v>
      </c>
      <c r="U40">
        <v>0.13287199999999999</v>
      </c>
      <c r="V40">
        <v>0.13324000000000003</v>
      </c>
      <c r="W40">
        <v>8.7660000000000002E-2</v>
      </c>
      <c r="X40">
        <v>9.0010000000000021E-2</v>
      </c>
      <c r="Y40">
        <v>0.11318</v>
      </c>
      <c r="Z40">
        <v>0.10451000000000001</v>
      </c>
      <c r="AA40">
        <v>0.16185000000000002</v>
      </c>
      <c r="AB40">
        <v>0.13400000000000001</v>
      </c>
      <c r="AD40" s="69" t="s">
        <v>79</v>
      </c>
      <c r="AE40" s="71">
        <f t="shared" si="7"/>
        <v>0.12590455508870099</v>
      </c>
      <c r="AF40" s="71">
        <f t="shared" si="8"/>
        <v>0.14120660140359181</v>
      </c>
      <c r="AG40" s="71">
        <f t="shared" si="9"/>
        <v>0.18550544470329292</v>
      </c>
      <c r="AH40" s="71">
        <f t="shared" si="10"/>
        <v>0.20182616389048624</v>
      </c>
      <c r="AI40" s="71">
        <f t="shared" si="11"/>
        <v>0.14014069175265864</v>
      </c>
      <c r="AJ40" s="71">
        <f t="shared" si="12"/>
        <v>0.13833881076758717</v>
      </c>
      <c r="AK40" s="71">
        <f t="shared" si="13"/>
        <v>9.1330563493583539E-2</v>
      </c>
      <c r="AL40" s="71">
        <f t="shared" si="14"/>
        <v>9.3450339873668589E-2</v>
      </c>
      <c r="AM40" s="71">
        <f t="shared" si="15"/>
        <v>0.11754303644030435</v>
      </c>
      <c r="AN40" s="71">
        <f t="shared" si="16"/>
        <v>0.10944626133057184</v>
      </c>
      <c r="AO40" s="71">
        <f t="shared" si="17"/>
        <v>0.16780079268003059</v>
      </c>
      <c r="AP40" s="71">
        <f t="shared" si="18"/>
        <v>0.13978396129717086</v>
      </c>
    </row>
    <row r="41" spans="2:42" x14ac:dyDescent="0.35">
      <c r="B41" t="s">
        <v>60</v>
      </c>
      <c r="C41">
        <v>4.6010868281309348E-5</v>
      </c>
      <c r="D41">
        <v>5.4729638527340388E-5</v>
      </c>
      <c r="E41">
        <v>7.2140435431472302E-5</v>
      </c>
      <c r="F41">
        <v>9.9010406554364802E-5</v>
      </c>
      <c r="G41">
        <v>9.9803291377073192E-5</v>
      </c>
      <c r="H41">
        <v>7.3371357222052637E-5</v>
      </c>
      <c r="I41">
        <v>5.610412397741124E-5</v>
      </c>
      <c r="J41">
        <v>3.4862065864828436E-5</v>
      </c>
      <c r="K41">
        <v>2.1736437777904866E-5</v>
      </c>
      <c r="L41">
        <v>3.010587378508777E-5</v>
      </c>
      <c r="M41">
        <v>3.1377757032070313E-5</v>
      </c>
      <c r="N41">
        <v>5.5567649188746846E-5</v>
      </c>
      <c r="P41" t="s">
        <v>60</v>
      </c>
      <c r="Q41">
        <v>1.4220000000000001E-3</v>
      </c>
      <c r="R41">
        <v>1.6399999999999997E-3</v>
      </c>
      <c r="S41">
        <v>1.2520000000000001E-3</v>
      </c>
      <c r="T41">
        <v>1.1740000000000001E-3</v>
      </c>
      <c r="U41">
        <v>1.2339999999999999E-3</v>
      </c>
      <c r="V41">
        <v>1.0449999999999999E-3</v>
      </c>
      <c r="W41">
        <v>8.0799999999999991E-4</v>
      </c>
      <c r="X41">
        <v>8.9999999999999998E-4</v>
      </c>
      <c r="Y41">
        <v>8.5199999999999989E-4</v>
      </c>
      <c r="Z41">
        <v>7.3899999999999997E-4</v>
      </c>
      <c r="AA41">
        <v>9.369999999999999E-4</v>
      </c>
      <c r="AB41">
        <v>1.0139999999999999E-3</v>
      </c>
      <c r="AD41" s="69" t="s">
        <v>60</v>
      </c>
      <c r="AE41" s="71">
        <f t="shared" si="7"/>
        <v>1.4809653002779786E-3</v>
      </c>
      <c r="AF41" s="71">
        <f t="shared" si="8"/>
        <v>1.7101388539364029E-3</v>
      </c>
      <c r="AG41" s="71">
        <f t="shared" si="9"/>
        <v>1.3444516879662725E-3</v>
      </c>
      <c r="AH41" s="71">
        <f t="shared" si="10"/>
        <v>1.3008869415249537E-3</v>
      </c>
      <c r="AI41" s="71">
        <f t="shared" si="11"/>
        <v>1.361903064310792E-3</v>
      </c>
      <c r="AJ41" s="71">
        <f t="shared" si="12"/>
        <v>1.1390291777140537E-3</v>
      </c>
      <c r="AK41" s="71">
        <f t="shared" si="13"/>
        <v>8.7990032791675969E-4</v>
      </c>
      <c r="AL41" s="71">
        <f t="shared" si="14"/>
        <v>9.4467753508718983E-4</v>
      </c>
      <c r="AM41" s="71">
        <f t="shared" si="15"/>
        <v>8.7985636586363663E-4</v>
      </c>
      <c r="AN41" s="71">
        <f t="shared" si="16"/>
        <v>7.7758222968136732E-4</v>
      </c>
      <c r="AO41" s="71">
        <f t="shared" si="17"/>
        <v>9.7721221364772764E-4</v>
      </c>
      <c r="AP41" s="71">
        <f t="shared" si="18"/>
        <v>1.0852128078114717E-3</v>
      </c>
    </row>
    <row r="42" spans="2:42" x14ac:dyDescent="0.35">
      <c r="B42" t="s">
        <v>59</v>
      </c>
      <c r="C42">
        <v>4.6805205615692729E-5</v>
      </c>
      <c r="D42">
        <v>4.6805205615692729E-5</v>
      </c>
      <c r="E42">
        <v>4.6649239170124915E-5</v>
      </c>
      <c r="F42">
        <v>4.7088810354542414E-5</v>
      </c>
      <c r="G42">
        <v>4.6092463066266618E-5</v>
      </c>
      <c r="H42">
        <v>4.6092463066266618E-5</v>
      </c>
      <c r="I42">
        <v>4.576322461619951E-5</v>
      </c>
      <c r="J42">
        <v>4.576322461619951E-5</v>
      </c>
      <c r="K42">
        <v>4.576322461619951E-5</v>
      </c>
      <c r="L42">
        <v>4.6218650308762132E-5</v>
      </c>
      <c r="M42">
        <v>4.6218650308762132E-5</v>
      </c>
      <c r="N42">
        <v>4.576322461619951E-5</v>
      </c>
      <c r="P42" t="s">
        <v>59</v>
      </c>
      <c r="Q42">
        <v>-5.399999999999999E-4</v>
      </c>
      <c r="R42">
        <v>-5.399999999999999E-4</v>
      </c>
      <c r="S42">
        <v>-5.6599999999999988E-4</v>
      </c>
      <c r="T42">
        <v>-5.5899999999999993E-4</v>
      </c>
      <c r="U42">
        <v>-5.7799999999999985E-4</v>
      </c>
      <c r="V42">
        <v>-5.7799999999999985E-4</v>
      </c>
      <c r="W42">
        <v>-5.7699999999999982E-4</v>
      </c>
      <c r="X42">
        <v>-5.7699999999999982E-4</v>
      </c>
      <c r="Y42">
        <v>-5.7699999999999982E-4</v>
      </c>
      <c r="Z42">
        <v>-6.7299999999999988E-4</v>
      </c>
      <c r="AA42">
        <v>-6.7299999999999988E-4</v>
      </c>
      <c r="AB42">
        <v>-5.7699999999999982E-4</v>
      </c>
      <c r="AD42" s="69" t="s">
        <v>59</v>
      </c>
      <c r="AE42" s="71">
        <f t="shared" si="7"/>
        <v>-4.8001671546757195E-4</v>
      </c>
      <c r="AF42" s="71">
        <f t="shared" si="8"/>
        <v>-4.8001671546757195E-4</v>
      </c>
      <c r="AG42" s="71">
        <f t="shared" si="9"/>
        <v>-5.0621659451006182E-4</v>
      </c>
      <c r="AH42" s="71">
        <f t="shared" si="10"/>
        <v>-4.9865326137050331E-4</v>
      </c>
      <c r="AI42" s="71">
        <f t="shared" si="11"/>
        <v>-5.1893013179761917E-4</v>
      </c>
      <c r="AJ42" s="71">
        <f t="shared" si="12"/>
        <v>-5.1893013179761917E-4</v>
      </c>
      <c r="AK42" s="71">
        <f t="shared" si="13"/>
        <v>-5.1835206784874011E-4</v>
      </c>
      <c r="AL42" s="71">
        <f t="shared" si="14"/>
        <v>-5.1835206784874011E-4</v>
      </c>
      <c r="AM42" s="71">
        <f t="shared" si="15"/>
        <v>-5.1835206784874011E-4</v>
      </c>
      <c r="AN42" s="71">
        <f t="shared" si="16"/>
        <v>-6.1376841633944729E-4</v>
      </c>
      <c r="AO42" s="71">
        <f t="shared" si="17"/>
        <v>-6.1376841633944729E-4</v>
      </c>
      <c r="AP42" s="71">
        <f t="shared" si="18"/>
        <v>-5.1835206784874011E-4</v>
      </c>
    </row>
    <row r="43" spans="2:42" x14ac:dyDescent="0.35">
      <c r="B43" t="s">
        <v>61</v>
      </c>
      <c r="C43">
        <v>1.3500561155565046E-3</v>
      </c>
      <c r="D43">
        <v>1.4939017451768464E-3</v>
      </c>
      <c r="E43">
        <v>1.5311661232438811E-3</v>
      </c>
      <c r="F43">
        <v>1.5270043956198767E-3</v>
      </c>
      <c r="G43">
        <v>1.5270043956198767E-3</v>
      </c>
      <c r="H43">
        <v>1.5270043956198767E-3</v>
      </c>
      <c r="I43">
        <v>1.5915115742303257E-3</v>
      </c>
      <c r="J43">
        <v>1.5915115742303257E-3</v>
      </c>
      <c r="K43">
        <v>1.5915115742303257E-3</v>
      </c>
      <c r="L43">
        <v>2.1062245412542834E-3</v>
      </c>
      <c r="M43">
        <v>2.1062245412542834E-3</v>
      </c>
      <c r="N43">
        <v>1.8245298273552812E-3</v>
      </c>
      <c r="P43" t="s">
        <v>61</v>
      </c>
      <c r="Q43">
        <v>5.7700000000000001E-2</v>
      </c>
      <c r="R43">
        <v>5.57E-2</v>
      </c>
      <c r="S43">
        <v>5.8099999999999999E-2</v>
      </c>
      <c r="T43">
        <v>5.8300000000000005E-2</v>
      </c>
      <c r="U43">
        <v>5.8300000000000005E-2</v>
      </c>
      <c r="V43">
        <v>5.8300000000000005E-2</v>
      </c>
      <c r="W43">
        <v>5.2900000000000003E-2</v>
      </c>
      <c r="X43">
        <v>5.2900000000000003E-2</v>
      </c>
      <c r="Y43">
        <v>5.2900000000000003E-2</v>
      </c>
      <c r="Z43">
        <v>4.8099999999999997E-2</v>
      </c>
      <c r="AA43">
        <v>4.8099999999999997E-2</v>
      </c>
      <c r="AB43">
        <v>5.16E-2</v>
      </c>
      <c r="AD43" t="s">
        <v>61</v>
      </c>
      <c r="AE43" s="71">
        <f t="shared" si="7"/>
        <v>5.9430166528464501E-2</v>
      </c>
      <c r="AF43" s="71">
        <f t="shared" si="8"/>
        <v>5.7614512120301199E-2</v>
      </c>
      <c r="AG43" s="71">
        <f t="shared" si="9"/>
        <v>6.0062268342352051E-2</v>
      </c>
      <c r="AH43" s="71">
        <f t="shared" si="10"/>
        <v>6.0256934873800141E-2</v>
      </c>
      <c r="AI43" s="71">
        <f t="shared" si="11"/>
        <v>6.0256934873800141E-2</v>
      </c>
      <c r="AJ43" s="71">
        <f t="shared" si="12"/>
        <v>6.0256934873800141E-2</v>
      </c>
      <c r="AK43" s="71">
        <f t="shared" si="13"/>
        <v>5.4939604149537226E-2</v>
      </c>
      <c r="AL43" s="71">
        <f t="shared" si="14"/>
        <v>5.4939604149537226E-2</v>
      </c>
      <c r="AM43" s="71">
        <f t="shared" si="15"/>
        <v>5.4939604149537226E-2</v>
      </c>
      <c r="AN43" s="71">
        <f t="shared" si="16"/>
        <v>5.0799235358232879E-2</v>
      </c>
      <c r="AO43" s="71">
        <f t="shared" si="17"/>
        <v>5.0799235358232879E-2</v>
      </c>
      <c r="AP43" s="71">
        <f t="shared" si="18"/>
        <v>5.3938229056629983E-2</v>
      </c>
    </row>
    <row r="44" spans="2:42" x14ac:dyDescent="0.35">
      <c r="B44" t="s">
        <v>62</v>
      </c>
      <c r="C44">
        <v>9.6130491669248425E-4</v>
      </c>
      <c r="D44">
        <v>9.6130491669248425E-4</v>
      </c>
      <c r="E44">
        <v>1.1338146736948305E-3</v>
      </c>
      <c r="F44">
        <v>1.1338146736948305E-3</v>
      </c>
      <c r="G44">
        <v>1.1338146736948305E-3</v>
      </c>
      <c r="H44">
        <v>1.1338146736948305E-3</v>
      </c>
      <c r="I44">
        <v>1.1183533814113878E-3</v>
      </c>
      <c r="J44">
        <v>1.1183533814113878E-3</v>
      </c>
      <c r="K44">
        <v>1.1183533814113878E-3</v>
      </c>
      <c r="L44">
        <v>1.1312919289782938E-3</v>
      </c>
      <c r="M44">
        <v>9.5817286441186519E-4</v>
      </c>
      <c r="N44">
        <v>9.7590007294853277E-4</v>
      </c>
      <c r="P44" t="s">
        <v>62</v>
      </c>
      <c r="Q44">
        <v>1.4499999999999999E-2</v>
      </c>
      <c r="R44">
        <v>1.4499999999999999E-2</v>
      </c>
      <c r="S44">
        <v>1.2299999999999998E-2</v>
      </c>
      <c r="T44">
        <v>1.2299999999999998E-2</v>
      </c>
      <c r="U44">
        <v>1.2299999999999998E-2</v>
      </c>
      <c r="V44">
        <v>1.2299999999999998E-2</v>
      </c>
      <c r="W44">
        <v>1.26E-2</v>
      </c>
      <c r="X44">
        <v>1.26E-2</v>
      </c>
      <c r="Y44">
        <v>1.26E-2</v>
      </c>
      <c r="Z44">
        <v>1.3899999999999999E-2</v>
      </c>
      <c r="AA44">
        <v>1.3899999999999999E-2</v>
      </c>
      <c r="AB44">
        <v>1.3500000000000002E-2</v>
      </c>
      <c r="AD44" t="s">
        <v>62</v>
      </c>
      <c r="AE44" s="71">
        <f t="shared" si="7"/>
        <v>1.5731961820952975E-2</v>
      </c>
      <c r="AF44" s="71">
        <f t="shared" si="8"/>
        <v>1.5731961820952975E-2</v>
      </c>
      <c r="AG44" s="71">
        <f t="shared" si="9"/>
        <v>1.3753041970111049E-2</v>
      </c>
      <c r="AH44" s="71">
        <f t="shared" si="10"/>
        <v>1.3753041970111049E-2</v>
      </c>
      <c r="AI44" s="71">
        <f t="shared" si="11"/>
        <v>1.3753041970111049E-2</v>
      </c>
      <c r="AJ44" s="71">
        <f t="shared" si="12"/>
        <v>1.3753041970111049E-2</v>
      </c>
      <c r="AK44" s="71">
        <f t="shared" si="13"/>
        <v>1.4033227526779862E-2</v>
      </c>
      <c r="AL44" s="71">
        <f t="shared" si="14"/>
        <v>1.4033227526779862E-2</v>
      </c>
      <c r="AM44" s="71">
        <f t="shared" si="15"/>
        <v>1.4033227526779862E-2</v>
      </c>
      <c r="AN44" s="71">
        <f t="shared" si="16"/>
        <v>1.5349808942670103E-2</v>
      </c>
      <c r="AO44" s="71">
        <f t="shared" si="17"/>
        <v>1.512794793444938E-2</v>
      </c>
      <c r="AP44" s="71">
        <f t="shared" si="18"/>
        <v>1.4750666266302283E-2</v>
      </c>
    </row>
    <row r="45" spans="2:42" x14ac:dyDescent="0.35">
      <c r="B45" t="s">
        <v>63</v>
      </c>
      <c r="P45" t="s">
        <v>63</v>
      </c>
      <c r="Q45">
        <v>1E-4</v>
      </c>
      <c r="R45">
        <v>1E-4</v>
      </c>
      <c r="S45">
        <v>1E-4</v>
      </c>
      <c r="T45">
        <v>1E-4</v>
      </c>
      <c r="U45">
        <v>1E-4</v>
      </c>
      <c r="V45">
        <v>1E-4</v>
      </c>
      <c r="AB45">
        <v>1E-4</v>
      </c>
      <c r="AD45" t="s">
        <v>63</v>
      </c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</row>
    <row r="46" spans="2:42" x14ac:dyDescent="0.35">
      <c r="B46" t="s">
        <v>64</v>
      </c>
      <c r="C46">
        <v>4.9602005018736774E-2</v>
      </c>
      <c r="D46">
        <v>4.5388419286818783E-2</v>
      </c>
      <c r="E46">
        <v>3.4297542103824824E-2</v>
      </c>
      <c r="F46">
        <v>1.5911610028434255E-2</v>
      </c>
      <c r="G46">
        <v>1.3297107802131881E-2</v>
      </c>
      <c r="H46">
        <v>1.2384056146060913E-2</v>
      </c>
      <c r="I46">
        <v>1.3466491623824775E-2</v>
      </c>
      <c r="J46">
        <v>1.9030504953889218E-2</v>
      </c>
      <c r="K46">
        <v>1.4444016887782555E-2</v>
      </c>
      <c r="L46">
        <v>1.2622096096636564E-2</v>
      </c>
      <c r="M46">
        <v>1.9727056542175304E-2</v>
      </c>
      <c r="N46">
        <v>1.68717290227819E-2</v>
      </c>
      <c r="P46" t="s">
        <v>64</v>
      </c>
      <c r="Q46">
        <v>1.1425719999999999</v>
      </c>
      <c r="R46">
        <v>1.098341</v>
      </c>
      <c r="S46">
        <v>0.91772399999999998</v>
      </c>
      <c r="T46">
        <v>0.76568000000000003</v>
      </c>
      <c r="U46">
        <v>0.90746499999999997</v>
      </c>
      <c r="V46">
        <v>1.036621</v>
      </c>
      <c r="W46">
        <v>1.051728</v>
      </c>
      <c r="X46">
        <v>1.06348</v>
      </c>
      <c r="Y46">
        <v>0.98507599999999995</v>
      </c>
      <c r="Z46">
        <v>0.93957000000000002</v>
      </c>
      <c r="AA46">
        <v>0.78478700000000001</v>
      </c>
      <c r="AB46">
        <v>0.79283900000000007</v>
      </c>
      <c r="AD46" s="69" t="s">
        <v>64</v>
      </c>
      <c r="AE46" s="71">
        <f t="shared" si="7"/>
        <v>1.2061395271859132</v>
      </c>
      <c r="AF46" s="71">
        <f t="shared" si="8"/>
        <v>1.1565085997946174</v>
      </c>
      <c r="AG46" s="71">
        <f t="shared" si="9"/>
        <v>0.96167806877748852</v>
      </c>
      <c r="AH46" s="71">
        <f t="shared" si="10"/>
        <v>0.78607154874227514</v>
      </c>
      <c r="AI46" s="71">
        <f t="shared" si="11"/>
        <v>0.92450592932103737</v>
      </c>
      <c r="AJ46" s="71">
        <f t="shared" si="12"/>
        <v>1.0524918065417765</v>
      </c>
      <c r="AK46" s="71">
        <f t="shared" si="13"/>
        <v>1.068986003422906</v>
      </c>
      <c r="AL46" s="71">
        <f t="shared" si="14"/>
        <v>1.087868573416761</v>
      </c>
      <c r="AM46" s="71">
        <f t="shared" si="15"/>
        <v>1.0035867524552904</v>
      </c>
      <c r="AN46" s="71">
        <f t="shared" si="16"/>
        <v>0.95574586701309905</v>
      </c>
      <c r="AO46" s="71">
        <f t="shared" si="17"/>
        <v>0.81006824019521162</v>
      </c>
      <c r="AP46" s="71">
        <f t="shared" si="18"/>
        <v>0.81446099074259048</v>
      </c>
    </row>
    <row r="47" spans="2:42" x14ac:dyDescent="0.35">
      <c r="B47" t="s">
        <v>65</v>
      </c>
      <c r="C47">
        <v>4.4565262834579043E-4</v>
      </c>
      <c r="D47">
        <v>7.081664972863256E-4</v>
      </c>
      <c r="E47">
        <v>9.1729270633255462E-4</v>
      </c>
      <c r="F47">
        <v>2.0071847822260899E-3</v>
      </c>
      <c r="G47">
        <v>7.6197892279765314E-4</v>
      </c>
      <c r="H47">
        <v>5.9853175784708231E-4</v>
      </c>
      <c r="I47">
        <v>5.9580185846089609E-4</v>
      </c>
      <c r="J47">
        <v>7.0077472712835279E-4</v>
      </c>
      <c r="K47">
        <v>8.610576477375198E-4</v>
      </c>
      <c r="L47">
        <v>8.7738957865208167E-4</v>
      </c>
      <c r="M47">
        <v>7.8238917309854123E-4</v>
      </c>
      <c r="N47">
        <v>5.8803337876812435E-4</v>
      </c>
      <c r="P47" t="s">
        <v>65</v>
      </c>
      <c r="Q47">
        <v>5.2657000000000002E-2</v>
      </c>
      <c r="R47">
        <v>5.5030000000000003E-2</v>
      </c>
      <c r="S47">
        <v>6.0210000000000007E-2</v>
      </c>
      <c r="T47">
        <v>6.1035000000000006E-2</v>
      </c>
      <c r="U47">
        <v>5.8516000000000006E-2</v>
      </c>
      <c r="V47">
        <v>5.0764999999999998E-2</v>
      </c>
      <c r="W47">
        <v>4.8349000000000003E-2</v>
      </c>
      <c r="X47">
        <v>5.3595000000000004E-2</v>
      </c>
      <c r="Y47">
        <v>6.1100000000000002E-2</v>
      </c>
      <c r="Z47">
        <v>6.2783000000000005E-2</v>
      </c>
      <c r="AA47">
        <v>5.6136000000000005E-2</v>
      </c>
      <c r="AB47">
        <v>4.8029999999999996E-2</v>
      </c>
      <c r="AD47" s="69" t="s">
        <v>65</v>
      </c>
      <c r="AE47" s="71">
        <f t="shared" si="7"/>
        <v>5.3228126823545614E-2</v>
      </c>
      <c r="AF47" s="71">
        <f t="shared" si="8"/>
        <v>5.5937551883263527E-2</v>
      </c>
      <c r="AG47" s="71">
        <f t="shared" si="9"/>
        <v>6.1385557903863137E-2</v>
      </c>
      <c r="AH47" s="71">
        <f t="shared" si="10"/>
        <v>6.360731079999915E-2</v>
      </c>
      <c r="AI47" s="71">
        <f t="shared" si="11"/>
        <v>5.9492515281423325E-2</v>
      </c>
      <c r="AJ47" s="71">
        <f t="shared" si="12"/>
        <v>5.1532049311297089E-2</v>
      </c>
      <c r="AK47" s="71">
        <f t="shared" si="13"/>
        <v>4.9112550804464944E-2</v>
      </c>
      <c r="AL47" s="71">
        <f t="shared" si="14"/>
        <v>5.4493078948645433E-2</v>
      </c>
      <c r="AM47" s="71">
        <f t="shared" si="15"/>
        <v>6.2203489776482171E-2</v>
      </c>
      <c r="AN47" s="71">
        <f t="shared" si="16"/>
        <v>6.3907419988114098E-2</v>
      </c>
      <c r="AO47" s="71">
        <f t="shared" si="17"/>
        <v>5.7138672069649586E-2</v>
      </c>
      <c r="AP47" s="71">
        <f t="shared" si="18"/>
        <v>4.8783595097152764E-2</v>
      </c>
    </row>
    <row r="48" spans="2:42" x14ac:dyDescent="0.35"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t="s">
        <v>66</v>
      </c>
      <c r="Q48">
        <v>0.28879199999999999</v>
      </c>
      <c r="R48">
        <v>0.28879199999999999</v>
      </c>
      <c r="S48">
        <v>0.28879199999999999</v>
      </c>
      <c r="T48">
        <v>0.28879199999999999</v>
      </c>
      <c r="U48">
        <v>0.28879199999999999</v>
      </c>
      <c r="V48">
        <v>0.28879199999999999</v>
      </c>
      <c r="W48">
        <v>0.26472600000000002</v>
      </c>
      <c r="X48">
        <v>0.26472600000000002</v>
      </c>
      <c r="Y48">
        <v>0.26472600000000002</v>
      </c>
      <c r="Z48">
        <v>0.26472600000000002</v>
      </c>
      <c r="AA48">
        <v>0.26472600000000002</v>
      </c>
      <c r="AB48">
        <v>0.26472600000000002</v>
      </c>
      <c r="AD48" t="s">
        <v>66</v>
      </c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</row>
    <row r="49" spans="2:42" x14ac:dyDescent="0.35">
      <c r="B49" t="s">
        <v>67</v>
      </c>
      <c r="C49">
        <v>1.2312730385475692E-3</v>
      </c>
      <c r="D49">
        <v>1.2312730385475692E-3</v>
      </c>
      <c r="E49">
        <v>1.2312730385475692E-3</v>
      </c>
      <c r="F49">
        <v>1.1993449601069054E-3</v>
      </c>
      <c r="G49">
        <v>1.1993449601069054E-3</v>
      </c>
      <c r="H49">
        <v>1.3320301206899512E-3</v>
      </c>
      <c r="I49">
        <v>1.1936811360432633E-3</v>
      </c>
      <c r="J49">
        <v>1.1936811360432633E-3</v>
      </c>
      <c r="K49">
        <v>1.1936811360432633E-3</v>
      </c>
      <c r="L49">
        <v>1.028316974478561E-3</v>
      </c>
      <c r="M49">
        <v>1.028316974478561E-3</v>
      </c>
      <c r="N49">
        <v>1.1936811360432633E-3</v>
      </c>
      <c r="P49" t="s">
        <v>67</v>
      </c>
      <c r="Q49">
        <v>0.60438900000000007</v>
      </c>
      <c r="R49">
        <v>0.60438900000000007</v>
      </c>
      <c r="S49">
        <v>0.60438900000000007</v>
      </c>
      <c r="T49">
        <v>0.60470599999999997</v>
      </c>
      <c r="U49">
        <v>0.60470599999999997</v>
      </c>
      <c r="V49">
        <v>0.59883199999999992</v>
      </c>
      <c r="W49">
        <v>0.55551499999999998</v>
      </c>
      <c r="X49">
        <v>0.55551499999999998</v>
      </c>
      <c r="Y49">
        <v>0.55551499999999998</v>
      </c>
      <c r="Z49">
        <v>0.55822799999999995</v>
      </c>
      <c r="AA49">
        <v>0.55822799999999995</v>
      </c>
      <c r="AB49">
        <v>0.55551499999999998</v>
      </c>
      <c r="AD49" t="s">
        <v>67</v>
      </c>
      <c r="AE49" s="71">
        <f t="shared" si="7"/>
        <v>0.60596693989016359</v>
      </c>
      <c r="AF49" s="71">
        <f t="shared" si="8"/>
        <v>0.60596693989016359</v>
      </c>
      <c r="AG49" s="71">
        <f t="shared" si="9"/>
        <v>0.60596693989016359</v>
      </c>
      <c r="AH49" s="71">
        <f t="shared" si="10"/>
        <v>0.60624302241125305</v>
      </c>
      <c r="AI49" s="71">
        <f t="shared" si="11"/>
        <v>0.60624302241125305</v>
      </c>
      <c r="AJ49" s="71">
        <f t="shared" si="12"/>
        <v>0.60053906528652268</v>
      </c>
      <c r="AK49" s="71">
        <f t="shared" si="13"/>
        <v>0.55704476392865732</v>
      </c>
      <c r="AL49" s="71">
        <f t="shared" si="14"/>
        <v>0.55704476392865732</v>
      </c>
      <c r="AM49" s="71">
        <f t="shared" si="15"/>
        <v>0.55704476392865732</v>
      </c>
      <c r="AN49" s="71">
        <f t="shared" si="16"/>
        <v>0.55954584122851903</v>
      </c>
      <c r="AO49" s="71">
        <f t="shared" si="17"/>
        <v>0.55954584122851903</v>
      </c>
      <c r="AP49" s="71">
        <f t="shared" si="18"/>
        <v>0.55704476392865732</v>
      </c>
    </row>
    <row r="50" spans="2:42" x14ac:dyDescent="0.35">
      <c r="B50" t="s">
        <v>68</v>
      </c>
      <c r="C50">
        <v>3.3514729857545352E-3</v>
      </c>
      <c r="D50">
        <v>8.9556636151587789E-3</v>
      </c>
      <c r="E50">
        <v>3.2559849636221191E-3</v>
      </c>
      <c r="F50">
        <v>3.8452984387864269E-3</v>
      </c>
      <c r="G50">
        <v>3.625852053467759E-3</v>
      </c>
      <c r="H50">
        <v>2.1340781843619729E-3</v>
      </c>
      <c r="I50">
        <v>2.0513823676198977E-3</v>
      </c>
      <c r="J50">
        <v>2.4501586219523161E-3</v>
      </c>
      <c r="K50">
        <v>1.7905210871800321E-3</v>
      </c>
      <c r="L50">
        <v>2.1539995019835673E-3</v>
      </c>
      <c r="M50">
        <v>2.7376900282736708E-3</v>
      </c>
      <c r="N50">
        <v>3.8476977390264283E-3</v>
      </c>
      <c r="P50" t="s">
        <v>68</v>
      </c>
      <c r="Q50">
        <v>5.0363000000000005E-2</v>
      </c>
      <c r="R50">
        <v>3.2140000000000002E-2</v>
      </c>
      <c r="S50">
        <v>1.4971E-2</v>
      </c>
      <c r="T50">
        <v>-1.9078999999999999E-2</v>
      </c>
      <c r="U50">
        <v>7.5089999999999974E-3</v>
      </c>
      <c r="V50">
        <v>1.9772000000000005E-2</v>
      </c>
      <c r="W50">
        <v>7.8460000000000005E-3</v>
      </c>
      <c r="X50">
        <v>-6.0000000000000038E-4</v>
      </c>
      <c r="Y50">
        <v>2.1540000000000005E-3</v>
      </c>
      <c r="Z50">
        <v>2.4646999999999999E-2</v>
      </c>
      <c r="AA50">
        <v>2.2099999999999998E-2</v>
      </c>
      <c r="AB50">
        <v>4.1174000000000002E-2</v>
      </c>
      <c r="AD50" s="69" t="s">
        <v>68</v>
      </c>
      <c r="AE50" s="71">
        <f t="shared" si="7"/>
        <v>5.4658085451774169E-2</v>
      </c>
      <c r="AF50" s="71">
        <f t="shared" si="8"/>
        <v>4.3617144726497553E-2</v>
      </c>
      <c r="AG50" s="71">
        <f t="shared" si="9"/>
        <v>1.9143712627519606E-2</v>
      </c>
      <c r="AH50" s="71">
        <f t="shared" si="10"/>
        <v>-1.4151051765787044E-2</v>
      </c>
      <c r="AI50" s="71">
        <f t="shared" si="11"/>
        <v>1.2155716375554709E-2</v>
      </c>
      <c r="AJ50" s="71">
        <f t="shared" si="12"/>
        <v>2.250693123816367E-2</v>
      </c>
      <c r="AK50" s="71">
        <f t="shared" si="13"/>
        <v>1.0474952284753869E-2</v>
      </c>
      <c r="AL50" s="71">
        <f t="shared" si="14"/>
        <v>2.5400046177955914E-3</v>
      </c>
      <c r="AM50" s="71">
        <f t="shared" si="15"/>
        <v>4.4486451024161912E-3</v>
      </c>
      <c r="AN50" s="71">
        <f t="shared" si="16"/>
        <v>2.7407461433949329E-2</v>
      </c>
      <c r="AO50" s="71">
        <f t="shared" si="17"/>
        <v>2.5608490941709965E-2</v>
      </c>
      <c r="AP50" s="71">
        <f t="shared" si="18"/>
        <v>4.6105023061191741E-2</v>
      </c>
    </row>
    <row r="51" spans="2:42" x14ac:dyDescent="0.35">
      <c r="B51" t="s">
        <v>69</v>
      </c>
      <c r="C51">
        <v>7.1007230420357167E-3</v>
      </c>
      <c r="D51">
        <v>1.7670158188998829E-2</v>
      </c>
      <c r="E51">
        <v>6.9099325935185283E-3</v>
      </c>
      <c r="F51">
        <v>7.3439936476667579E-3</v>
      </c>
      <c r="G51">
        <v>8.2885685608480551E-3</v>
      </c>
      <c r="H51">
        <v>7.6456572596355762E-3</v>
      </c>
      <c r="I51">
        <v>7.5026065506959283E-3</v>
      </c>
      <c r="J51">
        <v>8.9256203532812814E-3</v>
      </c>
      <c r="K51">
        <v>1.1602204655699161E-2</v>
      </c>
      <c r="L51">
        <v>4.2961812408865421E-3</v>
      </c>
      <c r="M51">
        <v>8.8773886711229332E-3</v>
      </c>
      <c r="N51">
        <v>3.4808592747925171E-3</v>
      </c>
      <c r="P51" t="s">
        <v>69</v>
      </c>
      <c r="Q51">
        <v>-7.7009000000000008E-2</v>
      </c>
      <c r="R51">
        <v>1.1287999999999994E-2</v>
      </c>
      <c r="S51">
        <v>-3.0295000000000002E-2</v>
      </c>
      <c r="T51">
        <v>-1.1506000000000004E-2</v>
      </c>
      <c r="U51">
        <v>-2.6103999999999999E-2</v>
      </c>
      <c r="V51">
        <v>1.0214999999999998E-2</v>
      </c>
      <c r="W51">
        <v>-2.6010999999999999E-2</v>
      </c>
      <c r="X51">
        <v>-0.147423</v>
      </c>
      <c r="Y51">
        <v>-0.107167</v>
      </c>
      <c r="Z51">
        <v>-8.2683000000000006E-2</v>
      </c>
      <c r="AA51">
        <v>-7.557800000000002E-2</v>
      </c>
      <c r="AB51">
        <v>-5.1193000000000002E-2</v>
      </c>
      <c r="AD51" s="69" t="s">
        <v>69</v>
      </c>
      <c r="AE51" s="71">
        <f t="shared" si="7"/>
        <v>-6.7909057268980513E-2</v>
      </c>
      <c r="AF51" s="71">
        <f t="shared" si="8"/>
        <v>3.3933218890532191E-2</v>
      </c>
      <c r="AG51" s="71">
        <f t="shared" si="9"/>
        <v>-2.1439565066968671E-2</v>
      </c>
      <c r="AH51" s="71">
        <f t="shared" si="10"/>
        <v>-2.0942934434830685E-3</v>
      </c>
      <c r="AI51" s="71">
        <f t="shared" si="11"/>
        <v>-1.5481771984721417E-2</v>
      </c>
      <c r="AJ51" s="71">
        <f t="shared" si="12"/>
        <v>2.0013304030703411E-2</v>
      </c>
      <c r="AK51" s="71">
        <f t="shared" si="13"/>
        <v>-1.6396022829290459E-2</v>
      </c>
      <c r="AL51" s="71">
        <f t="shared" si="14"/>
        <v>-0.13598435726279562</v>
      </c>
      <c r="AM51" s="71">
        <f t="shared" si="15"/>
        <v>-9.2298176459719883E-2</v>
      </c>
      <c r="AN51" s="71">
        <f t="shared" si="16"/>
        <v>-7.7177222204878521E-2</v>
      </c>
      <c r="AO51" s="71">
        <f t="shared" si="17"/>
        <v>-6.4201168650574528E-2</v>
      </c>
      <c r="AP51" s="71">
        <f t="shared" si="18"/>
        <v>-4.6732099346949212E-2</v>
      </c>
    </row>
    <row r="52" spans="2:42" x14ac:dyDescent="0.35">
      <c r="B52" t="s">
        <v>70</v>
      </c>
      <c r="C52">
        <v>1.2384262971855072E-2</v>
      </c>
      <c r="D52">
        <v>2.5948869751178692E-2</v>
      </c>
      <c r="E52">
        <v>1.7127510148261131E-2</v>
      </c>
      <c r="F52">
        <v>1.2300589515313581E-2</v>
      </c>
      <c r="G52">
        <v>1.0388884667219472E-2</v>
      </c>
      <c r="H52">
        <v>6.4022074507488567E-3</v>
      </c>
      <c r="I52">
        <v>6.7073575395707324E-3</v>
      </c>
      <c r="J52">
        <v>4.3345842078041843E-3</v>
      </c>
      <c r="K52">
        <v>5.3695558898800427E-3</v>
      </c>
      <c r="L52">
        <v>4.9026313806511575E-3</v>
      </c>
      <c r="M52">
        <v>4.3272144577818656E-3</v>
      </c>
      <c r="N52">
        <v>9.0072368581148015E-3</v>
      </c>
      <c r="P52" t="s">
        <v>70</v>
      </c>
      <c r="Q52">
        <v>4.2348999999999998E-2</v>
      </c>
      <c r="R52">
        <v>-1.4939999999999988E-3</v>
      </c>
      <c r="S52">
        <v>8.4475999999999996E-2</v>
      </c>
      <c r="T52">
        <v>0.21240800000000001</v>
      </c>
      <c r="U52">
        <v>0.170875</v>
      </c>
      <c r="V52">
        <v>0.12610000000000002</v>
      </c>
      <c r="W52">
        <v>7.4709999999999999E-2</v>
      </c>
      <c r="X52">
        <v>7.3539000000000007E-2</v>
      </c>
      <c r="Y52">
        <v>6.6201999999999997E-2</v>
      </c>
      <c r="Z52">
        <v>0.12500799999999998</v>
      </c>
      <c r="AA52">
        <v>0.13682</v>
      </c>
      <c r="AB52">
        <v>0.10373300000000001</v>
      </c>
      <c r="AD52" s="69" t="s">
        <v>70</v>
      </c>
      <c r="AE52" s="71">
        <f t="shared" si="7"/>
        <v>5.8220071599696895E-2</v>
      </c>
      <c r="AF52" s="71">
        <f t="shared" si="8"/>
        <v>3.176081465373598E-2</v>
      </c>
      <c r="AG52" s="71">
        <f t="shared" si="9"/>
        <v>0.10642578744438508</v>
      </c>
      <c r="AH52" s="71">
        <f t="shared" si="10"/>
        <v>0.22817183975047164</v>
      </c>
      <c r="AI52" s="71">
        <f t="shared" si="11"/>
        <v>0.1841888914095374</v>
      </c>
      <c r="AJ52" s="71">
        <f t="shared" si="12"/>
        <v>0.13430475898144853</v>
      </c>
      <c r="AK52" s="71">
        <f t="shared" si="13"/>
        <v>8.3305824555504254E-2</v>
      </c>
      <c r="AL52" s="71">
        <f t="shared" si="14"/>
        <v>7.9093993177496366E-2</v>
      </c>
      <c r="AM52" s="71">
        <f t="shared" si="15"/>
        <v>7.3083362756954998E-2</v>
      </c>
      <c r="AN52" s="71">
        <f t="shared" si="16"/>
        <v>0.13129097492116157</v>
      </c>
      <c r="AO52" s="71">
        <f t="shared" si="17"/>
        <v>0.14236554846281757</v>
      </c>
      <c r="AP52" s="71">
        <f t="shared" si="18"/>
        <v>0.11527623849674806</v>
      </c>
    </row>
    <row r="53" spans="2:42" x14ac:dyDescent="0.35">
      <c r="B53" t="s">
        <v>71</v>
      </c>
      <c r="C53">
        <v>2.0544177159271069E-3</v>
      </c>
      <c r="D53">
        <v>2.0544177159271069E-3</v>
      </c>
      <c r="E53">
        <v>2.0544177159271069E-3</v>
      </c>
      <c r="F53">
        <v>2.0544177159271069E-3</v>
      </c>
      <c r="G53">
        <v>2.0544177159271069E-3</v>
      </c>
      <c r="H53">
        <v>2.0544177159271069E-3</v>
      </c>
      <c r="I53">
        <v>2.0059657932368549E-3</v>
      </c>
      <c r="J53">
        <v>2.0059657932368549E-3</v>
      </c>
      <c r="K53">
        <v>2.0059657932368549E-3</v>
      </c>
      <c r="L53">
        <v>2.0059657932368549E-3</v>
      </c>
      <c r="M53">
        <v>2.0059657932368549E-3</v>
      </c>
      <c r="N53">
        <v>1.970320195482773E-3</v>
      </c>
      <c r="P53" t="s">
        <v>71</v>
      </c>
      <c r="Q53">
        <v>2.9254000000000002E-2</v>
      </c>
      <c r="R53">
        <v>2.9254000000000002E-2</v>
      </c>
      <c r="S53">
        <v>2.9254000000000002E-2</v>
      </c>
      <c r="T53">
        <v>2.9254000000000002E-2</v>
      </c>
      <c r="U53">
        <v>2.9254000000000002E-2</v>
      </c>
      <c r="V53">
        <v>2.9254000000000002E-2</v>
      </c>
      <c r="W53">
        <v>2.6654999999999998E-2</v>
      </c>
      <c r="X53">
        <v>2.6654999999999998E-2</v>
      </c>
      <c r="Y53">
        <v>2.6654999999999998E-2</v>
      </c>
      <c r="Z53">
        <v>2.6654999999999998E-2</v>
      </c>
      <c r="AA53">
        <v>2.6654999999999998E-2</v>
      </c>
      <c r="AB53">
        <v>2.7473000000000001E-2</v>
      </c>
      <c r="AD53" t="s">
        <v>71</v>
      </c>
      <c r="AE53" s="71">
        <f t="shared" si="7"/>
        <v>3.188684224012895E-2</v>
      </c>
      <c r="AF53" s="71">
        <f t="shared" si="8"/>
        <v>3.188684224012895E-2</v>
      </c>
      <c r="AG53" s="71">
        <f t="shared" si="9"/>
        <v>3.188684224012895E-2</v>
      </c>
      <c r="AH53" s="71">
        <f t="shared" si="10"/>
        <v>3.188684224012895E-2</v>
      </c>
      <c r="AI53" s="71">
        <f t="shared" si="11"/>
        <v>3.188684224012895E-2</v>
      </c>
      <c r="AJ53" s="71">
        <f t="shared" si="12"/>
        <v>3.188684224012895E-2</v>
      </c>
      <c r="AK53" s="71">
        <f t="shared" si="13"/>
        <v>2.9225748602751605E-2</v>
      </c>
      <c r="AL53" s="71">
        <f t="shared" si="14"/>
        <v>2.9225748602751605E-2</v>
      </c>
      <c r="AM53" s="71">
        <f t="shared" si="15"/>
        <v>2.9225748602751605E-2</v>
      </c>
      <c r="AN53" s="71">
        <f t="shared" si="16"/>
        <v>2.9225748602751605E-2</v>
      </c>
      <c r="AO53" s="71">
        <f t="shared" si="17"/>
        <v>2.9225748602751605E-2</v>
      </c>
      <c r="AP53" s="71">
        <f t="shared" si="18"/>
        <v>2.9998066931145092E-2</v>
      </c>
    </row>
    <row r="54" spans="2:42" x14ac:dyDescent="0.35"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t="s">
        <v>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 t="s">
        <v>72</v>
      </c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</row>
    <row r="55" spans="2:42" x14ac:dyDescent="0.35">
      <c r="B55" t="s">
        <v>73</v>
      </c>
      <c r="C55">
        <v>6.0672618755635449E-4</v>
      </c>
      <c r="D55">
        <v>6.0672618755635449E-4</v>
      </c>
      <c r="E55">
        <v>6.0672618755635449E-4</v>
      </c>
      <c r="F55">
        <v>8.9026810568502437E-4</v>
      </c>
      <c r="G55">
        <v>8.9026810568502437E-4</v>
      </c>
      <c r="H55">
        <v>8.9026810568502437E-4</v>
      </c>
      <c r="I55">
        <v>6.0672618755635449E-4</v>
      </c>
      <c r="J55">
        <v>6.0672618755635449E-4</v>
      </c>
      <c r="K55">
        <v>6.0672618755635449E-4</v>
      </c>
      <c r="L55">
        <v>6.0672618755635449E-4</v>
      </c>
      <c r="M55">
        <v>6.0672618755635449E-4</v>
      </c>
      <c r="N55">
        <v>6.0672618755635449E-4</v>
      </c>
      <c r="P55" t="s">
        <v>73</v>
      </c>
      <c r="Q55">
        <v>1.5127999999999999E-2</v>
      </c>
      <c r="R55">
        <v>1.5127999999999999E-2</v>
      </c>
      <c r="S55">
        <v>1.5127999999999999E-2</v>
      </c>
      <c r="T55">
        <v>2.0517000000000001E-2</v>
      </c>
      <c r="U55">
        <v>2.0517000000000001E-2</v>
      </c>
      <c r="V55">
        <v>2.0517000000000001E-2</v>
      </c>
      <c r="W55">
        <v>1.5127999999999999E-2</v>
      </c>
      <c r="X55">
        <v>1.5127999999999999E-2</v>
      </c>
      <c r="Y55">
        <v>1.5127999999999999E-2</v>
      </c>
      <c r="Z55">
        <v>1.5127999999999999E-2</v>
      </c>
      <c r="AA55">
        <v>1.5127999999999999E-2</v>
      </c>
      <c r="AB55">
        <v>1.5127999999999999E-2</v>
      </c>
      <c r="AD55" t="s">
        <v>73</v>
      </c>
      <c r="AE55" s="71">
        <f t="shared" si="7"/>
        <v>1.5905550895519753E-2</v>
      </c>
      <c r="AF55" s="71">
        <f t="shared" si="8"/>
        <v>1.5905550895519753E-2</v>
      </c>
      <c r="AG55" s="71">
        <f t="shared" si="9"/>
        <v>1.5905550895519753E-2</v>
      </c>
      <c r="AH55" s="71">
        <f t="shared" si="10"/>
        <v>2.1657924484595071E-2</v>
      </c>
      <c r="AI55" s="71">
        <f t="shared" si="11"/>
        <v>2.1657924484595071E-2</v>
      </c>
      <c r="AJ55" s="71">
        <f t="shared" si="12"/>
        <v>2.1657924484595071E-2</v>
      </c>
      <c r="AK55" s="71">
        <f t="shared" si="13"/>
        <v>1.5905550895519753E-2</v>
      </c>
      <c r="AL55" s="71">
        <f t="shared" si="14"/>
        <v>1.5905550895519753E-2</v>
      </c>
      <c r="AM55" s="71">
        <f t="shared" si="15"/>
        <v>1.5905550895519753E-2</v>
      </c>
      <c r="AN55" s="71">
        <f t="shared" si="16"/>
        <v>1.5905550895519753E-2</v>
      </c>
      <c r="AO55" s="71">
        <f t="shared" si="17"/>
        <v>1.5905550895519753E-2</v>
      </c>
      <c r="AP55" s="71">
        <f t="shared" si="18"/>
        <v>1.5905550895519753E-2</v>
      </c>
    </row>
    <row r="56" spans="2:42" x14ac:dyDescent="0.35">
      <c r="B56" t="s">
        <v>74</v>
      </c>
      <c r="C56">
        <v>2.3094010767585042E-4</v>
      </c>
      <c r="D56">
        <v>2.3094010767585042E-4</v>
      </c>
      <c r="E56">
        <v>2.3094010767585042E-4</v>
      </c>
      <c r="F56">
        <v>2.3094010767585042E-4</v>
      </c>
      <c r="G56">
        <v>1.4551915228366852E-11</v>
      </c>
      <c r="H56">
        <v>1.9999999999999977E-4</v>
      </c>
      <c r="I56">
        <v>2.3094010767585042E-4</v>
      </c>
      <c r="J56">
        <v>2.3094010767585042E-4</v>
      </c>
      <c r="K56">
        <v>2.3094010767585042E-4</v>
      </c>
      <c r="L56">
        <v>2.3094010767585042E-4</v>
      </c>
      <c r="M56">
        <v>2.3094010767585042E-4</v>
      </c>
      <c r="N56">
        <v>2.3094010767585042E-4</v>
      </c>
      <c r="P56" t="s">
        <v>74</v>
      </c>
      <c r="Q56">
        <v>3.7000000000000002E-3</v>
      </c>
      <c r="R56">
        <v>3.7000000000000002E-3</v>
      </c>
      <c r="S56">
        <v>3.7000000000000002E-3</v>
      </c>
      <c r="T56">
        <v>3.7000000000000002E-3</v>
      </c>
      <c r="U56">
        <v>3.3E-3</v>
      </c>
      <c r="V56">
        <v>4.8000000000000004E-3</v>
      </c>
      <c r="W56">
        <v>3.7000000000000002E-3</v>
      </c>
      <c r="X56">
        <v>3.7000000000000002E-3</v>
      </c>
      <c r="Y56">
        <v>3.7000000000000002E-3</v>
      </c>
      <c r="Z56">
        <v>3.7000000000000002E-3</v>
      </c>
      <c r="AA56">
        <v>3.7000000000000002E-3</v>
      </c>
      <c r="AB56">
        <v>3.7000000000000002E-3</v>
      </c>
      <c r="AD56" t="s">
        <v>74</v>
      </c>
      <c r="AE56" s="71">
        <f t="shared" si="7"/>
        <v>3.9959616565390247E-3</v>
      </c>
      <c r="AF56" s="71">
        <f t="shared" si="8"/>
        <v>3.9959616565390247E-3</v>
      </c>
      <c r="AG56" s="71">
        <f t="shared" si="9"/>
        <v>3.9959616565390247E-3</v>
      </c>
      <c r="AH56" s="71">
        <f t="shared" si="10"/>
        <v>3.9959616565390247E-3</v>
      </c>
      <c r="AI56" s="71">
        <f t="shared" si="11"/>
        <v>3.3000000186490298E-3</v>
      </c>
      <c r="AJ56" s="71">
        <f t="shared" si="12"/>
        <v>5.0563103131089204E-3</v>
      </c>
      <c r="AK56" s="71">
        <f t="shared" si="13"/>
        <v>3.9959616565390247E-3</v>
      </c>
      <c r="AL56" s="71">
        <f t="shared" si="14"/>
        <v>3.9959616565390247E-3</v>
      </c>
      <c r="AM56" s="71">
        <f t="shared" si="15"/>
        <v>3.9959616565390247E-3</v>
      </c>
      <c r="AN56" s="71">
        <f t="shared" si="16"/>
        <v>3.9959616565390247E-3</v>
      </c>
      <c r="AO56" s="71">
        <f t="shared" si="17"/>
        <v>3.9959616565390247E-3</v>
      </c>
      <c r="AP56" s="71">
        <f t="shared" si="18"/>
        <v>3.9959616565390247E-3</v>
      </c>
    </row>
    <row r="57" spans="2:42" x14ac:dyDescent="0.35">
      <c r="B57" t="s">
        <v>75</v>
      </c>
      <c r="C57">
        <v>4.3301270189221933E-3</v>
      </c>
      <c r="D57">
        <v>4.3301270189221933E-3</v>
      </c>
      <c r="E57">
        <v>4.3301270189221933E-3</v>
      </c>
      <c r="F57">
        <v>4.3301270189221933E-3</v>
      </c>
      <c r="G57">
        <v>4.3301270189221933E-3</v>
      </c>
      <c r="H57">
        <v>4.3301270189221933E-3</v>
      </c>
      <c r="I57">
        <v>5.3033008588991067E-3</v>
      </c>
      <c r="J57">
        <v>5.3033008588991067E-3</v>
      </c>
      <c r="K57">
        <v>5.3033008588991067E-3</v>
      </c>
      <c r="L57">
        <v>5.3033008588991067E-3</v>
      </c>
      <c r="M57">
        <v>5.3033008588991067E-3</v>
      </c>
      <c r="N57">
        <v>5.3033008588991067E-3</v>
      </c>
      <c r="P57" t="s">
        <v>75</v>
      </c>
      <c r="Q57">
        <v>-7.4999999999999997E-3</v>
      </c>
      <c r="R57">
        <v>-7.4999999999999997E-3</v>
      </c>
      <c r="S57">
        <v>-7.4999999999999997E-3</v>
      </c>
      <c r="T57">
        <v>-7.4999999999999997E-3</v>
      </c>
      <c r="U57">
        <v>-7.4999999999999997E-3</v>
      </c>
      <c r="V57">
        <v>-7.4999999999999997E-3</v>
      </c>
      <c r="W57">
        <v>-7.4999999999999997E-3</v>
      </c>
      <c r="X57">
        <v>-7.4999999999999997E-3</v>
      </c>
      <c r="Y57">
        <v>-7.4999999999999997E-3</v>
      </c>
      <c r="Z57">
        <v>-7.4999999999999997E-3</v>
      </c>
      <c r="AA57">
        <v>-7.4999999999999997E-3</v>
      </c>
      <c r="AB57">
        <v>-7.4999999999999997E-3</v>
      </c>
      <c r="AD57" t="s">
        <v>75</v>
      </c>
      <c r="AE57" s="71">
        <f t="shared" si="7"/>
        <v>-1.9507189398932888E-3</v>
      </c>
      <c r="AF57" s="71">
        <f t="shared" si="8"/>
        <v>-1.9507189398932888E-3</v>
      </c>
      <c r="AG57" s="71">
        <f t="shared" si="9"/>
        <v>-1.9507189398932888E-3</v>
      </c>
      <c r="AH57" s="71">
        <f t="shared" si="10"/>
        <v>-1.9507189398932888E-3</v>
      </c>
      <c r="AI57" s="71">
        <f t="shared" si="11"/>
        <v>-1.9507189398932888E-3</v>
      </c>
      <c r="AJ57" s="71">
        <f t="shared" si="12"/>
        <v>-1.9507189398932888E-3</v>
      </c>
      <c r="AK57" s="71">
        <f t="shared" si="13"/>
        <v>-7.0354648172382423E-4</v>
      </c>
      <c r="AL57" s="71">
        <f t="shared" si="14"/>
        <v>-7.0354648172382423E-4</v>
      </c>
      <c r="AM57" s="71">
        <f t="shared" si="15"/>
        <v>-7.0354648172382423E-4</v>
      </c>
      <c r="AN57" s="71">
        <f t="shared" si="16"/>
        <v>-7.0354648172382423E-4</v>
      </c>
      <c r="AO57" s="71">
        <f t="shared" si="17"/>
        <v>-7.0354648172382423E-4</v>
      </c>
      <c r="AP57" s="71">
        <f t="shared" si="18"/>
        <v>-7.0354648172382423E-4</v>
      </c>
    </row>
    <row r="58" spans="2:42" x14ac:dyDescent="0.35">
      <c r="B58" t="s">
        <v>76</v>
      </c>
      <c r="P58" t="s">
        <v>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AB58">
        <v>0</v>
      </c>
      <c r="AD58" t="s">
        <v>76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SC1</vt:lpstr>
      <vt:lpstr>transposed</vt:lpstr>
      <vt:lpstr>pivot</vt:lpstr>
      <vt:lpstr>correl &amp; stdev</vt:lpstr>
      <vt:lpstr>BasSrvCustChrg</vt:lpstr>
      <vt:lpstr>BillIssuanceChrgPerkWh</vt:lpstr>
      <vt:lpstr>CleanEnStdDelChrgPerkWh</vt:lpstr>
      <vt:lpstr>CleanEnStdSupplyChrgPerkWh</vt:lpstr>
      <vt:lpstr>DelChrgPerkWhGT250kWh</vt:lpstr>
      <vt:lpstr>DelChrgPerkWhGTE250kWh</vt:lpstr>
      <vt:lpstr>DelRevSurChrgPerkWh</vt:lpstr>
      <vt:lpstr>DynLoadMgmtSurChrgPerkWh</vt:lpstr>
      <vt:lpstr>ElectricSupplyMSCPerkWh</vt:lpstr>
      <vt:lpstr>MacPerkWh</vt:lpstr>
      <vt:lpstr>MerchantFuncChrgPerkWh</vt:lpstr>
      <vt:lpstr>MonthlyAdjMACPerkWh</vt:lpstr>
      <vt:lpstr>MSCIIPerkWh</vt:lpstr>
      <vt:lpstr>MSCIPerkWh</vt:lpstr>
      <vt:lpstr>NYS18aAssessPerkWh</vt:lpstr>
      <vt:lpstr>'SC1'!Print_Titles</vt:lpstr>
      <vt:lpstr>RenewablePortfChrgPerkWh</vt:lpstr>
      <vt:lpstr>RevDecouplingAdjPerkWh</vt:lpstr>
      <vt:lpstr>SystemBenefitChrgPerkWh</vt:lpstr>
      <vt:lpstr>TaxesNYCCommodity</vt:lpstr>
      <vt:lpstr>TaxesNYCDelivery</vt:lpstr>
      <vt:lpstr>TaxSurCredit</vt:lpstr>
      <vt:lpstr>TransitionAdjDelivery</vt:lpstr>
      <vt:lpstr>UncollectibleDeluveryMAC</vt:lpstr>
      <vt:lpstr>VDERCostRecovChrgPerkWh</vt:lpstr>
      <vt:lpstr>VDERCostRecSupplyPerkWh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Koropey, Boris</dc:creator>
  <cp:lastModifiedBy>Koropey, Boris</cp:lastModifiedBy>
  <dcterms:created xsi:type="dcterms:W3CDTF">2021-07-05T19:33:56Z</dcterms:created>
  <dcterms:modified xsi:type="dcterms:W3CDTF">2021-07-06T14:09:43Z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2021-07-05T19:34:55Z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9d8058f8-5dc2-43ae-946e-0000f5e8e0ef</vt:lpwstr>
  </property>
  <property fmtid="{D5CDD505-2E9C-101B-9397-08002B2CF9AE}" pid="8" name="MSIP_Label_6490586b-6766-439a-826f-fa6da183971c_ContentBits">
    <vt:lpwstr>0</vt:lpwstr>
  </property>
</Properties>
</file>